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Inputs!$C$142</definedName>
    <definedName name="AnnualPPAPrice">Inputs!$C$143</definedName>
    <definedName name="AnnualPPARevenue">Inputs!$C$144</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onst_per_interest_rate1">Inputs!$F$76</definedName>
    <definedName name="const_per_interest_rate2">Inputs!$F$77</definedName>
    <definedName name="const_per_interest_rate3">Inputs!$F$78</definedName>
    <definedName name="const_per_interest_rate4">Inputs!$F$79</definedName>
    <definedName name="const_per_interest_rate5">Inputs!$F$80</definedName>
    <definedName name="const_per_months1">Inputs!$E$76</definedName>
    <definedName name="const_per_months2">Inputs!$E$77</definedName>
    <definedName name="const_per_months3">Inputs!$E$78</definedName>
    <definedName name="const_per_months4">Inputs!$E$79</definedName>
    <definedName name="const_per_months5">Inputs!$E$80</definedName>
    <definedName name="const_per_percent1">Inputs!$C$76</definedName>
    <definedName name="const_per_percent2">Inputs!$C$77</definedName>
    <definedName name="const_per_percent3">Inputs!$C$78</definedName>
    <definedName name="const_per_percent4">Inputs!$C$79</definedName>
    <definedName name="const_per_percent5">Inputs!$C$80</definedName>
    <definedName name="const_per_upfront_rate1">Inputs!$D$76</definedName>
    <definedName name="const_per_upfront_rate2">Inputs!$D$77</definedName>
    <definedName name="const_per_upfront_rate3">Inputs!$D$78</definedName>
    <definedName name="const_per_upfront_rate4">Inputs!$D$79</definedName>
    <definedName name="const_per_upfront_rate5">Inputs!$D$80</definedName>
    <definedName name="construction_financing_cost">Inputs!$C$72</definedName>
    <definedName name="cost_debt_closing">Inputs!$C$64</definedName>
    <definedName name="cost_debt_fee">Inputs!$C$65</definedName>
    <definedName name="cost_other_financing">Inputs!$C$69</definedName>
    <definedName name="CostDebtUpfront">Inputs!$C$66</definedName>
    <definedName name="DebtPercent">Inputs!$C$58</definedName>
    <definedName name="DebtServiceCoverageRatio">Inputs!$C$60</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scr_reserve_months">Inputs!$C$86</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Inputs!$C$43</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Inputs!$C$39</definedName>
    <definedName name="insurance_rate">Inputs!$C$46</definedName>
    <definedName name="IRRTarget">Inputs!$C$33</definedName>
    <definedName name="IRRTargetYear">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months_working_reserve">Inputs!$C$85</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Inputs!$C$40</definedName>
    <definedName name="reserves_interest">Inputs!$C$84</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Inputs!$C$63</definedName>
    <definedName name="term_tenor">Inputs!$C$62</definedName>
    <definedName name="total_installed_cost">Inputs!$C$6</definedName>
  </definedNames>
  <calcPr calcId="145621"/>
</workbook>
</file>

<file path=xl/calcChain.xml><?xml version="1.0" encoding="utf-8"?>
<calcChain xmlns="http://schemas.openxmlformats.org/spreadsheetml/2006/main">
  <c r="B549" i="7" l="1"/>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19" i="7" l="1"/>
  <c r="P218" i="7"/>
  <c r="P217" i="7"/>
  <c r="P216" i="7"/>
  <c r="P215" i="7"/>
  <c r="P214" i="7"/>
  <c r="P352" i="7"/>
  <c r="P351" i="7"/>
  <c r="P350" i="7"/>
  <c r="P349" i="7"/>
  <c r="M347" i="7" l="1"/>
  <c r="B373" i="7"/>
  <c r="B372" i="7"/>
  <c r="B370" i="7"/>
  <c r="B237" i="7"/>
  <c r="B367" i="7"/>
  <c r="B366" i="7"/>
  <c r="B365" i="7"/>
  <c r="B364" i="7"/>
  <c r="B234" i="7"/>
  <c r="B233" i="7"/>
  <c r="B232" i="7"/>
  <c r="B240" i="7"/>
  <c r="B239"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24" i="7"/>
  <c r="AP124" i="7"/>
  <c r="AB10" i="7"/>
  <c r="AB124" i="7"/>
  <c r="AD10" i="7"/>
  <c r="AD124" i="7"/>
  <c r="AO10" i="7"/>
  <c r="AO124" i="7"/>
  <c r="AH10" i="7"/>
  <c r="AH124" i="7"/>
  <c r="AI10" i="7"/>
  <c r="AI124" i="7"/>
  <c r="AC10" i="7"/>
  <c r="AC124" i="7"/>
  <c r="AE10" i="7"/>
  <c r="AE124" i="7"/>
  <c r="AF10" i="7"/>
  <c r="AF124" i="7"/>
  <c r="AM10" i="7"/>
  <c r="AM124" i="7"/>
  <c r="AN10" i="7"/>
  <c r="AN124" i="7"/>
  <c r="AG10" i="7"/>
  <c r="AG124" i="7"/>
  <c r="AJ10" i="7"/>
  <c r="AJ124" i="7"/>
  <c r="AL124" i="7"/>
  <c r="B574" i="7"/>
  <c r="B71" i="7"/>
  <c r="F10" i="1" l="1"/>
  <c r="B63" i="7"/>
  <c r="B60" i="7"/>
  <c r="P220" i="7" l="1"/>
  <c r="C139" i="1"/>
  <c r="G80" i="1"/>
  <c r="G79" i="1"/>
  <c r="G78" i="1"/>
  <c r="G77" i="1"/>
  <c r="G76" i="1"/>
  <c r="B351" i="7" l="1"/>
  <c r="B219" i="7"/>
  <c r="B350" i="7"/>
  <c r="B218" i="7"/>
  <c r="B217" i="7"/>
  <c r="B348" i="7"/>
  <c r="B216" i="7"/>
  <c r="B347" i="7"/>
  <c r="B215" i="7"/>
  <c r="B214" i="7"/>
  <c r="B349" i="7"/>
  <c r="B352" i="7"/>
  <c r="C138" i="1"/>
  <c r="H76" i="1"/>
  <c r="I76" i="1" s="1"/>
  <c r="H78" i="1"/>
  <c r="I78" i="1" s="1"/>
  <c r="H79" i="1"/>
  <c r="I79" i="1" s="1"/>
  <c r="H80" i="1"/>
  <c r="I80" i="1" s="1"/>
  <c r="H77" i="1"/>
  <c r="I77" i="1" s="1"/>
  <c r="G81" i="1"/>
  <c r="B353" i="7" l="1"/>
  <c r="H81" i="1"/>
  <c r="I81" i="1"/>
  <c r="B64" i="7" s="1"/>
  <c r="C41" i="1"/>
  <c r="B253" i="7" l="1"/>
  <c r="G42" i="4"/>
  <c r="G3" i="4"/>
  <c r="C507" i="7" l="1"/>
  <c r="C155" i="7" s="1"/>
  <c r="C508" i="7"/>
  <c r="C509" i="7"/>
  <c r="C157" i="7" s="1"/>
  <c r="C510" i="7"/>
  <c r="C500" i="7"/>
  <c r="B231" i="7" s="1"/>
  <c r="C501" i="7"/>
  <c r="C502" i="7"/>
  <c r="C151" i="7" s="1"/>
  <c r="C503" i="7"/>
  <c r="B238" i="7" l="1"/>
  <c r="B241" i="7" s="1"/>
  <c r="B371" i="7"/>
  <c r="C504" i="7"/>
  <c r="C511" i="7"/>
  <c r="B66" i="7" s="1"/>
  <c r="C150" i="7"/>
  <c r="C152" i="7"/>
  <c r="C156" i="7"/>
  <c r="C158" i="7"/>
  <c r="C188" i="7"/>
  <c r="C190" i="7"/>
  <c r="C194" i="7"/>
  <c r="C196" i="7"/>
  <c r="C149" i="7"/>
  <c r="C189" i="7"/>
  <c r="C191" i="7"/>
  <c r="C195" i="7"/>
  <c r="C197" i="7"/>
  <c r="B85" i="7" l="1"/>
  <c r="C198" i="7"/>
  <c r="C54" i="1"/>
  <c r="C49" i="1"/>
  <c r="B361" i="7" l="1"/>
  <c r="B360" i="7"/>
  <c r="B359" i="7"/>
  <c r="B358" i="7"/>
  <c r="B228" i="7"/>
  <c r="B227" i="7"/>
  <c r="B226" i="7"/>
  <c r="B225"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4" i="7" l="1"/>
  <c r="D544" i="7" s="1"/>
  <c r="C37" i="7"/>
  <c r="C36" i="7"/>
  <c r="C38" i="7"/>
  <c r="C487" i="7"/>
  <c r="C481" i="7"/>
  <c r="C123" i="7"/>
  <c r="C22" i="7"/>
  <c r="C39" i="7" s="1"/>
  <c r="C642" i="7"/>
  <c r="C610" i="7"/>
  <c r="C578" i="7"/>
  <c r="C527" i="7"/>
  <c r="C523" i="7"/>
  <c r="C515" i="7"/>
  <c r="C519" i="7"/>
  <c r="C33" i="7"/>
  <c r="C29" i="7"/>
  <c r="C26" i="7"/>
  <c r="C19" i="7"/>
  <c r="C40" i="7"/>
  <c r="D2" i="7"/>
  <c r="E544" i="7" l="1"/>
  <c r="D38" i="7"/>
  <c r="D37" i="7"/>
  <c r="D36" i="7"/>
  <c r="D487" i="7"/>
  <c r="D481" i="7"/>
  <c r="D22" i="7"/>
  <c r="D39" i="7" s="1"/>
  <c r="D123" i="7"/>
  <c r="D642" i="7"/>
  <c r="D610" i="7"/>
  <c r="D578" i="7"/>
  <c r="D519" i="7"/>
  <c r="D33" i="7"/>
  <c r="D29" i="7"/>
  <c r="D527" i="7"/>
  <c r="D523" i="7"/>
  <c r="D515" i="7"/>
  <c r="D19" i="7"/>
  <c r="D40" i="7"/>
  <c r="D26" i="7"/>
  <c r="E2" i="7"/>
  <c r="F544" i="7" l="1"/>
  <c r="E38" i="7"/>
  <c r="E37" i="7"/>
  <c r="E36" i="7"/>
  <c r="E487" i="7"/>
  <c r="E481" i="7"/>
  <c r="E22" i="7"/>
  <c r="E39" i="7" s="1"/>
  <c r="E123" i="7"/>
  <c r="E642" i="7"/>
  <c r="E610" i="7"/>
  <c r="E578" i="7"/>
  <c r="E519" i="7"/>
  <c r="E33" i="7"/>
  <c r="E29" i="7"/>
  <c r="E527" i="7"/>
  <c r="E523" i="7"/>
  <c r="E515" i="7"/>
  <c r="E40" i="7"/>
  <c r="E26" i="7"/>
  <c r="E19" i="7"/>
  <c r="F2" i="7"/>
  <c r="D88" i="1"/>
  <c r="D90" i="1"/>
  <c r="D89" i="1"/>
  <c r="G544" i="7" l="1"/>
  <c r="F38" i="7"/>
  <c r="F37" i="7"/>
  <c r="F36" i="7"/>
  <c r="F487" i="7"/>
  <c r="F481" i="7"/>
  <c r="F22" i="7"/>
  <c r="F39" i="7" s="1"/>
  <c r="F123" i="7"/>
  <c r="F610" i="7"/>
  <c r="F642" i="7"/>
  <c r="F578" i="7"/>
  <c r="F519" i="7"/>
  <c r="F33" i="7"/>
  <c r="F29" i="7"/>
  <c r="F527" i="7"/>
  <c r="F523" i="7"/>
  <c r="F515" i="7"/>
  <c r="F40" i="7"/>
  <c r="F26" i="7"/>
  <c r="F19" i="7"/>
  <c r="G2" i="7"/>
  <c r="AP568" i="7"/>
  <c r="H544" i="7" l="1"/>
  <c r="G38" i="7"/>
  <c r="G37" i="7"/>
  <c r="G36" i="7"/>
  <c r="G487" i="7"/>
  <c r="G481" i="7"/>
  <c r="G123" i="7"/>
  <c r="G22" i="7"/>
  <c r="G39" i="7" s="1"/>
  <c r="G642" i="7"/>
  <c r="G610" i="7"/>
  <c r="G578" i="7"/>
  <c r="G527" i="7"/>
  <c r="G523" i="7"/>
  <c r="G515" i="7"/>
  <c r="G519" i="7"/>
  <c r="G33" i="7"/>
  <c r="G29" i="7"/>
  <c r="G26" i="7"/>
  <c r="G19" i="7"/>
  <c r="G40" i="7"/>
  <c r="H2"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G348" i="7"/>
  <c r="G349" i="7"/>
  <c r="G350" i="7"/>
  <c r="G351" i="7"/>
  <c r="G352" i="7"/>
  <c r="G216" i="7"/>
  <c r="G217" i="7"/>
  <c r="G218" i="7"/>
  <c r="G219" i="7"/>
  <c r="G215" i="7"/>
  <c r="I544" i="7" l="1"/>
  <c r="H38" i="7"/>
  <c r="H37" i="7"/>
  <c r="H36" i="7"/>
  <c r="H487" i="7"/>
  <c r="H481" i="7"/>
  <c r="H22" i="7"/>
  <c r="H39" i="7" s="1"/>
  <c r="H123" i="7"/>
  <c r="H642" i="7"/>
  <c r="H578" i="7"/>
  <c r="H610" i="7"/>
  <c r="H519" i="7"/>
  <c r="H33" i="7"/>
  <c r="H29" i="7"/>
  <c r="H527" i="7"/>
  <c r="H523" i="7"/>
  <c r="H515" i="7"/>
  <c r="H19" i="7"/>
  <c r="H40" i="7"/>
  <c r="H26" i="7"/>
  <c r="I2" i="7"/>
  <c r="A655" i="7"/>
  <c r="A656" i="7" s="1"/>
  <c r="A657" i="7" s="1"/>
  <c r="A658" i="7" s="1"/>
  <c r="A659" i="7" s="1"/>
  <c r="A660" i="7" s="1"/>
  <c r="A661" i="7" s="1"/>
  <c r="A662" i="7" s="1"/>
  <c r="A663" i="7" s="1"/>
  <c r="A643" i="7"/>
  <c r="H643" i="7" s="1"/>
  <c r="B638" i="7"/>
  <c r="C635" i="7" s="1"/>
  <c r="A623" i="7"/>
  <c r="A624" i="7" s="1"/>
  <c r="A625" i="7" s="1"/>
  <c r="A626" i="7" s="1"/>
  <c r="A627" i="7" s="1"/>
  <c r="A628" i="7" s="1"/>
  <c r="A629" i="7" s="1"/>
  <c r="A630" i="7" s="1"/>
  <c r="A631" i="7" s="1"/>
  <c r="A611" i="7"/>
  <c r="H611" i="7" s="1"/>
  <c r="B606" i="7"/>
  <c r="C603" i="7" s="1"/>
  <c r="A591" i="7"/>
  <c r="A592" i="7" s="1"/>
  <c r="A593" i="7" s="1"/>
  <c r="A594" i="7" s="1"/>
  <c r="A595" i="7" s="1"/>
  <c r="A596" i="7" s="1"/>
  <c r="A597" i="7" s="1"/>
  <c r="A598" i="7" s="1"/>
  <c r="A599" i="7" s="1"/>
  <c r="A579" i="7"/>
  <c r="H579" i="7" s="1"/>
  <c r="C571" i="7"/>
  <c r="A526" i="7"/>
  <c r="A522" i="7"/>
  <c r="A518" i="7"/>
  <c r="A514" i="7"/>
  <c r="A510" i="7"/>
  <c r="A240" i="7" s="1"/>
  <c r="A509" i="7"/>
  <c r="A239" i="7" s="1"/>
  <c r="A508" i="7"/>
  <c r="A238" i="7" s="1"/>
  <c r="A507" i="7"/>
  <c r="A237" i="7" s="1"/>
  <c r="A503" i="7"/>
  <c r="A234" i="7" s="1"/>
  <c r="A502" i="7"/>
  <c r="A233" i="7" s="1"/>
  <c r="A501" i="7"/>
  <c r="A232" i="7" s="1"/>
  <c r="A500" i="7"/>
  <c r="A231" i="7" s="1"/>
  <c r="A499" i="7"/>
  <c r="A230" i="7" s="1"/>
  <c r="C497" i="7"/>
  <c r="A497" i="7"/>
  <c r="A228" i="7" s="1"/>
  <c r="C496" i="7"/>
  <c r="A496" i="7"/>
  <c r="A227" i="7" s="1"/>
  <c r="C495" i="7"/>
  <c r="A495" i="7"/>
  <c r="A226" i="7" s="1"/>
  <c r="C494" i="7"/>
  <c r="A494" i="7"/>
  <c r="A225" i="7" s="1"/>
  <c r="A493" i="7"/>
  <c r="A224" i="7" s="1"/>
  <c r="K353" i="7"/>
  <c r="K220" i="7"/>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A415" i="7"/>
  <c r="A416" i="7" s="1"/>
  <c r="A417" i="7" s="1"/>
  <c r="A418" i="7" s="1"/>
  <c r="A419" i="7" s="1"/>
  <c r="A420" i="7" s="1"/>
  <c r="A421" i="7" s="1"/>
  <c r="A422" i="7" s="1"/>
  <c r="A423" i="7" s="1"/>
  <c r="A403" i="7"/>
  <c r="A404" i="7" s="1"/>
  <c r="A405" i="7" s="1"/>
  <c r="A406" i="7" s="1"/>
  <c r="A407" i="7" s="1"/>
  <c r="A408" i="7" s="1"/>
  <c r="A409" i="7" s="1"/>
  <c r="A410" i="7" s="1"/>
  <c r="A411" i="7" s="1"/>
  <c r="B397" i="7"/>
  <c r="B396" i="7"/>
  <c r="A375" i="7"/>
  <c r="A333" i="7"/>
  <c r="A334" i="7" s="1"/>
  <c r="A335" i="7" s="1"/>
  <c r="A336" i="7" s="1"/>
  <c r="A337" i="7" s="1"/>
  <c r="A338" i="7" s="1"/>
  <c r="A339" i="7" s="1"/>
  <c r="A340" i="7" s="1"/>
  <c r="A341" i="7" s="1"/>
  <c r="A321" i="7"/>
  <c r="A322" i="7" s="1"/>
  <c r="A323" i="7" s="1"/>
  <c r="A324" i="7" s="1"/>
  <c r="A325" i="7" s="1"/>
  <c r="A326" i="7" s="1"/>
  <c r="A327" i="7" s="1"/>
  <c r="A328" i="7" s="1"/>
  <c r="A329" i="7" s="1"/>
  <c r="A307" i="7"/>
  <c r="A308" i="7" s="1"/>
  <c r="A309" i="7" s="1"/>
  <c r="A310" i="7" s="1"/>
  <c r="A311" i="7" s="1"/>
  <c r="A312" i="7" s="1"/>
  <c r="A313" i="7" s="1"/>
  <c r="A314" i="7" s="1"/>
  <c r="A315" i="7" s="1"/>
  <c r="A295" i="7"/>
  <c r="A296" i="7" s="1"/>
  <c r="A297" i="7" s="1"/>
  <c r="A298" i="7" s="1"/>
  <c r="A299" i="7" s="1"/>
  <c r="A300" i="7" s="1"/>
  <c r="A301" i="7" s="1"/>
  <c r="A302" i="7" s="1"/>
  <c r="A303" i="7" s="1"/>
  <c r="A281" i="7"/>
  <c r="A282" i="7" s="1"/>
  <c r="A283" i="7" s="1"/>
  <c r="A284" i="7" s="1"/>
  <c r="A285" i="7" s="1"/>
  <c r="A286" i="7" s="1"/>
  <c r="A287" i="7" s="1"/>
  <c r="A288" i="7" s="1"/>
  <c r="A289" i="7" s="1"/>
  <c r="A270" i="7"/>
  <c r="A271" i="7" s="1"/>
  <c r="A272" i="7" s="1"/>
  <c r="A273" i="7" s="1"/>
  <c r="A274" i="7" s="1"/>
  <c r="A275" i="7" s="1"/>
  <c r="A276" i="7" s="1"/>
  <c r="A277" i="7" s="1"/>
  <c r="A278" i="7" s="1"/>
  <c r="B264" i="7"/>
  <c r="B263" i="7"/>
  <c r="A241" i="7"/>
  <c r="A236" i="7"/>
  <c r="A235" i="7"/>
  <c r="A229" i="7"/>
  <c r="A223" i="7"/>
  <c r="A219" i="7"/>
  <c r="A352" i="7" s="1"/>
  <c r="A218" i="7"/>
  <c r="A351" i="7" s="1"/>
  <c r="A217" i="7"/>
  <c r="A350" i="7" s="1"/>
  <c r="A216" i="7"/>
  <c r="A349" i="7" s="1"/>
  <c r="A215" i="7"/>
  <c r="A348" i="7" s="1"/>
  <c r="A214" i="7"/>
  <c r="A347" i="7" s="1"/>
  <c r="A199" i="7"/>
  <c r="A193" i="7"/>
  <c r="A187" i="7"/>
  <c r="A181" i="7"/>
  <c r="A180" i="7"/>
  <c r="A160" i="7"/>
  <c r="A154" i="7"/>
  <c r="A148" i="7"/>
  <c r="A142" i="7"/>
  <c r="A141" i="7"/>
  <c r="B109" i="7"/>
  <c r="B108" i="7"/>
  <c r="B105" i="7"/>
  <c r="B10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78" i="7"/>
  <c r="B77" i="7"/>
  <c r="B76" i="7"/>
  <c r="B73" i="7"/>
  <c r="B72" i="7"/>
  <c r="B56" i="7"/>
  <c r="A17" i="7"/>
  <c r="A52" i="7" s="1"/>
  <c r="A16" i="7"/>
  <c r="A51" i="7" s="1"/>
  <c r="A15" i="7"/>
  <c r="A50" i="7" s="1"/>
  <c r="A14" i="7"/>
  <c r="A49" i="7" s="1"/>
  <c r="J544" i="7" l="1"/>
  <c r="I38" i="7"/>
  <c r="I37" i="7"/>
  <c r="I36" i="7"/>
  <c r="I487" i="7"/>
  <c r="I481" i="7"/>
  <c r="I22" i="7"/>
  <c r="I39" i="7" s="1"/>
  <c r="I123" i="7"/>
  <c r="A644" i="7"/>
  <c r="C656" i="7" s="1"/>
  <c r="C643" i="7"/>
  <c r="C321" i="7" s="1"/>
  <c r="D643" i="7"/>
  <c r="E643" i="7"/>
  <c r="F643" i="7"/>
  <c r="G643" i="7"/>
  <c r="A580" i="7"/>
  <c r="C592" i="7" s="1"/>
  <c r="C579" i="7"/>
  <c r="D579" i="7"/>
  <c r="E579" i="7"/>
  <c r="F579" i="7"/>
  <c r="G579" i="7"/>
  <c r="A612" i="7"/>
  <c r="I612" i="7" s="1"/>
  <c r="C611" i="7"/>
  <c r="C295" i="7" s="1"/>
  <c r="D611" i="7"/>
  <c r="E611" i="7"/>
  <c r="F611" i="7"/>
  <c r="G611" i="7"/>
  <c r="I643" i="7"/>
  <c r="I642" i="7"/>
  <c r="I644" i="7"/>
  <c r="I610" i="7"/>
  <c r="I611" i="7"/>
  <c r="I578" i="7"/>
  <c r="I579" i="7"/>
  <c r="I519" i="7"/>
  <c r="I33" i="7"/>
  <c r="I29" i="7"/>
  <c r="I527" i="7"/>
  <c r="I523" i="7"/>
  <c r="I515" i="7"/>
  <c r="I40" i="7"/>
  <c r="I19" i="7"/>
  <c r="I26" i="7"/>
  <c r="C182" i="7"/>
  <c r="C143" i="7"/>
  <c r="C184" i="7"/>
  <c r="C145" i="7"/>
  <c r="C183" i="7"/>
  <c r="C144" i="7"/>
  <c r="C185" i="7"/>
  <c r="C146" i="7"/>
  <c r="J2" i="7"/>
  <c r="C567" i="7"/>
  <c r="C498" i="7"/>
  <c r="C561" i="7"/>
  <c r="B235" i="7"/>
  <c r="B229" i="7"/>
  <c r="B79" i="7"/>
  <c r="B362" i="7"/>
  <c r="B368" i="7"/>
  <c r="D591" i="7"/>
  <c r="D382" i="7"/>
  <c r="D251" i="7"/>
  <c r="C655" i="7"/>
  <c r="C320" i="7"/>
  <c r="C623" i="7"/>
  <c r="C591" i="7"/>
  <c r="C269" i="7"/>
  <c r="C488" i="7"/>
  <c r="C482" i="7"/>
  <c r="C383" i="7"/>
  <c r="C382" i="7"/>
  <c r="C381" i="7"/>
  <c r="C380" i="7"/>
  <c r="C379" i="7"/>
  <c r="C397" i="7"/>
  <c r="C264" i="7"/>
  <c r="C250" i="7"/>
  <c r="C249" i="7"/>
  <c r="C248" i="7"/>
  <c r="C247" i="7"/>
  <c r="C246" i="7"/>
  <c r="B110" i="7"/>
  <c r="C28" i="7"/>
  <c r="D28" i="7"/>
  <c r="B106" i="7"/>
  <c r="A380" i="7"/>
  <c r="A387" i="7" s="1"/>
  <c r="A382" i="7"/>
  <c r="A389" i="7" s="1"/>
  <c r="A384" i="7"/>
  <c r="A391" i="7" s="1"/>
  <c r="A357" i="7"/>
  <c r="A368" i="7"/>
  <c r="A369" i="7"/>
  <c r="A246" i="7"/>
  <c r="A253" i="7" s="1"/>
  <c r="A247" i="7"/>
  <c r="A254" i="7" s="1"/>
  <c r="A248" i="7"/>
  <c r="A255" i="7" s="1"/>
  <c r="A249" i="7"/>
  <c r="A256" i="7" s="1"/>
  <c r="A250" i="7"/>
  <c r="A257" i="7" s="1"/>
  <c r="A251" i="7"/>
  <c r="A258" i="7" s="1"/>
  <c r="A379" i="7"/>
  <c r="A386" i="7" s="1"/>
  <c r="A381" i="7"/>
  <c r="A388" i="7" s="1"/>
  <c r="A383" i="7"/>
  <c r="A390" i="7" s="1"/>
  <c r="A356" i="7"/>
  <c r="A362" i="7"/>
  <c r="A363" i="7"/>
  <c r="A374" i="7"/>
  <c r="K544" i="7" l="1"/>
  <c r="B65" i="7"/>
  <c r="B67" i="7" s="1"/>
  <c r="B84" i="7"/>
  <c r="J38" i="7"/>
  <c r="J37" i="7"/>
  <c r="J36" i="7"/>
  <c r="J487" i="7"/>
  <c r="J481" i="7"/>
  <c r="I580" i="7"/>
  <c r="J123" i="7"/>
  <c r="J22" i="7"/>
  <c r="J39" i="7" s="1"/>
  <c r="D353" i="7"/>
  <c r="D624" i="7"/>
  <c r="C624" i="7"/>
  <c r="C265" i="7"/>
  <c r="A581" i="7"/>
  <c r="D593" i="7" s="1"/>
  <c r="C580" i="7"/>
  <c r="C271" i="7" s="1"/>
  <c r="D580" i="7"/>
  <c r="E580" i="7"/>
  <c r="F580" i="7"/>
  <c r="G580" i="7"/>
  <c r="H580" i="7"/>
  <c r="A613" i="7"/>
  <c r="D625" i="7" s="1"/>
  <c r="C612" i="7"/>
  <c r="C296" i="7" s="1"/>
  <c r="D612" i="7"/>
  <c r="E612" i="7"/>
  <c r="F612" i="7"/>
  <c r="G612" i="7"/>
  <c r="H612" i="7"/>
  <c r="A645" i="7"/>
  <c r="J645" i="7" s="1"/>
  <c r="C644" i="7"/>
  <c r="C322" i="7" s="1"/>
  <c r="D644" i="7"/>
  <c r="E644" i="7"/>
  <c r="F644" i="7"/>
  <c r="G644" i="7"/>
  <c r="H644" i="7"/>
  <c r="J642" i="7"/>
  <c r="J613" i="7"/>
  <c r="J612" i="7"/>
  <c r="J611" i="7"/>
  <c r="J610" i="7"/>
  <c r="J644" i="7"/>
  <c r="J643" i="7"/>
  <c r="J579" i="7"/>
  <c r="J580" i="7"/>
  <c r="J578" i="7"/>
  <c r="C147" i="7"/>
  <c r="J519" i="7"/>
  <c r="J33" i="7"/>
  <c r="J29" i="7"/>
  <c r="J527" i="7"/>
  <c r="J523" i="7"/>
  <c r="J515" i="7"/>
  <c r="J40" i="7"/>
  <c r="J19" i="7"/>
  <c r="J26" i="7"/>
  <c r="K2" i="7"/>
  <c r="D482" i="7"/>
  <c r="D247" i="7"/>
  <c r="D561" i="7"/>
  <c r="D248" i="7"/>
  <c r="D379" i="7"/>
  <c r="D383" i="7"/>
  <c r="D488" i="7"/>
  <c r="D592" i="7"/>
  <c r="D294" i="7"/>
  <c r="D321" i="7"/>
  <c r="D264" i="7"/>
  <c r="D249" i="7"/>
  <c r="D380" i="7"/>
  <c r="D384" i="7"/>
  <c r="D269" i="7"/>
  <c r="D655" i="7"/>
  <c r="D30" i="7"/>
  <c r="D246" i="7"/>
  <c r="D250" i="7"/>
  <c r="D381" i="7"/>
  <c r="D397" i="7"/>
  <c r="D270" i="7"/>
  <c r="D623" i="7"/>
  <c r="D656" i="7"/>
  <c r="D567" i="7"/>
  <c r="D220" i="7"/>
  <c r="E561" i="7"/>
  <c r="C186" i="7"/>
  <c r="C398" i="7"/>
  <c r="C294" i="7"/>
  <c r="C30" i="7"/>
  <c r="E655" i="7"/>
  <c r="E656" i="7"/>
  <c r="E624" i="7"/>
  <c r="E623" i="7"/>
  <c r="E591" i="7"/>
  <c r="E488" i="7"/>
  <c r="E384" i="7"/>
  <c r="E383" i="7"/>
  <c r="E382" i="7"/>
  <c r="E380" i="7"/>
  <c r="E379" i="7"/>
  <c r="E397" i="7"/>
  <c r="E251" i="7"/>
  <c r="E250" i="7"/>
  <c r="E249" i="7"/>
  <c r="E247" i="7"/>
  <c r="E246" i="7"/>
  <c r="E28" i="7"/>
  <c r="C455" i="7"/>
  <c r="C270" i="7"/>
  <c r="C402" i="7"/>
  <c r="C429" i="7"/>
  <c r="C454" i="7"/>
  <c r="D320" i="7"/>
  <c r="L544" i="7" l="1"/>
  <c r="K37" i="7"/>
  <c r="K36" i="7"/>
  <c r="K38" i="7"/>
  <c r="D215" i="7"/>
  <c r="D216" i="7"/>
  <c r="D218" i="7"/>
  <c r="D219" i="7"/>
  <c r="D214" i="7"/>
  <c r="D217" i="7"/>
  <c r="D352" i="7"/>
  <c r="D350" i="7"/>
  <c r="D347" i="7"/>
  <c r="D348" i="7"/>
  <c r="D349" i="7"/>
  <c r="D351" i="7"/>
  <c r="K487" i="7"/>
  <c r="K481" i="7"/>
  <c r="D428" i="7"/>
  <c r="C404" i="7"/>
  <c r="C430" i="7"/>
  <c r="D403" i="7"/>
  <c r="C456" i="7"/>
  <c r="C428" i="7"/>
  <c r="E625" i="7"/>
  <c r="K22" i="7"/>
  <c r="K39" i="7" s="1"/>
  <c r="K123" i="7"/>
  <c r="E593" i="7"/>
  <c r="D271" i="7"/>
  <c r="D322" i="7"/>
  <c r="D657" i="7"/>
  <c r="J581" i="7"/>
  <c r="A646" i="7"/>
  <c r="C658" i="7" s="1"/>
  <c r="C645" i="7"/>
  <c r="D645" i="7"/>
  <c r="E645" i="7"/>
  <c r="F645" i="7"/>
  <c r="G645" i="7"/>
  <c r="H645" i="7"/>
  <c r="C657" i="7"/>
  <c r="I645" i="7"/>
  <c r="A582" i="7"/>
  <c r="F594" i="7" s="1"/>
  <c r="C581" i="7"/>
  <c r="D581" i="7"/>
  <c r="E581" i="7"/>
  <c r="F581" i="7"/>
  <c r="G581" i="7"/>
  <c r="H581" i="7"/>
  <c r="I581" i="7"/>
  <c r="C593" i="7"/>
  <c r="D296" i="7"/>
  <c r="A614" i="7"/>
  <c r="K614" i="7" s="1"/>
  <c r="C613" i="7"/>
  <c r="D613" i="7"/>
  <c r="E613" i="7"/>
  <c r="F613" i="7"/>
  <c r="G613" i="7"/>
  <c r="H613" i="7"/>
  <c r="C625" i="7"/>
  <c r="C626" i="7"/>
  <c r="I613" i="7"/>
  <c r="K645" i="7"/>
  <c r="K644" i="7"/>
  <c r="K642" i="7"/>
  <c r="K613" i="7"/>
  <c r="K643" i="7"/>
  <c r="K611" i="7"/>
  <c r="K581" i="7"/>
  <c r="K579" i="7"/>
  <c r="K612" i="7"/>
  <c r="K580" i="7"/>
  <c r="K578" i="7"/>
  <c r="K610" i="7"/>
  <c r="D265" i="7"/>
  <c r="D398" i="7"/>
  <c r="K527" i="7"/>
  <c r="K523" i="7"/>
  <c r="K515" i="7"/>
  <c r="K519" i="7"/>
  <c r="K33" i="7"/>
  <c r="K29" i="7"/>
  <c r="K26" i="7"/>
  <c r="K19" i="7"/>
  <c r="K40" i="7"/>
  <c r="L2" i="7"/>
  <c r="E248" i="7"/>
  <c r="E264" i="7"/>
  <c r="E381" i="7"/>
  <c r="E482" i="7"/>
  <c r="E592" i="7"/>
  <c r="E657" i="7"/>
  <c r="E296" i="7"/>
  <c r="E269" i="7"/>
  <c r="E322" i="7"/>
  <c r="E321" i="7"/>
  <c r="D295" i="7"/>
  <c r="E270" i="7"/>
  <c r="E295" i="7"/>
  <c r="F567" i="7"/>
  <c r="E567" i="7"/>
  <c r="F561" i="7"/>
  <c r="E320" i="7"/>
  <c r="E30" i="7"/>
  <c r="D455" i="7"/>
  <c r="D454" i="7"/>
  <c r="C403" i="7"/>
  <c r="D402" i="7"/>
  <c r="F657" i="7"/>
  <c r="F656" i="7"/>
  <c r="F322" i="7"/>
  <c r="F321" i="7"/>
  <c r="F320" i="7"/>
  <c r="F625" i="7"/>
  <c r="F624" i="7"/>
  <c r="F623" i="7"/>
  <c r="F296" i="7"/>
  <c r="F295" i="7"/>
  <c r="F294" i="7"/>
  <c r="F593" i="7"/>
  <c r="F592" i="7"/>
  <c r="F591" i="7"/>
  <c r="F270" i="7"/>
  <c r="F269" i="7"/>
  <c r="F488" i="7"/>
  <c r="F482" i="7"/>
  <c r="F397" i="7"/>
  <c r="F384" i="7"/>
  <c r="F383" i="7"/>
  <c r="F382" i="7"/>
  <c r="F381" i="7"/>
  <c r="F380" i="7"/>
  <c r="F379" i="7"/>
  <c r="F251" i="7"/>
  <c r="F250" i="7"/>
  <c r="F249" i="7"/>
  <c r="F248" i="7"/>
  <c r="F247" i="7"/>
  <c r="F246" i="7"/>
  <c r="F264" i="7"/>
  <c r="F28" i="7"/>
  <c r="E265" i="7"/>
  <c r="E398" i="7"/>
  <c r="M544" i="7" l="1"/>
  <c r="L38" i="7"/>
  <c r="L37" i="7"/>
  <c r="L36" i="7"/>
  <c r="L487" i="7"/>
  <c r="L481" i="7"/>
  <c r="D430" i="7"/>
  <c r="E429" i="7"/>
  <c r="E403" i="7"/>
  <c r="D429" i="7"/>
  <c r="E455" i="7"/>
  <c r="E454" i="7"/>
  <c r="E456" i="7"/>
  <c r="D456" i="7"/>
  <c r="E402" i="7"/>
  <c r="D404" i="7"/>
  <c r="E430" i="7"/>
  <c r="L22" i="7"/>
  <c r="L39" i="7" s="1"/>
  <c r="L123" i="7"/>
  <c r="F658" i="7"/>
  <c r="F626" i="7"/>
  <c r="F272" i="7"/>
  <c r="E297" i="7"/>
  <c r="F297" i="7"/>
  <c r="K582" i="7"/>
  <c r="E272" i="7"/>
  <c r="E323" i="7"/>
  <c r="C297" i="7"/>
  <c r="D297" i="7"/>
  <c r="C272" i="7"/>
  <c r="D272" i="7"/>
  <c r="A615" i="7"/>
  <c r="C627" i="7" s="1"/>
  <c r="C614" i="7"/>
  <c r="D614" i="7"/>
  <c r="E614" i="7"/>
  <c r="F614" i="7"/>
  <c r="G614" i="7"/>
  <c r="H614" i="7"/>
  <c r="I614" i="7"/>
  <c r="J614" i="7"/>
  <c r="D626" i="7"/>
  <c r="A583" i="7"/>
  <c r="E595" i="7" s="1"/>
  <c r="C582" i="7"/>
  <c r="D582" i="7"/>
  <c r="E582" i="7"/>
  <c r="F582" i="7"/>
  <c r="G582" i="7"/>
  <c r="H582" i="7"/>
  <c r="I582" i="7"/>
  <c r="C595" i="7"/>
  <c r="J582" i="7"/>
  <c r="E594" i="7"/>
  <c r="D594" i="7"/>
  <c r="E626" i="7"/>
  <c r="K646" i="7"/>
  <c r="C594" i="7"/>
  <c r="C323" i="7"/>
  <c r="D323" i="7"/>
  <c r="A647" i="7"/>
  <c r="C659" i="7" s="1"/>
  <c r="C646" i="7"/>
  <c r="D646" i="7"/>
  <c r="E646" i="7"/>
  <c r="F646" i="7"/>
  <c r="G646" i="7"/>
  <c r="H646" i="7"/>
  <c r="I646" i="7"/>
  <c r="D659" i="7"/>
  <c r="E658" i="7"/>
  <c r="J646" i="7"/>
  <c r="D658" i="7"/>
  <c r="E659" i="7"/>
  <c r="L645" i="7"/>
  <c r="L643" i="7"/>
  <c r="L646" i="7"/>
  <c r="L644" i="7"/>
  <c r="L642" i="7"/>
  <c r="L613" i="7"/>
  <c r="L611" i="7"/>
  <c r="L582" i="7"/>
  <c r="L581" i="7"/>
  <c r="L580" i="7"/>
  <c r="L579" i="7"/>
  <c r="L578" i="7"/>
  <c r="L614" i="7"/>
  <c r="L612" i="7"/>
  <c r="L610" i="7"/>
  <c r="L519" i="7"/>
  <c r="L33" i="7"/>
  <c r="L29" i="7"/>
  <c r="L527" i="7"/>
  <c r="L523" i="7"/>
  <c r="L515" i="7"/>
  <c r="L19" i="7"/>
  <c r="L40" i="7"/>
  <c r="L26" i="7"/>
  <c r="M2" i="7"/>
  <c r="E271" i="7"/>
  <c r="E294" i="7"/>
  <c r="F323" i="7"/>
  <c r="F271" i="7"/>
  <c r="G567" i="7"/>
  <c r="G561" i="7"/>
  <c r="F30" i="7"/>
  <c r="F402" i="7"/>
  <c r="F430" i="7"/>
  <c r="F454" i="7"/>
  <c r="F455" i="7"/>
  <c r="G658" i="7"/>
  <c r="G657" i="7"/>
  <c r="G656" i="7"/>
  <c r="G323" i="7"/>
  <c r="G322" i="7"/>
  <c r="G321" i="7"/>
  <c r="G320" i="7"/>
  <c r="G626" i="7"/>
  <c r="G625" i="7"/>
  <c r="G624" i="7"/>
  <c r="G623" i="7"/>
  <c r="G297" i="7"/>
  <c r="G296" i="7"/>
  <c r="G295" i="7"/>
  <c r="G294" i="7"/>
  <c r="G594" i="7"/>
  <c r="G593" i="7"/>
  <c r="G592" i="7"/>
  <c r="G591" i="7"/>
  <c r="G272" i="7"/>
  <c r="G271" i="7"/>
  <c r="G270" i="7"/>
  <c r="G269" i="7"/>
  <c r="G488" i="7"/>
  <c r="G482" i="7"/>
  <c r="G384" i="7"/>
  <c r="G383" i="7"/>
  <c r="G382" i="7"/>
  <c r="G381" i="7"/>
  <c r="G380" i="7"/>
  <c r="G379" i="7"/>
  <c r="G397" i="7"/>
  <c r="G264" i="7"/>
  <c r="G251" i="7"/>
  <c r="G250" i="7"/>
  <c r="G249" i="7"/>
  <c r="G248" i="7"/>
  <c r="G247" i="7"/>
  <c r="G246" i="7"/>
  <c r="G28" i="7"/>
  <c r="F265" i="7"/>
  <c r="F403" i="7"/>
  <c r="F428" i="7"/>
  <c r="F456" i="7"/>
  <c r="F398" i="7"/>
  <c r="F429" i="7"/>
  <c r="N544" i="7" l="1"/>
  <c r="M38" i="7"/>
  <c r="M37" i="7"/>
  <c r="M36" i="7"/>
  <c r="M487" i="7"/>
  <c r="M481" i="7"/>
  <c r="E428" i="7"/>
  <c r="F431" i="7"/>
  <c r="D405" i="7"/>
  <c r="E431" i="7"/>
  <c r="C405" i="7"/>
  <c r="F405" i="7"/>
  <c r="D431" i="7"/>
  <c r="F404" i="7"/>
  <c r="C431" i="7"/>
  <c r="F457" i="7"/>
  <c r="E457" i="7"/>
  <c r="D457" i="7"/>
  <c r="E405" i="7"/>
  <c r="E404" i="7"/>
  <c r="C457" i="7"/>
  <c r="G627" i="7"/>
  <c r="M22" i="7"/>
  <c r="M39" i="7" s="1"/>
  <c r="M123" i="7"/>
  <c r="E627" i="7"/>
  <c r="L615" i="7"/>
  <c r="G298" i="7"/>
  <c r="D595" i="7"/>
  <c r="G273" i="7"/>
  <c r="G595" i="7"/>
  <c r="L583" i="7"/>
  <c r="G324" i="7"/>
  <c r="D627" i="7"/>
  <c r="G659" i="7"/>
  <c r="L647" i="7"/>
  <c r="F627" i="7"/>
  <c r="C273" i="7"/>
  <c r="D273" i="7"/>
  <c r="F273" i="7"/>
  <c r="E273" i="7"/>
  <c r="D324" i="7"/>
  <c r="C324" i="7"/>
  <c r="F324" i="7"/>
  <c r="E324" i="7"/>
  <c r="A584" i="7"/>
  <c r="C596" i="7" s="1"/>
  <c r="C583" i="7"/>
  <c r="D583" i="7"/>
  <c r="E583" i="7"/>
  <c r="F583" i="7"/>
  <c r="G583" i="7"/>
  <c r="H583" i="7"/>
  <c r="I583" i="7"/>
  <c r="J583" i="7"/>
  <c r="K583" i="7"/>
  <c r="F595" i="7"/>
  <c r="C298" i="7"/>
  <c r="D298" i="7"/>
  <c r="F298" i="7"/>
  <c r="E298" i="7"/>
  <c r="A648" i="7"/>
  <c r="E660" i="7" s="1"/>
  <c r="C647" i="7"/>
  <c r="D647" i="7"/>
  <c r="E647" i="7"/>
  <c r="F647" i="7"/>
  <c r="G647" i="7"/>
  <c r="H647" i="7"/>
  <c r="I647" i="7"/>
  <c r="J647" i="7"/>
  <c r="K647" i="7"/>
  <c r="F659" i="7"/>
  <c r="A616" i="7"/>
  <c r="D628" i="7" s="1"/>
  <c r="C615" i="7"/>
  <c r="D615" i="7"/>
  <c r="E615" i="7"/>
  <c r="F615" i="7"/>
  <c r="G615" i="7"/>
  <c r="H615" i="7"/>
  <c r="I615" i="7"/>
  <c r="J615" i="7"/>
  <c r="K615" i="7"/>
  <c r="M646" i="7"/>
  <c r="M644" i="7"/>
  <c r="M643" i="7"/>
  <c r="M642" i="7"/>
  <c r="M647" i="7"/>
  <c r="M610" i="7"/>
  <c r="M615" i="7"/>
  <c r="M613" i="7"/>
  <c r="M645" i="7"/>
  <c r="M614" i="7"/>
  <c r="M612" i="7"/>
  <c r="M582" i="7"/>
  <c r="M580" i="7"/>
  <c r="M578" i="7"/>
  <c r="M611" i="7"/>
  <c r="M583" i="7"/>
  <c r="M581" i="7"/>
  <c r="M579" i="7"/>
  <c r="M519" i="7"/>
  <c r="M33" i="7"/>
  <c r="M29" i="7"/>
  <c r="M527" i="7"/>
  <c r="M523" i="7"/>
  <c r="M515" i="7"/>
  <c r="M40" i="7"/>
  <c r="M26" i="7"/>
  <c r="M19" i="7"/>
  <c r="N2" i="7"/>
  <c r="H567" i="7"/>
  <c r="H561" i="7"/>
  <c r="G30" i="7"/>
  <c r="G402" i="7"/>
  <c r="G405" i="7"/>
  <c r="G429" i="7"/>
  <c r="G457" i="7"/>
  <c r="G430" i="7"/>
  <c r="G454" i="7"/>
  <c r="H659" i="7"/>
  <c r="H658" i="7"/>
  <c r="H657" i="7"/>
  <c r="H656" i="7"/>
  <c r="H324" i="7"/>
  <c r="H323" i="7"/>
  <c r="H322" i="7"/>
  <c r="H321" i="7"/>
  <c r="H320" i="7"/>
  <c r="H627" i="7"/>
  <c r="H626" i="7"/>
  <c r="H625" i="7"/>
  <c r="H624" i="7"/>
  <c r="H623" i="7"/>
  <c r="H298" i="7"/>
  <c r="H297" i="7"/>
  <c r="H296" i="7"/>
  <c r="H295" i="7"/>
  <c r="H294" i="7"/>
  <c r="H595" i="7"/>
  <c r="H594" i="7"/>
  <c r="H593" i="7"/>
  <c r="H592" i="7"/>
  <c r="H591" i="7"/>
  <c r="H273" i="7"/>
  <c r="H272" i="7"/>
  <c r="H271" i="7"/>
  <c r="H270" i="7"/>
  <c r="H269" i="7"/>
  <c r="H488" i="7"/>
  <c r="H482" i="7"/>
  <c r="H397" i="7"/>
  <c r="H384" i="7"/>
  <c r="H383" i="7"/>
  <c r="H382" i="7"/>
  <c r="H381" i="7"/>
  <c r="H380" i="7"/>
  <c r="H379" i="7"/>
  <c r="H251" i="7"/>
  <c r="H250" i="7"/>
  <c r="H249" i="7"/>
  <c r="H248" i="7"/>
  <c r="H247" i="7"/>
  <c r="H246" i="7"/>
  <c r="H264" i="7"/>
  <c r="H28" i="7"/>
  <c r="G265" i="7"/>
  <c r="G404" i="7"/>
  <c r="G403" i="7"/>
  <c r="G431" i="7"/>
  <c r="G455" i="7"/>
  <c r="G428" i="7"/>
  <c r="G456" i="7"/>
  <c r="G398" i="7"/>
  <c r="O544" i="7" l="1"/>
  <c r="N38" i="7"/>
  <c r="N37" i="7"/>
  <c r="N36" i="7"/>
  <c r="N487" i="7"/>
  <c r="N481" i="7"/>
  <c r="C406" i="7"/>
  <c r="G406" i="7"/>
  <c r="E458" i="7"/>
  <c r="E432" i="7"/>
  <c r="F458" i="7"/>
  <c r="G432" i="7"/>
  <c r="F432" i="7"/>
  <c r="C458" i="7"/>
  <c r="D406" i="7"/>
  <c r="D432" i="7"/>
  <c r="D458" i="7"/>
  <c r="F406" i="7"/>
  <c r="C432" i="7"/>
  <c r="E406" i="7"/>
  <c r="G458" i="7"/>
  <c r="N22" i="7"/>
  <c r="N39" i="7" s="1"/>
  <c r="N123" i="7"/>
  <c r="H628" i="7"/>
  <c r="H660" i="7"/>
  <c r="H596" i="7"/>
  <c r="F596" i="7"/>
  <c r="M616" i="7"/>
  <c r="E628" i="7"/>
  <c r="F628" i="7"/>
  <c r="H274" i="7"/>
  <c r="D596" i="7"/>
  <c r="C628" i="7"/>
  <c r="E596" i="7"/>
  <c r="M584" i="7"/>
  <c r="H299" i="7"/>
  <c r="M648" i="7"/>
  <c r="F660" i="7"/>
  <c r="D660" i="7"/>
  <c r="C660" i="7"/>
  <c r="H325" i="7"/>
  <c r="A617" i="7"/>
  <c r="E629" i="7" s="1"/>
  <c r="C616" i="7"/>
  <c r="D616" i="7"/>
  <c r="E616" i="7"/>
  <c r="F616" i="7"/>
  <c r="G616" i="7"/>
  <c r="H616" i="7"/>
  <c r="I616" i="7"/>
  <c r="J616" i="7"/>
  <c r="K616" i="7"/>
  <c r="L616" i="7"/>
  <c r="G628" i="7"/>
  <c r="C325" i="7"/>
  <c r="D325" i="7"/>
  <c r="E325" i="7"/>
  <c r="F325" i="7"/>
  <c r="G325" i="7"/>
  <c r="C274" i="7"/>
  <c r="D274" i="7"/>
  <c r="E274" i="7"/>
  <c r="G274" i="7"/>
  <c r="F274" i="7"/>
  <c r="C299" i="7"/>
  <c r="D299" i="7"/>
  <c r="E299" i="7"/>
  <c r="F299" i="7"/>
  <c r="G299" i="7"/>
  <c r="A649" i="7"/>
  <c r="G661" i="7" s="1"/>
  <c r="C648" i="7"/>
  <c r="D648" i="7"/>
  <c r="E648" i="7"/>
  <c r="F648" i="7"/>
  <c r="G648" i="7"/>
  <c r="H648" i="7"/>
  <c r="I648" i="7"/>
  <c r="J648" i="7"/>
  <c r="K648" i="7"/>
  <c r="G660" i="7"/>
  <c r="L648" i="7"/>
  <c r="A585" i="7"/>
  <c r="G597" i="7" s="1"/>
  <c r="C584" i="7"/>
  <c r="D584" i="7"/>
  <c r="E584" i="7"/>
  <c r="F584" i="7"/>
  <c r="G584" i="7"/>
  <c r="H584" i="7"/>
  <c r="I584" i="7"/>
  <c r="C597" i="7"/>
  <c r="J584" i="7"/>
  <c r="K584" i="7"/>
  <c r="L584" i="7"/>
  <c r="G596" i="7"/>
  <c r="N648" i="7"/>
  <c r="N646" i="7"/>
  <c r="N644" i="7"/>
  <c r="N616" i="7"/>
  <c r="N615" i="7"/>
  <c r="N614" i="7"/>
  <c r="N613" i="7"/>
  <c r="N612" i="7"/>
  <c r="N611" i="7"/>
  <c r="N610" i="7"/>
  <c r="N643" i="7"/>
  <c r="N647" i="7"/>
  <c r="N642" i="7"/>
  <c r="N645" i="7"/>
  <c r="N584" i="7"/>
  <c r="N582" i="7"/>
  <c r="N580" i="7"/>
  <c r="N578" i="7"/>
  <c r="N583" i="7"/>
  <c r="N581" i="7"/>
  <c r="N579" i="7"/>
  <c r="N519" i="7"/>
  <c r="N33" i="7"/>
  <c r="N29" i="7"/>
  <c r="N527" i="7"/>
  <c r="N523" i="7"/>
  <c r="N515" i="7"/>
  <c r="N40" i="7"/>
  <c r="N26" i="7"/>
  <c r="N19" i="7"/>
  <c r="O2" i="7"/>
  <c r="I567" i="7"/>
  <c r="I561" i="7"/>
  <c r="H30" i="7"/>
  <c r="H403" i="7"/>
  <c r="H404" i="7"/>
  <c r="H428" i="7"/>
  <c r="H432" i="7"/>
  <c r="H456" i="7"/>
  <c r="H398" i="7"/>
  <c r="H429" i="7"/>
  <c r="H457" i="7"/>
  <c r="I660" i="7"/>
  <c r="I659" i="7"/>
  <c r="I658" i="7"/>
  <c r="I657" i="7"/>
  <c r="I325" i="7"/>
  <c r="I324" i="7"/>
  <c r="I323" i="7"/>
  <c r="I322" i="7"/>
  <c r="I321" i="7"/>
  <c r="I299" i="7"/>
  <c r="I298" i="7"/>
  <c r="I320" i="7"/>
  <c r="I628" i="7"/>
  <c r="I627" i="7"/>
  <c r="I626" i="7"/>
  <c r="I625" i="7"/>
  <c r="I624" i="7"/>
  <c r="I623" i="7"/>
  <c r="I274" i="7"/>
  <c r="I273" i="7"/>
  <c r="I297" i="7"/>
  <c r="I295" i="7"/>
  <c r="I294" i="7"/>
  <c r="I596" i="7"/>
  <c r="I595" i="7"/>
  <c r="I594" i="7"/>
  <c r="I593" i="7"/>
  <c r="I592" i="7"/>
  <c r="I591" i="7"/>
  <c r="I272" i="7"/>
  <c r="I271" i="7"/>
  <c r="I270" i="7"/>
  <c r="I269" i="7"/>
  <c r="I488" i="7"/>
  <c r="I482" i="7"/>
  <c r="I384" i="7"/>
  <c r="I383" i="7"/>
  <c r="I382" i="7"/>
  <c r="I381" i="7"/>
  <c r="I380" i="7"/>
  <c r="I379" i="7"/>
  <c r="I296" i="7"/>
  <c r="I397" i="7"/>
  <c r="I264" i="7"/>
  <c r="I251" i="7"/>
  <c r="I250" i="7"/>
  <c r="I249" i="7"/>
  <c r="I248" i="7"/>
  <c r="I247" i="7"/>
  <c r="I246" i="7"/>
  <c r="I28" i="7"/>
  <c r="H265" i="7"/>
  <c r="H405" i="7"/>
  <c r="H402" i="7"/>
  <c r="H406" i="7"/>
  <c r="H430" i="7"/>
  <c r="H454" i="7"/>
  <c r="H458" i="7"/>
  <c r="H431" i="7"/>
  <c r="H455" i="7"/>
  <c r="P544" i="7" l="1"/>
  <c r="O38" i="7"/>
  <c r="O37" i="7"/>
  <c r="O36" i="7"/>
  <c r="O487" i="7"/>
  <c r="O481" i="7"/>
  <c r="G433" i="7"/>
  <c r="D407" i="7"/>
  <c r="H433" i="7"/>
  <c r="E433" i="7"/>
  <c r="G459" i="7"/>
  <c r="D433" i="7"/>
  <c r="F459" i="7"/>
  <c r="H459" i="7"/>
  <c r="C407" i="7"/>
  <c r="C433" i="7"/>
  <c r="E459" i="7"/>
  <c r="F407" i="7"/>
  <c r="D459" i="7"/>
  <c r="H407" i="7"/>
  <c r="G407" i="7"/>
  <c r="C459" i="7"/>
  <c r="F433" i="7"/>
  <c r="E407" i="7"/>
  <c r="O123" i="7"/>
  <c r="O22" i="7"/>
  <c r="O39" i="7" s="1"/>
  <c r="C661" i="7"/>
  <c r="F661" i="7"/>
  <c r="I629" i="7"/>
  <c r="N617" i="7"/>
  <c r="F629" i="7"/>
  <c r="C629" i="7"/>
  <c r="I661" i="7"/>
  <c r="E661" i="7"/>
  <c r="D661" i="7"/>
  <c r="I597" i="7"/>
  <c r="N649" i="7"/>
  <c r="I300" i="7"/>
  <c r="D629" i="7"/>
  <c r="D597" i="7"/>
  <c r="G629" i="7"/>
  <c r="N585" i="7"/>
  <c r="F597" i="7"/>
  <c r="I326" i="7"/>
  <c r="A650" i="7"/>
  <c r="D662" i="7" s="1"/>
  <c r="C649" i="7"/>
  <c r="D649" i="7"/>
  <c r="E649" i="7"/>
  <c r="F649" i="7"/>
  <c r="G649" i="7"/>
  <c r="H649" i="7"/>
  <c r="I649" i="7"/>
  <c r="C662" i="7"/>
  <c r="J649" i="7"/>
  <c r="K649" i="7"/>
  <c r="L649" i="7"/>
  <c r="H661" i="7"/>
  <c r="M649" i="7"/>
  <c r="C275" i="7"/>
  <c r="E275" i="7"/>
  <c r="D275" i="7"/>
  <c r="F275" i="7"/>
  <c r="G275" i="7"/>
  <c r="H275" i="7"/>
  <c r="C300" i="7"/>
  <c r="D300" i="7"/>
  <c r="F300" i="7"/>
  <c r="E300" i="7"/>
  <c r="G300" i="7"/>
  <c r="H300" i="7"/>
  <c r="A586" i="7"/>
  <c r="E598" i="7" s="1"/>
  <c r="C585" i="7"/>
  <c r="D585" i="7"/>
  <c r="E585" i="7"/>
  <c r="F585" i="7"/>
  <c r="G585" i="7"/>
  <c r="H585" i="7"/>
  <c r="I585" i="7"/>
  <c r="C598" i="7"/>
  <c r="J585" i="7"/>
  <c r="K585" i="7"/>
  <c r="L585" i="7"/>
  <c r="M585" i="7"/>
  <c r="H597" i="7"/>
  <c r="A618" i="7"/>
  <c r="F630" i="7" s="1"/>
  <c r="C617" i="7"/>
  <c r="D617" i="7"/>
  <c r="E617" i="7"/>
  <c r="F617" i="7"/>
  <c r="G617" i="7"/>
  <c r="H617" i="7"/>
  <c r="I617" i="7"/>
  <c r="C630" i="7"/>
  <c r="J617" i="7"/>
  <c r="K617" i="7"/>
  <c r="L617" i="7"/>
  <c r="M617" i="7"/>
  <c r="H629" i="7"/>
  <c r="I275" i="7"/>
  <c r="E597" i="7"/>
  <c r="C326" i="7"/>
  <c r="D326" i="7"/>
  <c r="E326" i="7"/>
  <c r="F326" i="7"/>
  <c r="G326" i="7"/>
  <c r="H326" i="7"/>
  <c r="O649" i="7"/>
  <c r="O648" i="7"/>
  <c r="O647" i="7"/>
  <c r="O646" i="7"/>
  <c r="O645" i="7"/>
  <c r="O644" i="7"/>
  <c r="O642" i="7"/>
  <c r="O617" i="7"/>
  <c r="O615" i="7"/>
  <c r="O643" i="7"/>
  <c r="O616" i="7"/>
  <c r="O614" i="7"/>
  <c r="O612" i="7"/>
  <c r="O610" i="7"/>
  <c r="O583" i="7"/>
  <c r="O581" i="7"/>
  <c r="O579" i="7"/>
  <c r="O611" i="7"/>
  <c r="O585" i="7"/>
  <c r="O613" i="7"/>
  <c r="O584" i="7"/>
  <c r="O582" i="7"/>
  <c r="O580" i="7"/>
  <c r="O578" i="7"/>
  <c r="O527" i="7"/>
  <c r="O523" i="7"/>
  <c r="O515" i="7"/>
  <c r="O519" i="7"/>
  <c r="O33" i="7"/>
  <c r="O29" i="7"/>
  <c r="O26" i="7"/>
  <c r="O19" i="7"/>
  <c r="O40" i="7"/>
  <c r="P2" i="7"/>
  <c r="J567" i="7"/>
  <c r="J561" i="7"/>
  <c r="I406" i="7"/>
  <c r="I405" i="7"/>
  <c r="I429" i="7"/>
  <c r="I433" i="7"/>
  <c r="I457" i="7"/>
  <c r="I430" i="7"/>
  <c r="I454" i="7"/>
  <c r="I458" i="7"/>
  <c r="I30" i="7"/>
  <c r="J661" i="7"/>
  <c r="J660" i="7"/>
  <c r="J659" i="7"/>
  <c r="J658" i="7"/>
  <c r="J657" i="7"/>
  <c r="J326" i="7"/>
  <c r="J325" i="7"/>
  <c r="J324" i="7"/>
  <c r="J323" i="7"/>
  <c r="J322" i="7"/>
  <c r="J321" i="7"/>
  <c r="J320" i="7"/>
  <c r="J629" i="7"/>
  <c r="J628" i="7"/>
  <c r="J627" i="7"/>
  <c r="J626" i="7"/>
  <c r="J625" i="7"/>
  <c r="J624" i="7"/>
  <c r="J623" i="7"/>
  <c r="J300" i="7"/>
  <c r="J299" i="7"/>
  <c r="J298" i="7"/>
  <c r="J297" i="7"/>
  <c r="J296" i="7"/>
  <c r="J295" i="7"/>
  <c r="J294" i="7"/>
  <c r="J597" i="7"/>
  <c r="J596" i="7"/>
  <c r="J595" i="7"/>
  <c r="J594" i="7"/>
  <c r="J593" i="7"/>
  <c r="J592" i="7"/>
  <c r="J591" i="7"/>
  <c r="J275" i="7"/>
  <c r="J274" i="7"/>
  <c r="J273" i="7"/>
  <c r="J272" i="7"/>
  <c r="J271" i="7"/>
  <c r="J270" i="7"/>
  <c r="J269" i="7"/>
  <c r="J488" i="7"/>
  <c r="J482" i="7"/>
  <c r="J397" i="7"/>
  <c r="J384" i="7"/>
  <c r="J383" i="7"/>
  <c r="J382" i="7"/>
  <c r="J381" i="7"/>
  <c r="J380" i="7"/>
  <c r="J379" i="7"/>
  <c r="J251" i="7"/>
  <c r="J250" i="7"/>
  <c r="J249" i="7"/>
  <c r="J248" i="7"/>
  <c r="J247" i="7"/>
  <c r="J246" i="7"/>
  <c r="J264" i="7"/>
  <c r="J28" i="7"/>
  <c r="I265" i="7"/>
  <c r="I402" i="7"/>
  <c r="I404" i="7"/>
  <c r="I403" i="7"/>
  <c r="I407" i="7"/>
  <c r="I431" i="7"/>
  <c r="I455" i="7"/>
  <c r="I459" i="7"/>
  <c r="I428" i="7"/>
  <c r="I432" i="7"/>
  <c r="I456" i="7"/>
  <c r="I398" i="7"/>
  <c r="Q544" i="7" l="1"/>
  <c r="O586" i="7"/>
  <c r="P38" i="7"/>
  <c r="P37" i="7"/>
  <c r="P36" i="7"/>
  <c r="P487" i="7"/>
  <c r="P481" i="7"/>
  <c r="C408" i="7"/>
  <c r="H460" i="7"/>
  <c r="D434" i="7"/>
  <c r="I408" i="7"/>
  <c r="G460" i="7"/>
  <c r="C434" i="7"/>
  <c r="F460" i="7"/>
  <c r="H408" i="7"/>
  <c r="F434" i="7"/>
  <c r="E460" i="7"/>
  <c r="G408" i="7"/>
  <c r="D460" i="7"/>
  <c r="H434" i="7"/>
  <c r="F408" i="7"/>
  <c r="I434" i="7"/>
  <c r="C460" i="7"/>
  <c r="G434" i="7"/>
  <c r="D408" i="7"/>
  <c r="E434" i="7"/>
  <c r="E408" i="7"/>
  <c r="I460" i="7"/>
  <c r="P22" i="7"/>
  <c r="P39" i="7" s="1"/>
  <c r="P123" i="7"/>
  <c r="E630" i="7"/>
  <c r="G598" i="7"/>
  <c r="D598" i="7"/>
  <c r="J598" i="7"/>
  <c r="H598" i="7"/>
  <c r="F598" i="7"/>
  <c r="J662" i="7"/>
  <c r="F662" i="7"/>
  <c r="O618" i="7"/>
  <c r="H630" i="7"/>
  <c r="G630" i="7"/>
  <c r="J276" i="7"/>
  <c r="H662" i="7"/>
  <c r="J630" i="7"/>
  <c r="D630" i="7"/>
  <c r="E662" i="7"/>
  <c r="O650" i="7"/>
  <c r="G662" i="7"/>
  <c r="J301" i="7"/>
  <c r="A619" i="7"/>
  <c r="D631" i="7" s="1"/>
  <c r="C618" i="7"/>
  <c r="D618" i="7"/>
  <c r="E618" i="7"/>
  <c r="F618" i="7"/>
  <c r="G618" i="7"/>
  <c r="H618" i="7"/>
  <c r="I618" i="7"/>
  <c r="J618" i="7"/>
  <c r="K618" i="7"/>
  <c r="L618" i="7"/>
  <c r="M618" i="7"/>
  <c r="I630" i="7"/>
  <c r="N618" i="7"/>
  <c r="D327" i="7"/>
  <c r="C327" i="7"/>
  <c r="E327" i="7"/>
  <c r="F327" i="7"/>
  <c r="G327" i="7"/>
  <c r="H327" i="7"/>
  <c r="I327" i="7"/>
  <c r="C276" i="7"/>
  <c r="D276" i="7"/>
  <c r="F276" i="7"/>
  <c r="E276" i="7"/>
  <c r="G276" i="7"/>
  <c r="H276" i="7"/>
  <c r="I276" i="7"/>
  <c r="A651" i="7"/>
  <c r="I663" i="7" s="1"/>
  <c r="C650" i="7"/>
  <c r="D650" i="7"/>
  <c r="E650" i="7"/>
  <c r="F650" i="7"/>
  <c r="G650" i="7"/>
  <c r="H650" i="7"/>
  <c r="I650" i="7"/>
  <c r="C663" i="7"/>
  <c r="J650" i="7"/>
  <c r="K650" i="7"/>
  <c r="L650" i="7"/>
  <c r="M650" i="7"/>
  <c r="I662" i="7"/>
  <c r="N650" i="7"/>
  <c r="J327" i="7"/>
  <c r="C301" i="7"/>
  <c r="E301" i="7"/>
  <c r="D301" i="7"/>
  <c r="F301" i="7"/>
  <c r="G301" i="7"/>
  <c r="H301" i="7"/>
  <c r="I301" i="7"/>
  <c r="A587" i="7"/>
  <c r="F599" i="7" s="1"/>
  <c r="C586" i="7"/>
  <c r="D586" i="7"/>
  <c r="E586" i="7"/>
  <c r="F586" i="7"/>
  <c r="G586" i="7"/>
  <c r="H586" i="7"/>
  <c r="I586" i="7"/>
  <c r="C599" i="7"/>
  <c r="J586" i="7"/>
  <c r="K586" i="7"/>
  <c r="L586" i="7"/>
  <c r="M586" i="7"/>
  <c r="N586" i="7"/>
  <c r="I598" i="7"/>
  <c r="P649" i="7"/>
  <c r="P647" i="7"/>
  <c r="P645" i="7"/>
  <c r="P648" i="7"/>
  <c r="P644" i="7"/>
  <c r="P646" i="7"/>
  <c r="P617" i="7"/>
  <c r="P615" i="7"/>
  <c r="P611" i="7"/>
  <c r="P642" i="7"/>
  <c r="P643" i="7"/>
  <c r="P618" i="7"/>
  <c r="P616" i="7"/>
  <c r="P614" i="7"/>
  <c r="P650" i="7"/>
  <c r="P584" i="7"/>
  <c r="P583" i="7"/>
  <c r="P582" i="7"/>
  <c r="P581" i="7"/>
  <c r="P580" i="7"/>
  <c r="P579" i="7"/>
  <c r="P578" i="7"/>
  <c r="P613" i="7"/>
  <c r="P610" i="7"/>
  <c r="P585" i="7"/>
  <c r="P612" i="7"/>
  <c r="P586" i="7"/>
  <c r="P519" i="7"/>
  <c r="P33" i="7"/>
  <c r="P29" i="7"/>
  <c r="P527" i="7"/>
  <c r="P523" i="7"/>
  <c r="P515" i="7"/>
  <c r="P19" i="7"/>
  <c r="P40" i="7"/>
  <c r="P26" i="7"/>
  <c r="Q2" i="7"/>
  <c r="K567" i="7"/>
  <c r="K561" i="7"/>
  <c r="J407" i="7"/>
  <c r="J402" i="7"/>
  <c r="J406" i="7"/>
  <c r="J430" i="7"/>
  <c r="J434" i="7"/>
  <c r="J454" i="7"/>
  <c r="J458" i="7"/>
  <c r="J431" i="7"/>
  <c r="J455" i="7"/>
  <c r="J459" i="7"/>
  <c r="J30" i="7"/>
  <c r="K663" i="7"/>
  <c r="K662" i="7"/>
  <c r="K661" i="7"/>
  <c r="K660" i="7"/>
  <c r="K659" i="7"/>
  <c r="K658" i="7"/>
  <c r="K657" i="7"/>
  <c r="K327" i="7"/>
  <c r="K326" i="7"/>
  <c r="K325" i="7"/>
  <c r="K324" i="7"/>
  <c r="K323" i="7"/>
  <c r="K322" i="7"/>
  <c r="K301" i="7"/>
  <c r="K300" i="7"/>
  <c r="K299" i="7"/>
  <c r="K298" i="7"/>
  <c r="K321" i="7"/>
  <c r="K631" i="7"/>
  <c r="K630" i="7"/>
  <c r="K629" i="7"/>
  <c r="K628" i="7"/>
  <c r="K627" i="7"/>
  <c r="K626" i="7"/>
  <c r="K625" i="7"/>
  <c r="K624" i="7"/>
  <c r="K623" i="7"/>
  <c r="K297" i="7"/>
  <c r="K276" i="7"/>
  <c r="K275" i="7"/>
  <c r="K274" i="7"/>
  <c r="K273" i="7"/>
  <c r="K296" i="7"/>
  <c r="K295" i="7"/>
  <c r="K294" i="7"/>
  <c r="K598" i="7"/>
  <c r="K597" i="7"/>
  <c r="K596" i="7"/>
  <c r="K595" i="7"/>
  <c r="K594" i="7"/>
  <c r="K593" i="7"/>
  <c r="K592" i="7"/>
  <c r="K591" i="7"/>
  <c r="K271" i="7"/>
  <c r="K272" i="7"/>
  <c r="K270" i="7"/>
  <c r="K488" i="7"/>
  <c r="K482" i="7"/>
  <c r="K384" i="7"/>
  <c r="K383" i="7"/>
  <c r="K382" i="7"/>
  <c r="K381" i="7"/>
  <c r="K380" i="7"/>
  <c r="K379" i="7"/>
  <c r="K397" i="7"/>
  <c r="K264" i="7"/>
  <c r="K251" i="7"/>
  <c r="K250" i="7"/>
  <c r="K249" i="7"/>
  <c r="K248" i="7"/>
  <c r="K247" i="7"/>
  <c r="K246" i="7"/>
  <c r="K28" i="7"/>
  <c r="J405" i="7"/>
  <c r="J265" i="7"/>
  <c r="J403" i="7"/>
  <c r="J404" i="7"/>
  <c r="J408" i="7"/>
  <c r="J428" i="7"/>
  <c r="J432" i="7"/>
  <c r="J456" i="7"/>
  <c r="J460" i="7"/>
  <c r="J398" i="7"/>
  <c r="J429" i="7"/>
  <c r="J433" i="7"/>
  <c r="J457" i="7"/>
  <c r="R544" i="7" l="1"/>
  <c r="Q38" i="7"/>
  <c r="Q37" i="7"/>
  <c r="Q36" i="7"/>
  <c r="Q487" i="7"/>
  <c r="Q481" i="7"/>
  <c r="E435" i="7"/>
  <c r="C409" i="7"/>
  <c r="D435" i="7"/>
  <c r="C435" i="7"/>
  <c r="I461" i="7"/>
  <c r="D461" i="7"/>
  <c r="J461" i="7"/>
  <c r="I409" i="7"/>
  <c r="H461" i="7"/>
  <c r="D409" i="7"/>
  <c r="I435" i="7"/>
  <c r="H409" i="7"/>
  <c r="G461" i="7"/>
  <c r="H435" i="7"/>
  <c r="G409" i="7"/>
  <c r="F461" i="7"/>
  <c r="G435" i="7"/>
  <c r="E409" i="7"/>
  <c r="E461" i="7"/>
  <c r="J409" i="7"/>
  <c r="F435" i="7"/>
  <c r="F409" i="7"/>
  <c r="C461" i="7"/>
  <c r="J435" i="7"/>
  <c r="C631" i="7"/>
  <c r="G631" i="7"/>
  <c r="G599" i="7"/>
  <c r="P587" i="7"/>
  <c r="Q22" i="7"/>
  <c r="Q39" i="7" s="1"/>
  <c r="Q123" i="7"/>
  <c r="K302" i="7"/>
  <c r="F663" i="7"/>
  <c r="H663" i="7"/>
  <c r="K328" i="7"/>
  <c r="I599" i="7"/>
  <c r="D599" i="7"/>
  <c r="E631" i="7"/>
  <c r="E663" i="7"/>
  <c r="H599" i="7"/>
  <c r="E599" i="7"/>
  <c r="G663" i="7"/>
  <c r="D663" i="7"/>
  <c r="I631" i="7"/>
  <c r="K599" i="7"/>
  <c r="P619" i="7"/>
  <c r="P651" i="7"/>
  <c r="H631" i="7"/>
  <c r="F631" i="7"/>
  <c r="K277" i="7"/>
  <c r="C328" i="7"/>
  <c r="D328" i="7"/>
  <c r="E328" i="7"/>
  <c r="F328" i="7"/>
  <c r="G328" i="7"/>
  <c r="H328" i="7"/>
  <c r="I328" i="7"/>
  <c r="J328" i="7"/>
  <c r="C587" i="7"/>
  <c r="D587" i="7"/>
  <c r="D588" i="7" s="1"/>
  <c r="D573" i="7" s="1"/>
  <c r="D76" i="7" s="1"/>
  <c r="E587" i="7"/>
  <c r="E588" i="7" s="1"/>
  <c r="E573" i="7" s="1"/>
  <c r="E76" i="7" s="1"/>
  <c r="F587" i="7"/>
  <c r="F588" i="7" s="1"/>
  <c r="F573" i="7" s="1"/>
  <c r="F76" i="7" s="1"/>
  <c r="G587" i="7"/>
  <c r="G588" i="7" s="1"/>
  <c r="G573" i="7" s="1"/>
  <c r="G76" i="7" s="1"/>
  <c r="H587" i="7"/>
  <c r="H588" i="7" s="1"/>
  <c r="H573" i="7" s="1"/>
  <c r="H76" i="7" s="1"/>
  <c r="I587" i="7"/>
  <c r="I588" i="7" s="1"/>
  <c r="I573" i="7" s="1"/>
  <c r="I76" i="7" s="1"/>
  <c r="J587" i="7"/>
  <c r="J588" i="7" s="1"/>
  <c r="J573" i="7" s="1"/>
  <c r="J76" i="7" s="1"/>
  <c r="K587" i="7"/>
  <c r="K588" i="7" s="1"/>
  <c r="K573" i="7" s="1"/>
  <c r="K76" i="7" s="1"/>
  <c r="L587" i="7"/>
  <c r="M587" i="7"/>
  <c r="N587" i="7"/>
  <c r="O587" i="7"/>
  <c r="J599" i="7"/>
  <c r="C651" i="7"/>
  <c r="D651" i="7"/>
  <c r="D652" i="7" s="1"/>
  <c r="D637" i="7" s="1"/>
  <c r="D78" i="7" s="1"/>
  <c r="E651" i="7"/>
  <c r="E652" i="7" s="1"/>
  <c r="E637" i="7" s="1"/>
  <c r="E78" i="7" s="1"/>
  <c r="F651" i="7"/>
  <c r="F652" i="7" s="1"/>
  <c r="F637" i="7" s="1"/>
  <c r="F78" i="7" s="1"/>
  <c r="G651" i="7"/>
  <c r="G652" i="7" s="1"/>
  <c r="G637" i="7" s="1"/>
  <c r="G78" i="7" s="1"/>
  <c r="H651" i="7"/>
  <c r="H652" i="7" s="1"/>
  <c r="H637" i="7" s="1"/>
  <c r="H78" i="7" s="1"/>
  <c r="I651" i="7"/>
  <c r="I652" i="7" s="1"/>
  <c r="I637" i="7" s="1"/>
  <c r="I78" i="7" s="1"/>
  <c r="J651" i="7"/>
  <c r="J652" i="7" s="1"/>
  <c r="J637" i="7" s="1"/>
  <c r="J78" i="7" s="1"/>
  <c r="K651" i="7"/>
  <c r="K652" i="7" s="1"/>
  <c r="K637" i="7" s="1"/>
  <c r="K78" i="7" s="1"/>
  <c r="L651" i="7"/>
  <c r="M651" i="7"/>
  <c r="N651" i="7"/>
  <c r="O651" i="7"/>
  <c r="J663" i="7"/>
  <c r="C302" i="7"/>
  <c r="D302" i="7"/>
  <c r="F302" i="7"/>
  <c r="E302" i="7"/>
  <c r="G302" i="7"/>
  <c r="H302" i="7"/>
  <c r="I302" i="7"/>
  <c r="J302" i="7"/>
  <c r="C277" i="7"/>
  <c r="D277" i="7"/>
  <c r="E277" i="7"/>
  <c r="F277" i="7"/>
  <c r="G277" i="7"/>
  <c r="H277" i="7"/>
  <c r="I277" i="7"/>
  <c r="J277" i="7"/>
  <c r="C619" i="7"/>
  <c r="D619" i="7"/>
  <c r="D620" i="7" s="1"/>
  <c r="D605" i="7" s="1"/>
  <c r="D77" i="7" s="1"/>
  <c r="E619" i="7"/>
  <c r="E620" i="7" s="1"/>
  <c r="E605" i="7" s="1"/>
  <c r="E77" i="7" s="1"/>
  <c r="F619" i="7"/>
  <c r="F620" i="7" s="1"/>
  <c r="F605" i="7" s="1"/>
  <c r="F77" i="7" s="1"/>
  <c r="G619" i="7"/>
  <c r="G620" i="7" s="1"/>
  <c r="G605" i="7" s="1"/>
  <c r="G77" i="7" s="1"/>
  <c r="H619" i="7"/>
  <c r="H620" i="7" s="1"/>
  <c r="H605" i="7" s="1"/>
  <c r="H77" i="7" s="1"/>
  <c r="I619" i="7"/>
  <c r="I620" i="7" s="1"/>
  <c r="I605" i="7" s="1"/>
  <c r="I77" i="7" s="1"/>
  <c r="J619" i="7"/>
  <c r="J620" i="7" s="1"/>
  <c r="J605" i="7" s="1"/>
  <c r="J77" i="7" s="1"/>
  <c r="K619" i="7"/>
  <c r="K620" i="7" s="1"/>
  <c r="K605" i="7" s="1"/>
  <c r="K77" i="7" s="1"/>
  <c r="L619" i="7"/>
  <c r="M619" i="7"/>
  <c r="N619" i="7"/>
  <c r="J631" i="7"/>
  <c r="O619" i="7"/>
  <c r="Q643" i="7"/>
  <c r="Q642" i="7"/>
  <c r="Q651" i="7"/>
  <c r="Q649" i="7"/>
  <c r="Q647" i="7"/>
  <c r="Q645" i="7"/>
  <c r="Q648" i="7"/>
  <c r="Q618" i="7"/>
  <c r="Q616" i="7"/>
  <c r="Q650" i="7"/>
  <c r="Q644" i="7"/>
  <c r="Q646" i="7"/>
  <c r="Q619" i="7"/>
  <c r="Q617" i="7"/>
  <c r="Q615" i="7"/>
  <c r="Q613" i="7"/>
  <c r="Q611" i="7"/>
  <c r="Q587" i="7"/>
  <c r="Q585" i="7"/>
  <c r="Q610" i="7"/>
  <c r="Q583" i="7"/>
  <c r="Q581" i="7"/>
  <c r="Q579" i="7"/>
  <c r="Q612" i="7"/>
  <c r="Q586" i="7"/>
  <c r="Q584" i="7"/>
  <c r="Q582" i="7"/>
  <c r="Q580" i="7"/>
  <c r="Q578" i="7"/>
  <c r="Q614" i="7"/>
  <c r="Q519" i="7"/>
  <c r="Q33" i="7"/>
  <c r="Q29" i="7"/>
  <c r="Q527" i="7"/>
  <c r="Q523" i="7"/>
  <c r="Q515" i="7"/>
  <c r="Q26" i="7"/>
  <c r="Q40" i="7"/>
  <c r="Q19" i="7"/>
  <c r="R2" i="7"/>
  <c r="L567" i="7"/>
  <c r="K430" i="7"/>
  <c r="K409" i="7"/>
  <c r="K458" i="7"/>
  <c r="K405" i="7"/>
  <c r="K434" i="7"/>
  <c r="K265" i="7"/>
  <c r="K406" i="7"/>
  <c r="L663" i="7"/>
  <c r="L662" i="7"/>
  <c r="L661" i="7"/>
  <c r="L660" i="7"/>
  <c r="L659" i="7"/>
  <c r="L658" i="7"/>
  <c r="L656" i="7"/>
  <c r="L328" i="7"/>
  <c r="L327" i="7"/>
  <c r="L326" i="7"/>
  <c r="L325" i="7"/>
  <c r="L324" i="7"/>
  <c r="L323" i="7"/>
  <c r="L322" i="7"/>
  <c r="L321" i="7"/>
  <c r="L631" i="7"/>
  <c r="L630" i="7"/>
  <c r="L629" i="7"/>
  <c r="L628" i="7"/>
  <c r="L627" i="7"/>
  <c r="L626" i="7"/>
  <c r="L625" i="7"/>
  <c r="L624" i="7"/>
  <c r="L623" i="7"/>
  <c r="L302" i="7"/>
  <c r="L301" i="7"/>
  <c r="L300" i="7"/>
  <c r="L299" i="7"/>
  <c r="L298" i="7"/>
  <c r="L297" i="7"/>
  <c r="L296" i="7"/>
  <c r="L295" i="7"/>
  <c r="L294" i="7"/>
  <c r="L599" i="7"/>
  <c r="L598" i="7"/>
  <c r="L597" i="7"/>
  <c r="L596" i="7"/>
  <c r="L595" i="7"/>
  <c r="L594" i="7"/>
  <c r="L593" i="7"/>
  <c r="L592" i="7"/>
  <c r="L591" i="7"/>
  <c r="L277" i="7"/>
  <c r="L276" i="7"/>
  <c r="L275" i="7"/>
  <c r="L274" i="7"/>
  <c r="L273" i="7"/>
  <c r="L272" i="7"/>
  <c r="L271" i="7"/>
  <c r="L270" i="7"/>
  <c r="L488" i="7"/>
  <c r="L482" i="7"/>
  <c r="L397" i="7"/>
  <c r="L384" i="7"/>
  <c r="L383" i="7"/>
  <c r="L382" i="7"/>
  <c r="L381" i="7"/>
  <c r="L380" i="7"/>
  <c r="L379" i="7"/>
  <c r="L251" i="7"/>
  <c r="L250" i="7"/>
  <c r="L249" i="7"/>
  <c r="L248" i="7"/>
  <c r="L247" i="7"/>
  <c r="L246" i="7"/>
  <c r="L264" i="7"/>
  <c r="L28" i="7"/>
  <c r="K408" i="7"/>
  <c r="K429" i="7"/>
  <c r="K433" i="7"/>
  <c r="K457" i="7"/>
  <c r="K461" i="7"/>
  <c r="K30" i="7"/>
  <c r="K269" i="7"/>
  <c r="K320" i="7"/>
  <c r="K404" i="7"/>
  <c r="K403" i="7"/>
  <c r="K407" i="7"/>
  <c r="K431" i="7"/>
  <c r="K435" i="7"/>
  <c r="K455" i="7"/>
  <c r="K459" i="7"/>
  <c r="K428" i="7"/>
  <c r="K432" i="7"/>
  <c r="K456" i="7"/>
  <c r="K460" i="7"/>
  <c r="K398" i="7"/>
  <c r="S544" i="7" l="1"/>
  <c r="R38" i="7"/>
  <c r="R37" i="7"/>
  <c r="R36" i="7"/>
  <c r="R487" i="7"/>
  <c r="R481" i="7"/>
  <c r="D410" i="7"/>
  <c r="D436" i="7"/>
  <c r="H462" i="7"/>
  <c r="K436" i="7"/>
  <c r="G462" i="7"/>
  <c r="J410" i="7"/>
  <c r="J436" i="7"/>
  <c r="F462" i="7"/>
  <c r="I410" i="7"/>
  <c r="I436" i="7"/>
  <c r="E462" i="7"/>
  <c r="H410" i="7"/>
  <c r="H436" i="7"/>
  <c r="D462" i="7"/>
  <c r="G410" i="7"/>
  <c r="G436" i="7"/>
  <c r="C462" i="7"/>
  <c r="K462" i="7"/>
  <c r="C410" i="7"/>
  <c r="F410" i="7"/>
  <c r="E436" i="7"/>
  <c r="J462" i="7"/>
  <c r="K410" i="7"/>
  <c r="C436" i="7"/>
  <c r="E410" i="7"/>
  <c r="F436" i="7"/>
  <c r="I462" i="7"/>
  <c r="R22" i="7"/>
  <c r="R39" i="7" s="1"/>
  <c r="R123" i="7"/>
  <c r="L278" i="7"/>
  <c r="L329" i="7"/>
  <c r="L303" i="7"/>
  <c r="J79" i="7"/>
  <c r="H79" i="7"/>
  <c r="I79" i="7"/>
  <c r="D79" i="7"/>
  <c r="G79" i="7"/>
  <c r="C278" i="7"/>
  <c r="D278" i="7"/>
  <c r="E278" i="7"/>
  <c r="F278" i="7"/>
  <c r="G278" i="7"/>
  <c r="H278" i="7"/>
  <c r="I278" i="7"/>
  <c r="J278" i="7"/>
  <c r="K278" i="7"/>
  <c r="C588" i="7"/>
  <c r="C573" i="7" s="1"/>
  <c r="C76" i="7" s="1"/>
  <c r="C303" i="7"/>
  <c r="D303" i="7"/>
  <c r="E303" i="7"/>
  <c r="F303" i="7"/>
  <c r="G303" i="7"/>
  <c r="H303" i="7"/>
  <c r="I303" i="7"/>
  <c r="J303" i="7"/>
  <c r="K303" i="7"/>
  <c r="C620" i="7"/>
  <c r="C605" i="7" s="1"/>
  <c r="C77" i="7" s="1"/>
  <c r="F79" i="7"/>
  <c r="C329" i="7"/>
  <c r="D329" i="7"/>
  <c r="F329" i="7"/>
  <c r="E329" i="7"/>
  <c r="G329" i="7"/>
  <c r="H329" i="7"/>
  <c r="I329" i="7"/>
  <c r="J329" i="7"/>
  <c r="K329" i="7"/>
  <c r="C652" i="7"/>
  <c r="C637" i="7" s="1"/>
  <c r="C78" i="7" s="1"/>
  <c r="E79" i="7"/>
  <c r="R650" i="7"/>
  <c r="R648" i="7"/>
  <c r="R646" i="7"/>
  <c r="R644" i="7"/>
  <c r="R649" i="7"/>
  <c r="R645" i="7"/>
  <c r="R643" i="7"/>
  <c r="R619" i="7"/>
  <c r="R618" i="7"/>
  <c r="R617" i="7"/>
  <c r="R616" i="7"/>
  <c r="R615" i="7"/>
  <c r="R614" i="7"/>
  <c r="R613" i="7"/>
  <c r="R612" i="7"/>
  <c r="R611" i="7"/>
  <c r="R610" i="7"/>
  <c r="R587" i="7"/>
  <c r="R586" i="7"/>
  <c r="R585" i="7"/>
  <c r="R647" i="7"/>
  <c r="R642" i="7"/>
  <c r="R651" i="7"/>
  <c r="R584" i="7"/>
  <c r="R582" i="7"/>
  <c r="R580" i="7"/>
  <c r="R578" i="7"/>
  <c r="R583" i="7"/>
  <c r="R581" i="7"/>
  <c r="R579" i="7"/>
  <c r="R519" i="7"/>
  <c r="R33" i="7"/>
  <c r="R29" i="7"/>
  <c r="R527" i="7"/>
  <c r="R523" i="7"/>
  <c r="R515" i="7"/>
  <c r="R40" i="7"/>
  <c r="R26" i="7"/>
  <c r="R19" i="7"/>
  <c r="S2" i="7"/>
  <c r="M567" i="7"/>
  <c r="M561" i="7"/>
  <c r="L320" i="7"/>
  <c r="L588" i="7"/>
  <c r="L573" i="7" s="1"/>
  <c r="L76" i="7" s="1"/>
  <c r="L652" i="7"/>
  <c r="L637" i="7" s="1"/>
  <c r="L78" i="7" s="1"/>
  <c r="L269" i="7"/>
  <c r="L30" i="7"/>
  <c r="L620" i="7"/>
  <c r="L605" i="7" s="1"/>
  <c r="L77" i="7" s="1"/>
  <c r="K454" i="7"/>
  <c r="L407" i="7"/>
  <c r="L265" i="7"/>
  <c r="L405" i="7"/>
  <c r="L406" i="7"/>
  <c r="L410" i="7"/>
  <c r="L430" i="7"/>
  <c r="L434" i="7"/>
  <c r="L458" i="7"/>
  <c r="L462" i="7"/>
  <c r="L431" i="7"/>
  <c r="L435" i="7"/>
  <c r="L455" i="7"/>
  <c r="L459" i="7"/>
  <c r="K402" i="7"/>
  <c r="M663" i="7"/>
  <c r="M662" i="7"/>
  <c r="M661" i="7"/>
  <c r="M660" i="7"/>
  <c r="M659" i="7"/>
  <c r="M658" i="7"/>
  <c r="M655" i="7"/>
  <c r="M329" i="7"/>
  <c r="M328" i="7"/>
  <c r="M327" i="7"/>
  <c r="M326" i="7"/>
  <c r="M325" i="7"/>
  <c r="M324" i="7"/>
  <c r="M323" i="7"/>
  <c r="M322" i="7"/>
  <c r="M321" i="7"/>
  <c r="M303" i="7"/>
  <c r="M302" i="7"/>
  <c r="M301" i="7"/>
  <c r="M300" i="7"/>
  <c r="M299" i="7"/>
  <c r="M298" i="7"/>
  <c r="M297" i="7"/>
  <c r="M631" i="7"/>
  <c r="M630" i="7"/>
  <c r="M629" i="7"/>
  <c r="M628" i="7"/>
  <c r="M627" i="7"/>
  <c r="M626" i="7"/>
  <c r="M625" i="7"/>
  <c r="M624" i="7"/>
  <c r="M623" i="7"/>
  <c r="M278" i="7"/>
  <c r="M277" i="7"/>
  <c r="M276" i="7"/>
  <c r="M275" i="7"/>
  <c r="M274" i="7"/>
  <c r="M273" i="7"/>
  <c r="M296" i="7"/>
  <c r="M295" i="7"/>
  <c r="M294" i="7"/>
  <c r="M599" i="7"/>
  <c r="M598" i="7"/>
  <c r="M597" i="7"/>
  <c r="M596" i="7"/>
  <c r="M595" i="7"/>
  <c r="M594" i="7"/>
  <c r="M593" i="7"/>
  <c r="M592" i="7"/>
  <c r="M591" i="7"/>
  <c r="M272" i="7"/>
  <c r="M271" i="7"/>
  <c r="M270" i="7"/>
  <c r="M269" i="7"/>
  <c r="M488" i="7"/>
  <c r="M482" i="7"/>
  <c r="M384" i="7"/>
  <c r="M383" i="7"/>
  <c r="M382" i="7"/>
  <c r="M381" i="7"/>
  <c r="M380" i="7"/>
  <c r="M379" i="7"/>
  <c r="M397" i="7"/>
  <c r="M264" i="7"/>
  <c r="M251" i="7"/>
  <c r="M250" i="7"/>
  <c r="M249" i="7"/>
  <c r="M248" i="7"/>
  <c r="M247" i="7"/>
  <c r="M246" i="7"/>
  <c r="M28" i="7"/>
  <c r="L403" i="7"/>
  <c r="L409" i="7"/>
  <c r="L404" i="7"/>
  <c r="L408" i="7"/>
  <c r="L428" i="7"/>
  <c r="L432" i="7"/>
  <c r="L436" i="7"/>
  <c r="L456" i="7"/>
  <c r="L460" i="7"/>
  <c r="L398" i="7"/>
  <c r="L429" i="7"/>
  <c r="L433" i="7"/>
  <c r="L457" i="7"/>
  <c r="L461" i="7"/>
  <c r="K79" i="7"/>
  <c r="T544" i="7" l="1"/>
  <c r="S37" i="7"/>
  <c r="S36" i="7"/>
  <c r="S38" i="7"/>
  <c r="S481" i="7"/>
  <c r="S487" i="7"/>
  <c r="H411" i="7"/>
  <c r="J463" i="7"/>
  <c r="E437" i="7"/>
  <c r="G411" i="7"/>
  <c r="L402" i="7"/>
  <c r="I463" i="7"/>
  <c r="D437" i="7"/>
  <c r="F411" i="7"/>
  <c r="F437" i="7"/>
  <c r="L454" i="7"/>
  <c r="H463" i="7"/>
  <c r="K437" i="7"/>
  <c r="C437" i="7"/>
  <c r="E411" i="7"/>
  <c r="L437" i="7"/>
  <c r="G463" i="7"/>
  <c r="J437" i="7"/>
  <c r="D411" i="7"/>
  <c r="L463" i="7"/>
  <c r="C463" i="7"/>
  <c r="E463" i="7"/>
  <c r="I437" i="7"/>
  <c r="K411" i="7"/>
  <c r="C411" i="7"/>
  <c r="L411" i="7"/>
  <c r="K463" i="7"/>
  <c r="F463" i="7"/>
  <c r="H437" i="7"/>
  <c r="J411" i="7"/>
  <c r="D463" i="7"/>
  <c r="G437" i="7"/>
  <c r="I411" i="7"/>
  <c r="S22" i="7"/>
  <c r="S39" i="7" s="1"/>
  <c r="S123" i="7"/>
  <c r="C79" i="7"/>
  <c r="S651" i="7"/>
  <c r="S650" i="7"/>
  <c r="S649" i="7"/>
  <c r="S648" i="7"/>
  <c r="S647" i="7"/>
  <c r="S646" i="7"/>
  <c r="S645" i="7"/>
  <c r="S644" i="7"/>
  <c r="S614" i="7"/>
  <c r="S643" i="7"/>
  <c r="S619" i="7"/>
  <c r="S617" i="7"/>
  <c r="S615" i="7"/>
  <c r="S613" i="7"/>
  <c r="S642" i="7"/>
  <c r="S618" i="7"/>
  <c r="S616" i="7"/>
  <c r="S612" i="7"/>
  <c r="S610" i="7"/>
  <c r="S585" i="7"/>
  <c r="S584" i="7"/>
  <c r="S582" i="7"/>
  <c r="S580" i="7"/>
  <c r="S578" i="7"/>
  <c r="S611" i="7"/>
  <c r="S586" i="7"/>
  <c r="S583" i="7"/>
  <c r="S581" i="7"/>
  <c r="S579" i="7"/>
  <c r="S587" i="7"/>
  <c r="S527" i="7"/>
  <c r="S523" i="7"/>
  <c r="S515" i="7"/>
  <c r="S519" i="7"/>
  <c r="S33" i="7"/>
  <c r="S29" i="7"/>
  <c r="S26" i="7"/>
  <c r="S19" i="7"/>
  <c r="S40" i="7"/>
  <c r="T2" i="7"/>
  <c r="N567" i="7"/>
  <c r="M320" i="7"/>
  <c r="L79" i="7"/>
  <c r="M652" i="7"/>
  <c r="M637" i="7" s="1"/>
  <c r="M78" i="7" s="1"/>
  <c r="M30" i="7"/>
  <c r="M403" i="7"/>
  <c r="M432" i="7"/>
  <c r="M436" i="7"/>
  <c r="M455" i="7"/>
  <c r="M410" i="7"/>
  <c r="M459" i="7"/>
  <c r="M463" i="7"/>
  <c r="M406" i="7"/>
  <c r="M408" i="7"/>
  <c r="M405" i="7"/>
  <c r="M409" i="7"/>
  <c r="M429" i="7"/>
  <c r="M433" i="7"/>
  <c r="M437" i="7"/>
  <c r="M457" i="7"/>
  <c r="M461" i="7"/>
  <c r="M430" i="7"/>
  <c r="M434" i="7"/>
  <c r="M458" i="7"/>
  <c r="M462" i="7"/>
  <c r="N663" i="7"/>
  <c r="N662" i="7"/>
  <c r="N661" i="7"/>
  <c r="N660" i="7"/>
  <c r="N659" i="7"/>
  <c r="N658" i="7"/>
  <c r="N655" i="7"/>
  <c r="N329" i="7"/>
  <c r="N328" i="7"/>
  <c r="N327" i="7"/>
  <c r="N326" i="7"/>
  <c r="N325" i="7"/>
  <c r="N324" i="7"/>
  <c r="N323" i="7"/>
  <c r="N322" i="7"/>
  <c r="N321" i="7"/>
  <c r="N320" i="7"/>
  <c r="N631" i="7"/>
  <c r="N630" i="7"/>
  <c r="N629" i="7"/>
  <c r="N628" i="7"/>
  <c r="N627" i="7"/>
  <c r="N626" i="7"/>
  <c r="N625" i="7"/>
  <c r="N624" i="7"/>
  <c r="N623" i="7"/>
  <c r="N303" i="7"/>
  <c r="N302" i="7"/>
  <c r="N301" i="7"/>
  <c r="N300" i="7"/>
  <c r="N299" i="7"/>
  <c r="N298" i="7"/>
  <c r="N297" i="7"/>
  <c r="N296" i="7"/>
  <c r="N295" i="7"/>
  <c r="N294" i="7"/>
  <c r="N599" i="7"/>
  <c r="N598" i="7"/>
  <c r="N597" i="7"/>
  <c r="N596" i="7"/>
  <c r="N595" i="7"/>
  <c r="N594" i="7"/>
  <c r="N593" i="7"/>
  <c r="N592" i="7"/>
  <c r="N591" i="7"/>
  <c r="N278" i="7"/>
  <c r="N277" i="7"/>
  <c r="N276" i="7"/>
  <c r="N275" i="7"/>
  <c r="N274" i="7"/>
  <c r="N273" i="7"/>
  <c r="N272" i="7"/>
  <c r="N271" i="7"/>
  <c r="N270" i="7"/>
  <c r="N269" i="7"/>
  <c r="N488" i="7"/>
  <c r="N482" i="7"/>
  <c r="N397" i="7"/>
  <c r="N384" i="7"/>
  <c r="N383" i="7"/>
  <c r="N382" i="7"/>
  <c r="N381" i="7"/>
  <c r="N380" i="7"/>
  <c r="N379" i="7"/>
  <c r="N251" i="7"/>
  <c r="N250" i="7"/>
  <c r="N249" i="7"/>
  <c r="N248" i="7"/>
  <c r="N247" i="7"/>
  <c r="N246" i="7"/>
  <c r="N264" i="7"/>
  <c r="N28" i="7"/>
  <c r="M265" i="7"/>
  <c r="M402" i="7"/>
  <c r="M404" i="7"/>
  <c r="M407" i="7"/>
  <c r="M411" i="7"/>
  <c r="M431" i="7"/>
  <c r="M435" i="7"/>
  <c r="M428" i="7"/>
  <c r="M456" i="7"/>
  <c r="M460" i="7"/>
  <c r="M398" i="7"/>
  <c r="M588" i="7"/>
  <c r="M573" i="7" s="1"/>
  <c r="M76" i="7" s="1"/>
  <c r="M620" i="7"/>
  <c r="M605" i="7" s="1"/>
  <c r="M77" i="7" s="1"/>
  <c r="U544" i="7" l="1"/>
  <c r="T38" i="7"/>
  <c r="T37" i="7"/>
  <c r="T36" i="7"/>
  <c r="T487" i="7"/>
  <c r="T481" i="7"/>
  <c r="M454" i="7"/>
  <c r="T22" i="7"/>
  <c r="T39" i="7" s="1"/>
  <c r="T123" i="7"/>
  <c r="T650" i="7"/>
  <c r="T648" i="7"/>
  <c r="T646" i="7"/>
  <c r="T644" i="7"/>
  <c r="T642" i="7"/>
  <c r="T643" i="7"/>
  <c r="T649" i="7"/>
  <c r="T619" i="7"/>
  <c r="T617" i="7"/>
  <c r="T615" i="7"/>
  <c r="T651" i="7"/>
  <c r="T645" i="7"/>
  <c r="T647" i="7"/>
  <c r="T618" i="7"/>
  <c r="T616" i="7"/>
  <c r="T614" i="7"/>
  <c r="T612" i="7"/>
  <c r="T610" i="7"/>
  <c r="T586" i="7"/>
  <c r="T584" i="7"/>
  <c r="T583" i="7"/>
  <c r="T582" i="7"/>
  <c r="T581" i="7"/>
  <c r="T580" i="7"/>
  <c r="T579" i="7"/>
  <c r="T578" i="7"/>
  <c r="T611" i="7"/>
  <c r="T613" i="7"/>
  <c r="T587" i="7"/>
  <c r="T585" i="7"/>
  <c r="T519" i="7"/>
  <c r="T33" i="7"/>
  <c r="T29" i="7"/>
  <c r="T527" i="7"/>
  <c r="T523" i="7"/>
  <c r="T515" i="7"/>
  <c r="T19" i="7"/>
  <c r="T40" i="7"/>
  <c r="T26" i="7"/>
  <c r="U2" i="7"/>
  <c r="O567" i="7"/>
  <c r="N431" i="7"/>
  <c r="N407" i="7"/>
  <c r="N409" i="7"/>
  <c r="N455" i="7"/>
  <c r="N459" i="7"/>
  <c r="N463" i="7"/>
  <c r="N435" i="7"/>
  <c r="N405" i="7"/>
  <c r="N265" i="7"/>
  <c r="N403" i="7"/>
  <c r="N411" i="7"/>
  <c r="N404" i="7"/>
  <c r="N408" i="7"/>
  <c r="N428" i="7"/>
  <c r="N432" i="7"/>
  <c r="N436" i="7"/>
  <c r="N456" i="7"/>
  <c r="N460" i="7"/>
  <c r="N398" i="7"/>
  <c r="N429" i="7"/>
  <c r="N433" i="7"/>
  <c r="N437" i="7"/>
  <c r="N457" i="7"/>
  <c r="N461" i="7"/>
  <c r="O663" i="7"/>
  <c r="O662" i="7"/>
  <c r="O661" i="7"/>
  <c r="O660" i="7"/>
  <c r="O659" i="7"/>
  <c r="O657" i="7"/>
  <c r="O329" i="7"/>
  <c r="O328" i="7"/>
  <c r="O327" i="7"/>
  <c r="O326" i="7"/>
  <c r="O325" i="7"/>
  <c r="O324" i="7"/>
  <c r="O323" i="7"/>
  <c r="O322" i="7"/>
  <c r="O655" i="7"/>
  <c r="O320" i="7"/>
  <c r="O303" i="7"/>
  <c r="O302" i="7"/>
  <c r="O301" i="7"/>
  <c r="O300" i="7"/>
  <c r="O299" i="7"/>
  <c r="O298" i="7"/>
  <c r="O297" i="7"/>
  <c r="O321" i="7"/>
  <c r="O631" i="7"/>
  <c r="O630" i="7"/>
  <c r="O629" i="7"/>
  <c r="O628" i="7"/>
  <c r="O627" i="7"/>
  <c r="O626" i="7"/>
  <c r="O625" i="7"/>
  <c r="O624" i="7"/>
  <c r="O623" i="7"/>
  <c r="O278" i="7"/>
  <c r="O277" i="7"/>
  <c r="O276" i="7"/>
  <c r="O275" i="7"/>
  <c r="O274" i="7"/>
  <c r="O273" i="7"/>
  <c r="O296" i="7"/>
  <c r="O295" i="7"/>
  <c r="O294" i="7"/>
  <c r="O599" i="7"/>
  <c r="O598" i="7"/>
  <c r="O597" i="7"/>
  <c r="O596" i="7"/>
  <c r="O595" i="7"/>
  <c r="O594" i="7"/>
  <c r="O593" i="7"/>
  <c r="O592" i="7"/>
  <c r="O590" i="7"/>
  <c r="O271" i="7"/>
  <c r="O272" i="7"/>
  <c r="O270" i="7"/>
  <c r="O488" i="7"/>
  <c r="O482" i="7"/>
  <c r="O384" i="7"/>
  <c r="O383" i="7"/>
  <c r="O382" i="7"/>
  <c r="O381" i="7"/>
  <c r="O380" i="7"/>
  <c r="O379" i="7"/>
  <c r="O397" i="7"/>
  <c r="O264" i="7"/>
  <c r="O251" i="7"/>
  <c r="O250" i="7"/>
  <c r="O249" i="7"/>
  <c r="O248" i="7"/>
  <c r="O247" i="7"/>
  <c r="O246" i="7"/>
  <c r="O28" i="7"/>
  <c r="N402" i="7"/>
  <c r="N406" i="7"/>
  <c r="N410" i="7"/>
  <c r="N430" i="7"/>
  <c r="N434" i="7"/>
  <c r="N454" i="7"/>
  <c r="N458" i="7"/>
  <c r="N462" i="7"/>
  <c r="M79" i="7"/>
  <c r="N30" i="7"/>
  <c r="N588" i="7"/>
  <c r="N573" i="7" s="1"/>
  <c r="N76" i="7" s="1"/>
  <c r="N620" i="7"/>
  <c r="N605" i="7" s="1"/>
  <c r="N77" i="7" s="1"/>
  <c r="N652" i="7"/>
  <c r="N637" i="7" s="1"/>
  <c r="N78" i="7" s="1"/>
  <c r="U548" i="7" l="1"/>
  <c r="U553" i="7"/>
  <c r="V544" i="7"/>
  <c r="U555" i="7"/>
  <c r="U552" i="7" s="1"/>
  <c r="U536" i="7"/>
  <c r="U38" i="7"/>
  <c r="U37" i="7"/>
  <c r="U36" i="7"/>
  <c r="U487" i="7"/>
  <c r="U481" i="7"/>
  <c r="U22" i="7"/>
  <c r="U39" i="7" s="1"/>
  <c r="U123" i="7"/>
  <c r="U651" i="7"/>
  <c r="U649" i="7"/>
  <c r="U647" i="7"/>
  <c r="U645" i="7"/>
  <c r="U643" i="7"/>
  <c r="U642" i="7"/>
  <c r="U619" i="7"/>
  <c r="U650" i="7"/>
  <c r="U646" i="7"/>
  <c r="U648" i="7"/>
  <c r="U644" i="7"/>
  <c r="U618" i="7"/>
  <c r="U616" i="7"/>
  <c r="U614" i="7"/>
  <c r="U617" i="7"/>
  <c r="U615" i="7"/>
  <c r="U613" i="7"/>
  <c r="U611" i="7"/>
  <c r="U587" i="7"/>
  <c r="U586" i="7"/>
  <c r="U612" i="7"/>
  <c r="U583" i="7"/>
  <c r="U581" i="7"/>
  <c r="U579" i="7"/>
  <c r="U585" i="7"/>
  <c r="U610" i="7"/>
  <c r="U584" i="7"/>
  <c r="U582" i="7"/>
  <c r="U580" i="7"/>
  <c r="U578" i="7"/>
  <c r="U519" i="7"/>
  <c r="U33" i="7"/>
  <c r="U29" i="7"/>
  <c r="U527" i="7"/>
  <c r="U523" i="7"/>
  <c r="U515" i="7"/>
  <c r="U40" i="7"/>
  <c r="U26" i="7"/>
  <c r="U19" i="7"/>
  <c r="V2" i="7"/>
  <c r="P567" i="7"/>
  <c r="P561" i="7"/>
  <c r="O30" i="7"/>
  <c r="O588" i="7"/>
  <c r="O573" i="7" s="1"/>
  <c r="O76" i="7" s="1"/>
  <c r="O620" i="7"/>
  <c r="O605" i="7" s="1"/>
  <c r="O77" i="7" s="1"/>
  <c r="O430" i="7"/>
  <c r="O409" i="7"/>
  <c r="O458" i="7"/>
  <c r="O405" i="7"/>
  <c r="O433" i="7"/>
  <c r="P663" i="7"/>
  <c r="P662" i="7"/>
  <c r="P661" i="7"/>
  <c r="P660" i="7"/>
  <c r="P659" i="7"/>
  <c r="P657" i="7"/>
  <c r="P655" i="7"/>
  <c r="P329" i="7"/>
  <c r="P328" i="7"/>
  <c r="P327" i="7"/>
  <c r="P326" i="7"/>
  <c r="P325" i="7"/>
  <c r="P324" i="7"/>
  <c r="P323" i="7"/>
  <c r="P322" i="7"/>
  <c r="P321" i="7"/>
  <c r="P320" i="7"/>
  <c r="P631" i="7"/>
  <c r="P630" i="7"/>
  <c r="P629" i="7"/>
  <c r="P628" i="7"/>
  <c r="P627" i="7"/>
  <c r="P626" i="7"/>
  <c r="P625" i="7"/>
  <c r="P624" i="7"/>
  <c r="P623" i="7"/>
  <c r="P303" i="7"/>
  <c r="P302" i="7"/>
  <c r="P301" i="7"/>
  <c r="P300" i="7"/>
  <c r="P299" i="7"/>
  <c r="P298" i="7"/>
  <c r="P297" i="7"/>
  <c r="P296" i="7"/>
  <c r="P295" i="7"/>
  <c r="P294" i="7"/>
  <c r="P599" i="7"/>
  <c r="P598" i="7"/>
  <c r="P597" i="7"/>
  <c r="P596" i="7"/>
  <c r="P595" i="7"/>
  <c r="P594" i="7"/>
  <c r="P593" i="7"/>
  <c r="P592" i="7"/>
  <c r="P590" i="7"/>
  <c r="P278" i="7"/>
  <c r="P277" i="7"/>
  <c r="P276" i="7"/>
  <c r="P275" i="7"/>
  <c r="P274" i="7"/>
  <c r="P273" i="7"/>
  <c r="P272" i="7"/>
  <c r="P271" i="7"/>
  <c r="P270" i="7"/>
  <c r="P488" i="7"/>
  <c r="P482" i="7"/>
  <c r="P397" i="7"/>
  <c r="P384" i="7"/>
  <c r="P383" i="7"/>
  <c r="P382" i="7"/>
  <c r="P381" i="7"/>
  <c r="P380" i="7"/>
  <c r="P379" i="7"/>
  <c r="P251" i="7"/>
  <c r="P250" i="7"/>
  <c r="P249" i="7"/>
  <c r="P248" i="7"/>
  <c r="P247" i="7"/>
  <c r="P246" i="7"/>
  <c r="P264" i="7"/>
  <c r="P28" i="7"/>
  <c r="O406" i="7"/>
  <c r="O407" i="7"/>
  <c r="O431" i="7"/>
  <c r="O455" i="7"/>
  <c r="O459" i="7"/>
  <c r="O463" i="7"/>
  <c r="O432" i="7"/>
  <c r="O436" i="7"/>
  <c r="O460" i="7"/>
  <c r="O398" i="7"/>
  <c r="O408" i="7"/>
  <c r="O410" i="7"/>
  <c r="O429" i="7"/>
  <c r="O437" i="7"/>
  <c r="O457" i="7"/>
  <c r="O461" i="7"/>
  <c r="O434" i="7"/>
  <c r="O454" i="7"/>
  <c r="O462" i="7"/>
  <c r="N79" i="7"/>
  <c r="O269" i="7"/>
  <c r="O652" i="7"/>
  <c r="O637" i="7" s="1"/>
  <c r="O78" i="7" s="1"/>
  <c r="O265" i="7"/>
  <c r="O404" i="7"/>
  <c r="O403" i="7"/>
  <c r="O411" i="7"/>
  <c r="O435" i="7"/>
  <c r="O428" i="7"/>
  <c r="O456" i="7"/>
  <c r="V548" i="7" l="1"/>
  <c r="V553" i="7"/>
  <c r="W544" i="7"/>
  <c r="U535" i="7"/>
  <c r="U537" i="7" s="1"/>
  <c r="V555" i="7"/>
  <c r="V552" i="7" s="1"/>
  <c r="V536" i="7"/>
  <c r="V38" i="7"/>
  <c r="V37" i="7"/>
  <c r="V36" i="7"/>
  <c r="V487" i="7"/>
  <c r="V481" i="7"/>
  <c r="V22" i="7"/>
  <c r="V39" i="7" s="1"/>
  <c r="V123" i="7"/>
  <c r="V651" i="7"/>
  <c r="V649" i="7"/>
  <c r="V647" i="7"/>
  <c r="V645" i="7"/>
  <c r="V618" i="7"/>
  <c r="V617" i="7"/>
  <c r="V616" i="7"/>
  <c r="V615" i="7"/>
  <c r="V614" i="7"/>
  <c r="V613" i="7"/>
  <c r="V612" i="7"/>
  <c r="V611" i="7"/>
  <c r="V610" i="7"/>
  <c r="V587" i="7"/>
  <c r="V586" i="7"/>
  <c r="V585" i="7"/>
  <c r="V644" i="7"/>
  <c r="V619" i="7"/>
  <c r="V650" i="7"/>
  <c r="V646" i="7"/>
  <c r="V642" i="7"/>
  <c r="V648" i="7"/>
  <c r="V643" i="7"/>
  <c r="V583" i="7"/>
  <c r="V581" i="7"/>
  <c r="V579" i="7"/>
  <c r="V584" i="7"/>
  <c r="V582" i="7"/>
  <c r="V580" i="7"/>
  <c r="V578" i="7"/>
  <c r="V519" i="7"/>
  <c r="V33" i="7"/>
  <c r="V29" i="7"/>
  <c r="V527" i="7"/>
  <c r="V523" i="7"/>
  <c r="V515" i="7"/>
  <c r="V40" i="7"/>
  <c r="V26" i="7"/>
  <c r="V19" i="7"/>
  <c r="W2" i="7"/>
  <c r="Q567" i="7"/>
  <c r="O79" i="7"/>
  <c r="O402" i="7"/>
  <c r="P407" i="7"/>
  <c r="P265" i="7"/>
  <c r="P405" i="7"/>
  <c r="P406" i="7"/>
  <c r="P410" i="7"/>
  <c r="P430" i="7"/>
  <c r="P434" i="7"/>
  <c r="P454" i="7"/>
  <c r="P458" i="7"/>
  <c r="P462" i="7"/>
  <c r="P431" i="7"/>
  <c r="P435" i="7"/>
  <c r="P455" i="7"/>
  <c r="P459" i="7"/>
  <c r="P463" i="7"/>
  <c r="P30" i="7"/>
  <c r="P269" i="7"/>
  <c r="P588" i="7"/>
  <c r="P573" i="7" s="1"/>
  <c r="P76" i="7" s="1"/>
  <c r="P620" i="7"/>
  <c r="P605" i="7" s="1"/>
  <c r="P77" i="7" s="1"/>
  <c r="P652" i="7"/>
  <c r="P637" i="7" s="1"/>
  <c r="P78" i="7" s="1"/>
  <c r="Q663" i="7"/>
  <c r="Q662" i="7"/>
  <c r="Q661" i="7"/>
  <c r="Q660" i="7"/>
  <c r="Q659" i="7"/>
  <c r="Q657" i="7"/>
  <c r="Q655" i="7"/>
  <c r="Q329" i="7"/>
  <c r="Q328" i="7"/>
  <c r="Q327" i="7"/>
  <c r="Q326" i="7"/>
  <c r="Q325" i="7"/>
  <c r="Q324" i="7"/>
  <c r="Q323" i="7"/>
  <c r="Q322" i="7"/>
  <c r="Q321" i="7"/>
  <c r="Q303" i="7"/>
  <c r="Q302" i="7"/>
  <c r="Q301" i="7"/>
  <c r="Q300" i="7"/>
  <c r="Q299" i="7"/>
  <c r="Q298" i="7"/>
  <c r="Q297" i="7"/>
  <c r="Q320" i="7"/>
  <c r="Q631" i="7"/>
  <c r="Q630" i="7"/>
  <c r="Q629" i="7"/>
  <c r="Q628" i="7"/>
  <c r="Q627" i="7"/>
  <c r="Q626" i="7"/>
  <c r="Q625" i="7"/>
  <c r="Q624" i="7"/>
  <c r="Q623" i="7"/>
  <c r="Q296" i="7"/>
  <c r="Q278" i="7"/>
  <c r="Q277" i="7"/>
  <c r="Q276" i="7"/>
  <c r="Q275" i="7"/>
  <c r="Q274" i="7"/>
  <c r="Q273" i="7"/>
  <c r="Q295" i="7"/>
  <c r="Q599" i="7"/>
  <c r="Q598" i="7"/>
  <c r="Q597" i="7"/>
  <c r="Q596" i="7"/>
  <c r="Q595" i="7"/>
  <c r="Q594" i="7"/>
  <c r="Q593" i="7"/>
  <c r="Q592" i="7"/>
  <c r="Q590" i="7"/>
  <c r="Q272" i="7"/>
  <c r="Q271" i="7"/>
  <c r="Q270" i="7"/>
  <c r="Q488" i="7"/>
  <c r="Q482" i="7"/>
  <c r="Q384" i="7"/>
  <c r="Q383" i="7"/>
  <c r="Q382" i="7"/>
  <c r="Q381" i="7"/>
  <c r="Q380" i="7"/>
  <c r="Q379" i="7"/>
  <c r="Q397" i="7"/>
  <c r="Q264" i="7"/>
  <c r="Q251" i="7"/>
  <c r="Q250" i="7"/>
  <c r="Q249" i="7"/>
  <c r="Q248" i="7"/>
  <c r="Q247" i="7"/>
  <c r="Q246" i="7"/>
  <c r="Q28" i="7"/>
  <c r="P403" i="7"/>
  <c r="P411" i="7"/>
  <c r="P409" i="7"/>
  <c r="P404" i="7"/>
  <c r="P408" i="7"/>
  <c r="P428" i="7"/>
  <c r="P432" i="7"/>
  <c r="P436" i="7"/>
  <c r="P456" i="7"/>
  <c r="P460" i="7"/>
  <c r="P398" i="7"/>
  <c r="P429" i="7"/>
  <c r="P433" i="7"/>
  <c r="P437" i="7"/>
  <c r="P457" i="7"/>
  <c r="P461" i="7"/>
  <c r="W548" i="7" l="1"/>
  <c r="W553" i="7"/>
  <c r="X544" i="7"/>
  <c r="V535" i="7"/>
  <c r="V537" i="7" s="1"/>
  <c r="W555" i="7"/>
  <c r="W552" i="7" s="1"/>
  <c r="W536" i="7"/>
  <c r="W38" i="7"/>
  <c r="W37" i="7"/>
  <c r="W36" i="7"/>
  <c r="W487" i="7"/>
  <c r="W481" i="7"/>
  <c r="W123" i="7"/>
  <c r="W22" i="7"/>
  <c r="W39" i="7" s="1"/>
  <c r="W651" i="7"/>
  <c r="W650" i="7"/>
  <c r="W649" i="7"/>
  <c r="W648" i="7"/>
  <c r="W647" i="7"/>
  <c r="W646" i="7"/>
  <c r="W645" i="7"/>
  <c r="W644" i="7"/>
  <c r="W643" i="7"/>
  <c r="W619" i="7"/>
  <c r="W642" i="7"/>
  <c r="W618" i="7"/>
  <c r="W616" i="7"/>
  <c r="W617" i="7"/>
  <c r="W615" i="7"/>
  <c r="W613" i="7"/>
  <c r="W611" i="7"/>
  <c r="W587" i="7"/>
  <c r="W585" i="7"/>
  <c r="W612" i="7"/>
  <c r="W584" i="7"/>
  <c r="W582" i="7"/>
  <c r="W580" i="7"/>
  <c r="W578" i="7"/>
  <c r="W614" i="7"/>
  <c r="W610" i="7"/>
  <c r="W586" i="7"/>
  <c r="W583" i="7"/>
  <c r="W581" i="7"/>
  <c r="W579" i="7"/>
  <c r="W527" i="7"/>
  <c r="W523" i="7"/>
  <c r="W515" i="7"/>
  <c r="W519" i="7"/>
  <c r="W33" i="7"/>
  <c r="W29" i="7"/>
  <c r="W26" i="7"/>
  <c r="W19" i="7"/>
  <c r="W40" i="7"/>
  <c r="X2" i="7"/>
  <c r="R567" i="7"/>
  <c r="R561" i="7"/>
  <c r="Q269" i="7"/>
  <c r="Q620" i="7"/>
  <c r="Q605" i="7" s="1"/>
  <c r="Q77" i="7" s="1"/>
  <c r="Q30" i="7"/>
  <c r="Q294" i="7"/>
  <c r="Q588" i="7"/>
  <c r="Q573" i="7" s="1"/>
  <c r="Q76" i="7" s="1"/>
  <c r="Q406" i="7"/>
  <c r="Q408" i="7"/>
  <c r="Q405" i="7"/>
  <c r="Q409" i="7"/>
  <c r="Q429" i="7"/>
  <c r="Q433" i="7"/>
  <c r="Q437" i="7"/>
  <c r="Q457" i="7"/>
  <c r="Q461" i="7"/>
  <c r="Q430" i="7"/>
  <c r="Q434" i="7"/>
  <c r="Q454" i="7"/>
  <c r="Q458" i="7"/>
  <c r="Q462" i="7"/>
  <c r="P402" i="7"/>
  <c r="Q652" i="7"/>
  <c r="Q637" i="7" s="1"/>
  <c r="Q78" i="7" s="1"/>
  <c r="P79" i="7"/>
  <c r="R663" i="7"/>
  <c r="R662" i="7"/>
  <c r="R661" i="7"/>
  <c r="R660" i="7"/>
  <c r="R658" i="7"/>
  <c r="R656" i="7"/>
  <c r="R655" i="7"/>
  <c r="R329" i="7"/>
  <c r="R328" i="7"/>
  <c r="R327" i="7"/>
  <c r="R326" i="7"/>
  <c r="R325" i="7"/>
  <c r="R324" i="7"/>
  <c r="R323" i="7"/>
  <c r="R322" i="7"/>
  <c r="R321" i="7"/>
  <c r="R320" i="7"/>
  <c r="R631" i="7"/>
  <c r="R630" i="7"/>
  <c r="R629" i="7"/>
  <c r="R628" i="7"/>
  <c r="R627" i="7"/>
  <c r="R626" i="7"/>
  <c r="R625" i="7"/>
  <c r="R624" i="7"/>
  <c r="R622" i="7"/>
  <c r="R303" i="7"/>
  <c r="R302" i="7"/>
  <c r="R301" i="7"/>
  <c r="R300" i="7"/>
  <c r="R299" i="7"/>
  <c r="R298" i="7"/>
  <c r="R297" i="7"/>
  <c r="R296" i="7"/>
  <c r="R295" i="7"/>
  <c r="R294" i="7"/>
  <c r="R599" i="7"/>
  <c r="R598" i="7"/>
  <c r="R597" i="7"/>
  <c r="R596" i="7"/>
  <c r="R595" i="7"/>
  <c r="R594" i="7"/>
  <c r="R593" i="7"/>
  <c r="R592" i="7"/>
  <c r="R590" i="7"/>
  <c r="R278" i="7"/>
  <c r="R277" i="7"/>
  <c r="R276" i="7"/>
  <c r="R275" i="7"/>
  <c r="R274" i="7"/>
  <c r="R273" i="7"/>
  <c r="R272" i="7"/>
  <c r="R271" i="7"/>
  <c r="R270" i="7"/>
  <c r="R488" i="7"/>
  <c r="R482" i="7"/>
  <c r="R397" i="7"/>
  <c r="R384" i="7"/>
  <c r="R383" i="7"/>
  <c r="R382" i="7"/>
  <c r="R381" i="7"/>
  <c r="R380" i="7"/>
  <c r="R379" i="7"/>
  <c r="R251" i="7"/>
  <c r="R250" i="7"/>
  <c r="R249" i="7"/>
  <c r="R248" i="7"/>
  <c r="R247" i="7"/>
  <c r="R246" i="7"/>
  <c r="R264" i="7"/>
  <c r="R28" i="7"/>
  <c r="Q265" i="7"/>
  <c r="Q410" i="7"/>
  <c r="Q404" i="7"/>
  <c r="Q403" i="7"/>
  <c r="Q407" i="7"/>
  <c r="Q411" i="7"/>
  <c r="Q431" i="7"/>
  <c r="Q435" i="7"/>
  <c r="Q455" i="7"/>
  <c r="Q459" i="7"/>
  <c r="Q463" i="7"/>
  <c r="Q432" i="7"/>
  <c r="Q436" i="7"/>
  <c r="Q456" i="7"/>
  <c r="Q460" i="7"/>
  <c r="Q398" i="7"/>
  <c r="X548" i="7" l="1"/>
  <c r="X553" i="7"/>
  <c r="Y544" i="7"/>
  <c r="W535" i="7"/>
  <c r="W537" i="7" s="1"/>
  <c r="X555" i="7"/>
  <c r="X552" i="7" s="1"/>
  <c r="X536" i="7"/>
  <c r="X38" i="7"/>
  <c r="X37" i="7"/>
  <c r="X36" i="7"/>
  <c r="X487" i="7"/>
  <c r="X481" i="7"/>
  <c r="Q428" i="7"/>
  <c r="Q402" i="7"/>
  <c r="X22" i="7"/>
  <c r="X39" i="7" s="1"/>
  <c r="X123" i="7"/>
  <c r="X650" i="7"/>
  <c r="X648" i="7"/>
  <c r="X646" i="7"/>
  <c r="X644" i="7"/>
  <c r="X651" i="7"/>
  <c r="X647" i="7"/>
  <c r="X643" i="7"/>
  <c r="X649" i="7"/>
  <c r="X642" i="7"/>
  <c r="X618" i="7"/>
  <c r="X616" i="7"/>
  <c r="X612" i="7"/>
  <c r="X645" i="7"/>
  <c r="X617" i="7"/>
  <c r="X615" i="7"/>
  <c r="X613" i="7"/>
  <c r="X619" i="7"/>
  <c r="X584" i="7"/>
  <c r="X583" i="7"/>
  <c r="X582" i="7"/>
  <c r="X581" i="7"/>
  <c r="X580" i="7"/>
  <c r="X579" i="7"/>
  <c r="X578" i="7"/>
  <c r="X614" i="7"/>
  <c r="X610" i="7"/>
  <c r="X587" i="7"/>
  <c r="X585" i="7"/>
  <c r="X586" i="7"/>
  <c r="X611" i="7"/>
  <c r="X519" i="7"/>
  <c r="X33" i="7"/>
  <c r="X29" i="7"/>
  <c r="X527" i="7"/>
  <c r="X523" i="7"/>
  <c r="X515" i="7"/>
  <c r="X19" i="7"/>
  <c r="X40" i="7"/>
  <c r="X26" i="7"/>
  <c r="Y2" i="7"/>
  <c r="S567" i="7"/>
  <c r="E220" i="7"/>
  <c r="B374" i="7"/>
  <c r="S561" i="7"/>
  <c r="R269" i="7"/>
  <c r="Q79" i="7"/>
  <c r="S663" i="7"/>
  <c r="S662" i="7"/>
  <c r="S661" i="7"/>
  <c r="S660" i="7"/>
  <c r="S658" i="7"/>
  <c r="S656" i="7"/>
  <c r="S329" i="7"/>
  <c r="S328" i="7"/>
  <c r="S327" i="7"/>
  <c r="S326" i="7"/>
  <c r="S325" i="7"/>
  <c r="S324" i="7"/>
  <c r="S323" i="7"/>
  <c r="S322" i="7"/>
  <c r="S655" i="7"/>
  <c r="S320" i="7"/>
  <c r="S303" i="7"/>
  <c r="S302" i="7"/>
  <c r="S301" i="7"/>
  <c r="S300" i="7"/>
  <c r="S299" i="7"/>
  <c r="S298" i="7"/>
  <c r="S297" i="7"/>
  <c r="S321" i="7"/>
  <c r="S631" i="7"/>
  <c r="S630" i="7"/>
  <c r="S629" i="7"/>
  <c r="S628" i="7"/>
  <c r="S627" i="7"/>
  <c r="S626" i="7"/>
  <c r="S625" i="7"/>
  <c r="S624" i="7"/>
  <c r="S622" i="7"/>
  <c r="S278" i="7"/>
  <c r="S277" i="7"/>
  <c r="S276" i="7"/>
  <c r="S275" i="7"/>
  <c r="S274" i="7"/>
  <c r="S273" i="7"/>
  <c r="S296" i="7"/>
  <c r="S295" i="7"/>
  <c r="S294" i="7"/>
  <c r="S599" i="7"/>
  <c r="S598" i="7"/>
  <c r="S597" i="7"/>
  <c r="S596" i="7"/>
  <c r="S595" i="7"/>
  <c r="S594" i="7"/>
  <c r="S593" i="7"/>
  <c r="S592" i="7"/>
  <c r="S590" i="7"/>
  <c r="S271" i="7"/>
  <c r="S272" i="7"/>
  <c r="S270" i="7"/>
  <c r="S488" i="7"/>
  <c r="S482" i="7"/>
  <c r="S384" i="7"/>
  <c r="S383" i="7"/>
  <c r="S382" i="7"/>
  <c r="S381" i="7"/>
  <c r="S380" i="7"/>
  <c r="S379" i="7"/>
  <c r="S397" i="7"/>
  <c r="S264" i="7"/>
  <c r="S251" i="7"/>
  <c r="S250" i="7"/>
  <c r="S249" i="7"/>
  <c r="S248" i="7"/>
  <c r="S247" i="7"/>
  <c r="S246" i="7"/>
  <c r="S28" i="7"/>
  <c r="R409" i="7"/>
  <c r="R407" i="7"/>
  <c r="R406" i="7"/>
  <c r="R410" i="7"/>
  <c r="R430" i="7"/>
  <c r="R434" i="7"/>
  <c r="R454" i="7"/>
  <c r="R458" i="7"/>
  <c r="R462" i="7"/>
  <c r="R431" i="7"/>
  <c r="R435" i="7"/>
  <c r="R455" i="7"/>
  <c r="R459" i="7"/>
  <c r="R463" i="7"/>
  <c r="R30" i="7"/>
  <c r="R588" i="7"/>
  <c r="R573" i="7" s="1"/>
  <c r="R76" i="7" s="1"/>
  <c r="R620" i="7"/>
  <c r="R605" i="7" s="1"/>
  <c r="R77" i="7" s="1"/>
  <c r="R652" i="7"/>
  <c r="R637" i="7" s="1"/>
  <c r="R78" i="7" s="1"/>
  <c r="R405" i="7"/>
  <c r="R265" i="7"/>
  <c r="R403" i="7"/>
  <c r="R411" i="7"/>
  <c r="R404" i="7"/>
  <c r="R408" i="7"/>
  <c r="R428" i="7"/>
  <c r="R432" i="7"/>
  <c r="R436" i="7"/>
  <c r="R456" i="7"/>
  <c r="R460" i="7"/>
  <c r="R398" i="7"/>
  <c r="R429" i="7"/>
  <c r="R433" i="7"/>
  <c r="R437" i="7"/>
  <c r="R457" i="7"/>
  <c r="R461" i="7"/>
  <c r="Y548" i="7" l="1"/>
  <c r="Y553" i="7"/>
  <c r="Z544" i="7"/>
  <c r="X535" i="7"/>
  <c r="X537" i="7" s="1"/>
  <c r="Y555" i="7"/>
  <c r="Y552" i="7" s="1"/>
  <c r="Y536" i="7"/>
  <c r="Y38" i="7"/>
  <c r="Y37" i="7"/>
  <c r="Y36" i="7"/>
  <c r="E353" i="7"/>
  <c r="E350" i="7" s="1"/>
  <c r="B375" i="7"/>
  <c r="E214" i="7"/>
  <c r="E217" i="7"/>
  <c r="E219" i="7"/>
  <c r="E218" i="7"/>
  <c r="E215" i="7"/>
  <c r="E216" i="7"/>
  <c r="Y487" i="7"/>
  <c r="Y481" i="7"/>
  <c r="R402" i="7"/>
  <c r="Y22" i="7"/>
  <c r="Y39" i="7" s="1"/>
  <c r="Y123" i="7"/>
  <c r="Y642" i="7"/>
  <c r="Y619" i="7"/>
  <c r="Y650" i="7"/>
  <c r="Y648" i="7"/>
  <c r="Y646" i="7"/>
  <c r="Y644" i="7"/>
  <c r="Y645" i="7"/>
  <c r="Y651" i="7"/>
  <c r="Y617" i="7"/>
  <c r="Y615" i="7"/>
  <c r="Y647" i="7"/>
  <c r="Y643" i="7"/>
  <c r="Y649" i="7"/>
  <c r="Y618" i="7"/>
  <c r="Y616" i="7"/>
  <c r="Y614" i="7"/>
  <c r="Y612" i="7"/>
  <c r="Y610" i="7"/>
  <c r="Y586" i="7"/>
  <c r="Y587" i="7"/>
  <c r="Y585" i="7"/>
  <c r="Y584" i="7"/>
  <c r="Y582" i="7"/>
  <c r="Y580" i="7"/>
  <c r="Y578" i="7"/>
  <c r="Y613" i="7"/>
  <c r="Y611" i="7"/>
  <c r="Y583" i="7"/>
  <c r="Y581" i="7"/>
  <c r="Y579" i="7"/>
  <c r="Y519" i="7"/>
  <c r="Y33" i="7"/>
  <c r="Y29" i="7"/>
  <c r="Y527" i="7"/>
  <c r="Y523" i="7"/>
  <c r="Y515" i="7"/>
  <c r="Y40" i="7"/>
  <c r="Y19" i="7"/>
  <c r="Y26" i="7"/>
  <c r="Z2" i="7"/>
  <c r="C159" i="7"/>
  <c r="T567" i="7"/>
  <c r="B242" i="7"/>
  <c r="S269" i="7"/>
  <c r="T663" i="7"/>
  <c r="T662" i="7"/>
  <c r="T661" i="7"/>
  <c r="T660" i="7"/>
  <c r="T658" i="7"/>
  <c r="T656" i="7"/>
  <c r="T655" i="7"/>
  <c r="T329" i="7"/>
  <c r="T328" i="7"/>
  <c r="T327" i="7"/>
  <c r="T326" i="7"/>
  <c r="T325" i="7"/>
  <c r="T324" i="7"/>
  <c r="T323" i="7"/>
  <c r="T322" i="7"/>
  <c r="T321" i="7"/>
  <c r="T320" i="7"/>
  <c r="T631" i="7"/>
  <c r="T630" i="7"/>
  <c r="T629" i="7"/>
  <c r="T628" i="7"/>
  <c r="T627" i="7"/>
  <c r="T626" i="7"/>
  <c r="T625" i="7"/>
  <c r="T624" i="7"/>
  <c r="T622" i="7"/>
  <c r="T303" i="7"/>
  <c r="T302" i="7"/>
  <c r="T301" i="7"/>
  <c r="T300" i="7"/>
  <c r="T299" i="7"/>
  <c r="T298" i="7"/>
  <c r="T297" i="7"/>
  <c r="T296" i="7"/>
  <c r="T295" i="7"/>
  <c r="T294" i="7"/>
  <c r="T599" i="7"/>
  <c r="T598" i="7"/>
  <c r="T597" i="7"/>
  <c r="T596" i="7"/>
  <c r="T595" i="7"/>
  <c r="T594" i="7"/>
  <c r="T593" i="7"/>
  <c r="T592" i="7"/>
  <c r="T590" i="7"/>
  <c r="T278" i="7"/>
  <c r="T277" i="7"/>
  <c r="T276" i="7"/>
  <c r="T275" i="7"/>
  <c r="T274" i="7"/>
  <c r="T273" i="7"/>
  <c r="T272" i="7"/>
  <c r="T271" i="7"/>
  <c r="T270" i="7"/>
  <c r="T488" i="7"/>
  <c r="T482" i="7"/>
  <c r="T397" i="7"/>
  <c r="T384" i="7"/>
  <c r="T383" i="7"/>
  <c r="T382" i="7"/>
  <c r="T381" i="7"/>
  <c r="T380" i="7"/>
  <c r="T379" i="7"/>
  <c r="T251" i="7"/>
  <c r="T250" i="7"/>
  <c r="T249" i="7"/>
  <c r="T248" i="7"/>
  <c r="T247" i="7"/>
  <c r="T246" i="7"/>
  <c r="T264" i="7"/>
  <c r="T28" i="7"/>
  <c r="S265" i="7"/>
  <c r="S404" i="7"/>
  <c r="S406" i="7"/>
  <c r="S403" i="7"/>
  <c r="S407" i="7"/>
  <c r="S411" i="7"/>
  <c r="S431" i="7"/>
  <c r="S435" i="7"/>
  <c r="S455" i="7"/>
  <c r="S459" i="7"/>
  <c r="S463" i="7"/>
  <c r="S428" i="7"/>
  <c r="S432" i="7"/>
  <c r="S436" i="7"/>
  <c r="S456" i="7"/>
  <c r="S460" i="7"/>
  <c r="S398" i="7"/>
  <c r="R79" i="7"/>
  <c r="S30" i="7"/>
  <c r="S588" i="7"/>
  <c r="S573" i="7" s="1"/>
  <c r="S76" i="7" s="1"/>
  <c r="S620" i="7"/>
  <c r="S605" i="7" s="1"/>
  <c r="S77" i="7" s="1"/>
  <c r="S408" i="7"/>
  <c r="S410" i="7"/>
  <c r="S405" i="7"/>
  <c r="S409" i="7"/>
  <c r="S429" i="7"/>
  <c r="S433" i="7"/>
  <c r="S437" i="7"/>
  <c r="S457" i="7"/>
  <c r="S461" i="7"/>
  <c r="S430" i="7"/>
  <c r="S434" i="7"/>
  <c r="S454" i="7"/>
  <c r="S458" i="7"/>
  <c r="S462" i="7"/>
  <c r="S652" i="7"/>
  <c r="S637" i="7" s="1"/>
  <c r="S78" i="7" s="1"/>
  <c r="Z548" i="7" l="1"/>
  <c r="Z553" i="7"/>
  <c r="AA544" i="7"/>
  <c r="Y535" i="7"/>
  <c r="Y537" i="7" s="1"/>
  <c r="Z555" i="7"/>
  <c r="Z552" i="7" s="1"/>
  <c r="Z536" i="7"/>
  <c r="E347" i="7"/>
  <c r="E349" i="7"/>
  <c r="E348" i="7"/>
  <c r="E352" i="7"/>
  <c r="E351" i="7"/>
  <c r="Z38" i="7"/>
  <c r="Z37" i="7"/>
  <c r="Z36" i="7"/>
  <c r="Z487" i="7"/>
  <c r="Z481" i="7"/>
  <c r="S402" i="7"/>
  <c r="Z123" i="7"/>
  <c r="Z22" i="7"/>
  <c r="Z39" i="7" s="1"/>
  <c r="Z651" i="7"/>
  <c r="Z649" i="7"/>
  <c r="Z647" i="7"/>
  <c r="Z645" i="7"/>
  <c r="Z643" i="7"/>
  <c r="Z648" i="7"/>
  <c r="Z644" i="7"/>
  <c r="Z642" i="7"/>
  <c r="Z618" i="7"/>
  <c r="Z617" i="7"/>
  <c r="Z616" i="7"/>
  <c r="Z615" i="7"/>
  <c r="Z614" i="7"/>
  <c r="Z613" i="7"/>
  <c r="Z612" i="7"/>
  <c r="Z611" i="7"/>
  <c r="Z610" i="7"/>
  <c r="Z587" i="7"/>
  <c r="Z586" i="7"/>
  <c r="Z585" i="7"/>
  <c r="Z650" i="7"/>
  <c r="Z646" i="7"/>
  <c r="Z619" i="7"/>
  <c r="Z578" i="7"/>
  <c r="Z583" i="7"/>
  <c r="Z581" i="7"/>
  <c r="Z579" i="7"/>
  <c r="Z584" i="7"/>
  <c r="Z582" i="7"/>
  <c r="Z580" i="7"/>
  <c r="Z519" i="7"/>
  <c r="Z33" i="7"/>
  <c r="Z29" i="7"/>
  <c r="Z527" i="7"/>
  <c r="Z523" i="7"/>
  <c r="Z515" i="7"/>
  <c r="Z40" i="7"/>
  <c r="Z26" i="7"/>
  <c r="Z19" i="7"/>
  <c r="AA2" i="7"/>
  <c r="U567" i="7"/>
  <c r="T269" i="7"/>
  <c r="U561" i="7"/>
  <c r="T652" i="7"/>
  <c r="T637" i="7" s="1"/>
  <c r="T78" i="7" s="1"/>
  <c r="U663" i="7"/>
  <c r="U662" i="7"/>
  <c r="U661" i="7"/>
  <c r="U659" i="7"/>
  <c r="U658" i="7"/>
  <c r="U656" i="7"/>
  <c r="U655" i="7"/>
  <c r="U329" i="7"/>
  <c r="U328" i="7"/>
  <c r="U327" i="7"/>
  <c r="U326" i="7"/>
  <c r="U325" i="7"/>
  <c r="U324" i="7"/>
  <c r="U323" i="7"/>
  <c r="U322" i="7"/>
  <c r="U321" i="7"/>
  <c r="U303" i="7"/>
  <c r="U302" i="7"/>
  <c r="U301" i="7"/>
  <c r="U300" i="7"/>
  <c r="U299" i="7"/>
  <c r="U298" i="7"/>
  <c r="U297" i="7"/>
  <c r="U320" i="7"/>
  <c r="U631" i="7"/>
  <c r="U630" i="7"/>
  <c r="U629" i="7"/>
  <c r="U628" i="7"/>
  <c r="U627" i="7"/>
  <c r="U626" i="7"/>
  <c r="U625" i="7"/>
  <c r="U624" i="7"/>
  <c r="U622" i="7"/>
  <c r="U296" i="7"/>
  <c r="U278" i="7"/>
  <c r="U277" i="7"/>
  <c r="U276" i="7"/>
  <c r="U275" i="7"/>
  <c r="U274" i="7"/>
  <c r="U273" i="7"/>
  <c r="U295" i="7"/>
  <c r="U294" i="7"/>
  <c r="U599" i="7"/>
  <c r="U598" i="7"/>
  <c r="U597" i="7"/>
  <c r="U596" i="7"/>
  <c r="U595" i="7"/>
  <c r="U594" i="7"/>
  <c r="U593" i="7"/>
  <c r="U592" i="7"/>
  <c r="U590" i="7"/>
  <c r="U272" i="7"/>
  <c r="U271" i="7"/>
  <c r="U270" i="7"/>
  <c r="U488" i="7"/>
  <c r="U482" i="7"/>
  <c r="U384" i="7"/>
  <c r="U383" i="7"/>
  <c r="U382" i="7"/>
  <c r="U381" i="7"/>
  <c r="U380" i="7"/>
  <c r="U379" i="7"/>
  <c r="U397" i="7"/>
  <c r="U264" i="7"/>
  <c r="U251" i="7"/>
  <c r="U250" i="7"/>
  <c r="U249" i="7"/>
  <c r="U248" i="7"/>
  <c r="U247" i="7"/>
  <c r="U246" i="7"/>
  <c r="U28" i="7"/>
  <c r="T407" i="7"/>
  <c r="T265" i="7"/>
  <c r="T405" i="7"/>
  <c r="T406" i="7"/>
  <c r="T410" i="7"/>
  <c r="T430" i="7"/>
  <c r="T434" i="7"/>
  <c r="T454" i="7"/>
  <c r="T458" i="7"/>
  <c r="T462" i="7"/>
  <c r="T431" i="7"/>
  <c r="T435" i="7"/>
  <c r="T455" i="7"/>
  <c r="T459" i="7"/>
  <c r="T463" i="7"/>
  <c r="T30" i="7"/>
  <c r="T588" i="7"/>
  <c r="T573" i="7" s="1"/>
  <c r="T76" i="7" s="1"/>
  <c r="T620" i="7"/>
  <c r="T605" i="7" s="1"/>
  <c r="T77" i="7" s="1"/>
  <c r="T403" i="7"/>
  <c r="T411" i="7"/>
  <c r="T409" i="7"/>
  <c r="T404" i="7"/>
  <c r="T408" i="7"/>
  <c r="T428" i="7"/>
  <c r="T432" i="7"/>
  <c r="T436" i="7"/>
  <c r="T456" i="7"/>
  <c r="T460" i="7"/>
  <c r="T398" i="7"/>
  <c r="T429" i="7"/>
  <c r="T433" i="7"/>
  <c r="T437" i="7"/>
  <c r="T457" i="7"/>
  <c r="T461" i="7"/>
  <c r="S79" i="7"/>
  <c r="AA548" i="7" l="1"/>
  <c r="AA553" i="7"/>
  <c r="AB544" i="7"/>
  <c r="Z535" i="7"/>
  <c r="Z537" i="7" s="1"/>
  <c r="AA555" i="7"/>
  <c r="AA552" i="7" s="1"/>
  <c r="AA536" i="7"/>
  <c r="AA36" i="7"/>
  <c r="AA38" i="7"/>
  <c r="AA37" i="7"/>
  <c r="AA487" i="7"/>
  <c r="AA481" i="7"/>
  <c r="T402" i="7"/>
  <c r="AA22" i="7"/>
  <c r="AA39" i="7" s="1"/>
  <c r="AA123" i="7"/>
  <c r="AA651" i="7"/>
  <c r="AA650" i="7"/>
  <c r="AA649" i="7"/>
  <c r="AA648" i="7"/>
  <c r="AA647" i="7"/>
  <c r="AA646" i="7"/>
  <c r="AA645" i="7"/>
  <c r="AA644" i="7"/>
  <c r="AA643" i="7"/>
  <c r="AA619" i="7"/>
  <c r="AA618" i="7"/>
  <c r="AA616" i="7"/>
  <c r="AA614" i="7"/>
  <c r="AA642" i="7"/>
  <c r="AA617" i="7"/>
  <c r="AA615" i="7"/>
  <c r="AA613" i="7"/>
  <c r="AA611" i="7"/>
  <c r="AA587" i="7"/>
  <c r="AA583" i="7"/>
  <c r="AA581" i="7"/>
  <c r="AA579" i="7"/>
  <c r="AA610" i="7"/>
  <c r="AA586" i="7"/>
  <c r="AA584" i="7"/>
  <c r="AA582" i="7"/>
  <c r="AA580" i="7"/>
  <c r="AA578" i="7"/>
  <c r="AA612" i="7"/>
  <c r="AA585" i="7"/>
  <c r="AA527" i="7"/>
  <c r="AA523" i="7"/>
  <c r="AA515" i="7"/>
  <c r="AA519" i="7"/>
  <c r="AA33" i="7"/>
  <c r="AA29" i="7"/>
  <c r="AA26" i="7"/>
  <c r="AA19" i="7"/>
  <c r="AA40" i="7"/>
  <c r="AB2" i="7"/>
  <c r="V567" i="7"/>
  <c r="U269" i="7"/>
  <c r="V560" i="7"/>
  <c r="U652" i="7"/>
  <c r="U637" i="7" s="1"/>
  <c r="U78" i="7" s="1"/>
  <c r="V663" i="7"/>
  <c r="V662" i="7"/>
  <c r="V661" i="7"/>
  <c r="V659" i="7"/>
  <c r="V658" i="7"/>
  <c r="V656" i="7"/>
  <c r="V655" i="7"/>
  <c r="V329" i="7"/>
  <c r="V328" i="7"/>
  <c r="V327" i="7"/>
  <c r="V326" i="7"/>
  <c r="V325" i="7"/>
  <c r="V324" i="7"/>
  <c r="V323" i="7"/>
  <c r="V322" i="7"/>
  <c r="V321" i="7"/>
  <c r="V320" i="7"/>
  <c r="V631" i="7"/>
  <c r="V630" i="7"/>
  <c r="V629" i="7"/>
  <c r="V628" i="7"/>
  <c r="V627" i="7"/>
  <c r="V626" i="7"/>
  <c r="V625" i="7"/>
  <c r="V624" i="7"/>
  <c r="V622" i="7"/>
  <c r="V303" i="7"/>
  <c r="V302" i="7"/>
  <c r="V301" i="7"/>
  <c r="V300" i="7"/>
  <c r="V299" i="7"/>
  <c r="V298" i="7"/>
  <c r="V297" i="7"/>
  <c r="V296" i="7"/>
  <c r="V295" i="7"/>
  <c r="V294" i="7"/>
  <c r="V599" i="7"/>
  <c r="V598" i="7"/>
  <c r="V597" i="7"/>
  <c r="V596" i="7"/>
  <c r="V595" i="7"/>
  <c r="V594" i="7"/>
  <c r="V593" i="7"/>
  <c r="V592" i="7"/>
  <c r="V590" i="7"/>
  <c r="V278" i="7"/>
  <c r="V277" i="7"/>
  <c r="V276" i="7"/>
  <c r="V275" i="7"/>
  <c r="V274" i="7"/>
  <c r="V273" i="7"/>
  <c r="V272" i="7"/>
  <c r="V271" i="7"/>
  <c r="V270" i="7"/>
  <c r="V488" i="7"/>
  <c r="V482" i="7"/>
  <c r="V397" i="7"/>
  <c r="V384" i="7"/>
  <c r="V383" i="7"/>
  <c r="V382" i="7"/>
  <c r="V381" i="7"/>
  <c r="V380" i="7"/>
  <c r="V379" i="7"/>
  <c r="V251" i="7"/>
  <c r="V250" i="7"/>
  <c r="V249" i="7"/>
  <c r="V248" i="7"/>
  <c r="V247" i="7"/>
  <c r="V246" i="7"/>
  <c r="V264" i="7"/>
  <c r="V28" i="7"/>
  <c r="U265" i="7"/>
  <c r="U410" i="7"/>
  <c r="U404" i="7"/>
  <c r="U403" i="7"/>
  <c r="U407" i="7"/>
  <c r="U411" i="7"/>
  <c r="U431" i="7"/>
  <c r="U435" i="7"/>
  <c r="U455" i="7"/>
  <c r="U459" i="7"/>
  <c r="U463" i="7"/>
  <c r="U428" i="7"/>
  <c r="U432" i="7"/>
  <c r="U436" i="7"/>
  <c r="U456" i="7"/>
  <c r="U460" i="7"/>
  <c r="U398" i="7"/>
  <c r="T79" i="7"/>
  <c r="U30" i="7"/>
  <c r="U588" i="7"/>
  <c r="U573" i="7" s="1"/>
  <c r="U76" i="7" s="1"/>
  <c r="U620" i="7"/>
  <c r="U605" i="7" s="1"/>
  <c r="U77" i="7" s="1"/>
  <c r="U406" i="7"/>
  <c r="U408" i="7"/>
  <c r="U405" i="7"/>
  <c r="U409" i="7"/>
  <c r="U429" i="7"/>
  <c r="U433" i="7"/>
  <c r="U437" i="7"/>
  <c r="U457" i="7"/>
  <c r="U461" i="7"/>
  <c r="U430" i="7"/>
  <c r="U434" i="7"/>
  <c r="U454" i="7"/>
  <c r="U458" i="7"/>
  <c r="U462" i="7"/>
  <c r="AB548" i="7" l="1"/>
  <c r="AB553" i="7"/>
  <c r="AC544" i="7"/>
  <c r="AA535" i="7"/>
  <c r="AA537" i="7" s="1"/>
  <c r="AB555" i="7"/>
  <c r="AB552" i="7" s="1"/>
  <c r="AB536" i="7"/>
  <c r="AB38" i="7"/>
  <c r="AB37" i="7"/>
  <c r="AB36" i="7"/>
  <c r="AB487" i="7"/>
  <c r="AB481" i="7"/>
  <c r="U402" i="7"/>
  <c r="AB22" i="7"/>
  <c r="AB39" i="7" s="1"/>
  <c r="AB123" i="7"/>
  <c r="AB651" i="7"/>
  <c r="AB649" i="7"/>
  <c r="AB647" i="7"/>
  <c r="AB645" i="7"/>
  <c r="AB619" i="7"/>
  <c r="AB646" i="7"/>
  <c r="AB643" i="7"/>
  <c r="AB618" i="7"/>
  <c r="AB616" i="7"/>
  <c r="AB648" i="7"/>
  <c r="AB642" i="7"/>
  <c r="AB650" i="7"/>
  <c r="AB644" i="7"/>
  <c r="AB617" i="7"/>
  <c r="AB615" i="7"/>
  <c r="AB613" i="7"/>
  <c r="AB611" i="7"/>
  <c r="AB587" i="7"/>
  <c r="AB585" i="7"/>
  <c r="AB584" i="7"/>
  <c r="AB583" i="7"/>
  <c r="AB582" i="7"/>
  <c r="AB581" i="7"/>
  <c r="AB580" i="7"/>
  <c r="AB579" i="7"/>
  <c r="AB578" i="7"/>
  <c r="AB610" i="7"/>
  <c r="AB586" i="7"/>
  <c r="AB614" i="7"/>
  <c r="AB612" i="7"/>
  <c r="AB519" i="7"/>
  <c r="AB33" i="7"/>
  <c r="AB29" i="7"/>
  <c r="AB527" i="7"/>
  <c r="AB523" i="7"/>
  <c r="AB515" i="7"/>
  <c r="AB19" i="7"/>
  <c r="AB40" i="7"/>
  <c r="AB26" i="7"/>
  <c r="AC2" i="7"/>
  <c r="W567" i="7"/>
  <c r="W562" i="7"/>
  <c r="W541" i="7"/>
  <c r="W542" i="7"/>
  <c r="W561" i="7"/>
  <c r="W560" i="7"/>
  <c r="V588" i="7"/>
  <c r="V573" i="7" s="1"/>
  <c r="V76" i="7" s="1"/>
  <c r="V652" i="7"/>
  <c r="V637" i="7" s="1"/>
  <c r="V78" i="7" s="1"/>
  <c r="V269" i="7"/>
  <c r="V30" i="7"/>
  <c r="V620" i="7"/>
  <c r="V605" i="7" s="1"/>
  <c r="V77" i="7" s="1"/>
  <c r="W663" i="7"/>
  <c r="W662" i="7"/>
  <c r="W661" i="7"/>
  <c r="W659" i="7"/>
  <c r="W657" i="7"/>
  <c r="W656" i="7"/>
  <c r="W329" i="7"/>
  <c r="W328" i="7"/>
  <c r="W327" i="7"/>
  <c r="W326" i="7"/>
  <c r="W325" i="7"/>
  <c r="W324" i="7"/>
  <c r="W323" i="7"/>
  <c r="W322" i="7"/>
  <c r="W654" i="7"/>
  <c r="W320" i="7"/>
  <c r="W303" i="7"/>
  <c r="W302" i="7"/>
  <c r="W301" i="7"/>
  <c r="W300" i="7"/>
  <c r="W299" i="7"/>
  <c r="W298" i="7"/>
  <c r="W297" i="7"/>
  <c r="W321" i="7"/>
  <c r="W631" i="7"/>
  <c r="W630" i="7"/>
  <c r="W629" i="7"/>
  <c r="W628" i="7"/>
  <c r="W627" i="7"/>
  <c r="W626" i="7"/>
  <c r="W625" i="7"/>
  <c r="W624" i="7"/>
  <c r="W622" i="7"/>
  <c r="W278" i="7"/>
  <c r="W277" i="7"/>
  <c r="W276" i="7"/>
  <c r="W275" i="7"/>
  <c r="W274" i="7"/>
  <c r="W273" i="7"/>
  <c r="W296" i="7"/>
  <c r="W295" i="7"/>
  <c r="W294" i="7"/>
  <c r="W599" i="7"/>
  <c r="W598" i="7"/>
  <c r="W597" i="7"/>
  <c r="W596" i="7"/>
  <c r="W595" i="7"/>
  <c r="W594" i="7"/>
  <c r="W593" i="7"/>
  <c r="W592" i="7"/>
  <c r="W590" i="7"/>
  <c r="W271" i="7"/>
  <c r="W272" i="7"/>
  <c r="W270" i="7"/>
  <c r="W488" i="7"/>
  <c r="W482" i="7"/>
  <c r="W384" i="7"/>
  <c r="W383" i="7"/>
  <c r="W382" i="7"/>
  <c r="W381" i="7"/>
  <c r="W380" i="7"/>
  <c r="W379" i="7"/>
  <c r="W397" i="7"/>
  <c r="W264" i="7"/>
  <c r="W251" i="7"/>
  <c r="W250" i="7"/>
  <c r="W249" i="7"/>
  <c r="W248" i="7"/>
  <c r="W247" i="7"/>
  <c r="W246" i="7"/>
  <c r="W28" i="7"/>
  <c r="V405" i="7"/>
  <c r="V265" i="7"/>
  <c r="V403" i="7"/>
  <c r="V411" i="7"/>
  <c r="V404" i="7"/>
  <c r="V408" i="7"/>
  <c r="V428" i="7"/>
  <c r="V432" i="7"/>
  <c r="V436" i="7"/>
  <c r="V456" i="7"/>
  <c r="V460" i="7"/>
  <c r="V398" i="7"/>
  <c r="V429" i="7"/>
  <c r="V433" i="7"/>
  <c r="V437" i="7"/>
  <c r="V457" i="7"/>
  <c r="V461" i="7"/>
  <c r="V409" i="7"/>
  <c r="V407" i="7"/>
  <c r="V406" i="7"/>
  <c r="V410" i="7"/>
  <c r="V430" i="7"/>
  <c r="V434" i="7"/>
  <c r="V454" i="7"/>
  <c r="V458" i="7"/>
  <c r="V462" i="7"/>
  <c r="V431" i="7"/>
  <c r="V435" i="7"/>
  <c r="V455" i="7"/>
  <c r="V459" i="7"/>
  <c r="V463" i="7"/>
  <c r="U79" i="7"/>
  <c r="AC548" i="7" l="1"/>
  <c r="AC553" i="7"/>
  <c r="AD544" i="7"/>
  <c r="AB535" i="7"/>
  <c r="AB537" i="7" s="1"/>
  <c r="AC555" i="7"/>
  <c r="AC552" i="7" s="1"/>
  <c r="AC536" i="7"/>
  <c r="AC38" i="7"/>
  <c r="AC37" i="7"/>
  <c r="AC36" i="7"/>
  <c r="AC487" i="7"/>
  <c r="AC481" i="7"/>
  <c r="V402" i="7"/>
  <c r="AC22" i="7"/>
  <c r="AC39" i="7" s="1"/>
  <c r="AC123" i="7"/>
  <c r="AC650" i="7"/>
  <c r="AC648" i="7"/>
  <c r="AC646" i="7"/>
  <c r="AC644" i="7"/>
  <c r="AC642" i="7"/>
  <c r="AC619" i="7"/>
  <c r="AC649" i="7"/>
  <c r="AC645" i="7"/>
  <c r="AC651" i="7"/>
  <c r="AC643" i="7"/>
  <c r="AC610" i="7"/>
  <c r="AC647" i="7"/>
  <c r="AC617" i="7"/>
  <c r="AC615" i="7"/>
  <c r="AC613" i="7"/>
  <c r="AC618" i="7"/>
  <c r="AC616" i="7"/>
  <c r="AC614" i="7"/>
  <c r="AC612" i="7"/>
  <c r="AC611" i="7"/>
  <c r="AC584" i="7"/>
  <c r="AC582" i="7"/>
  <c r="AC580" i="7"/>
  <c r="AC578" i="7"/>
  <c r="AC585" i="7"/>
  <c r="AC587" i="7"/>
  <c r="AC586" i="7"/>
  <c r="AC583" i="7"/>
  <c r="AC581" i="7"/>
  <c r="AC579" i="7"/>
  <c r="AC519" i="7"/>
  <c r="AC33" i="7"/>
  <c r="AC29" i="7"/>
  <c r="AC527" i="7"/>
  <c r="AC523" i="7"/>
  <c r="AC515" i="7"/>
  <c r="AC26" i="7"/>
  <c r="AC40" i="7"/>
  <c r="AC19" i="7"/>
  <c r="AD2" i="7"/>
  <c r="W543" i="7"/>
  <c r="W545" i="7" s="1"/>
  <c r="X567" i="7"/>
  <c r="X542" i="7"/>
  <c r="X562" i="7"/>
  <c r="X541" i="7"/>
  <c r="W174" i="7"/>
  <c r="W138" i="7"/>
  <c r="W55" i="7"/>
  <c r="W69" i="7"/>
  <c r="X561" i="7"/>
  <c r="X560" i="7"/>
  <c r="V79" i="7"/>
  <c r="W269" i="7"/>
  <c r="W30" i="7"/>
  <c r="W620" i="7"/>
  <c r="W605" i="7" s="1"/>
  <c r="W77" i="7" s="1"/>
  <c r="W588" i="7"/>
  <c r="W573" i="7" s="1"/>
  <c r="W76" i="7" s="1"/>
  <c r="W408" i="7"/>
  <c r="W410" i="7"/>
  <c r="W405" i="7"/>
  <c r="W409" i="7"/>
  <c r="W429" i="7"/>
  <c r="W433" i="7"/>
  <c r="W437" i="7"/>
  <c r="W457" i="7"/>
  <c r="W461" i="7"/>
  <c r="W430" i="7"/>
  <c r="W434" i="7"/>
  <c r="W454" i="7"/>
  <c r="W458" i="7"/>
  <c r="W462" i="7"/>
  <c r="X559" i="7"/>
  <c r="W652" i="7"/>
  <c r="W637" i="7" s="1"/>
  <c r="W78" i="7" s="1"/>
  <c r="X663" i="7"/>
  <c r="X662" i="7"/>
  <c r="X660" i="7"/>
  <c r="X659" i="7"/>
  <c r="X657" i="7"/>
  <c r="X656" i="7"/>
  <c r="X654" i="7"/>
  <c r="X329" i="7"/>
  <c r="X328" i="7"/>
  <c r="X327" i="7"/>
  <c r="X326" i="7"/>
  <c r="X325" i="7"/>
  <c r="X323" i="7"/>
  <c r="X322" i="7"/>
  <c r="X321" i="7"/>
  <c r="X320" i="7"/>
  <c r="X631" i="7"/>
  <c r="X630" i="7"/>
  <c r="X629" i="7"/>
  <c r="X628" i="7"/>
  <c r="X627" i="7"/>
  <c r="X626" i="7"/>
  <c r="X625" i="7"/>
  <c r="X624" i="7"/>
  <c r="X622" i="7"/>
  <c r="X303" i="7"/>
  <c r="X302" i="7"/>
  <c r="X301" i="7"/>
  <c r="X300" i="7"/>
  <c r="X299" i="7"/>
  <c r="X298" i="7"/>
  <c r="X297" i="7"/>
  <c r="X296" i="7"/>
  <c r="X295" i="7"/>
  <c r="X294" i="7"/>
  <c r="X599" i="7"/>
  <c r="X598" i="7"/>
  <c r="X597" i="7"/>
  <c r="X596" i="7"/>
  <c r="X595" i="7"/>
  <c r="X594" i="7"/>
  <c r="X593" i="7"/>
  <c r="X592" i="7"/>
  <c r="X590" i="7"/>
  <c r="X278" i="7"/>
  <c r="X277" i="7"/>
  <c r="X276" i="7"/>
  <c r="X275" i="7"/>
  <c r="X274" i="7"/>
  <c r="X273" i="7"/>
  <c r="X272" i="7"/>
  <c r="X271" i="7"/>
  <c r="X270" i="7"/>
  <c r="X488" i="7"/>
  <c r="X482" i="7"/>
  <c r="X397" i="7"/>
  <c r="X384" i="7"/>
  <c r="X383" i="7"/>
  <c r="X382" i="7"/>
  <c r="X381" i="7"/>
  <c r="X380" i="7"/>
  <c r="X379" i="7"/>
  <c r="X324" i="7"/>
  <c r="X251" i="7"/>
  <c r="X250" i="7"/>
  <c r="X249" i="7"/>
  <c r="X248" i="7"/>
  <c r="X247" i="7"/>
  <c r="X246" i="7"/>
  <c r="X264" i="7"/>
  <c r="X28" i="7"/>
  <c r="W265" i="7"/>
  <c r="W404" i="7"/>
  <c r="W406" i="7"/>
  <c r="W403" i="7"/>
  <c r="W407" i="7"/>
  <c r="W411" i="7"/>
  <c r="W431" i="7"/>
  <c r="W435" i="7"/>
  <c r="W455" i="7"/>
  <c r="W459" i="7"/>
  <c r="W463" i="7"/>
  <c r="W428" i="7"/>
  <c r="W432" i="7"/>
  <c r="W436" i="7"/>
  <c r="W456" i="7"/>
  <c r="W460" i="7"/>
  <c r="W398" i="7"/>
  <c r="AD548" i="7" l="1"/>
  <c r="AD553" i="7"/>
  <c r="AE544" i="7"/>
  <c r="AC535" i="7"/>
  <c r="AC537" i="7" s="1"/>
  <c r="AD555" i="7"/>
  <c r="AD552" i="7" s="1"/>
  <c r="AD536" i="7"/>
  <c r="AD38" i="7"/>
  <c r="AD37" i="7"/>
  <c r="AD36" i="7"/>
  <c r="AD487" i="7"/>
  <c r="AD481" i="7"/>
  <c r="W402" i="7"/>
  <c r="AD22" i="7"/>
  <c r="AD39" i="7" s="1"/>
  <c r="AD123" i="7"/>
  <c r="AD650" i="7"/>
  <c r="AD648" i="7"/>
  <c r="AD646" i="7"/>
  <c r="AD644" i="7"/>
  <c r="AD643" i="7"/>
  <c r="AD618" i="7"/>
  <c r="AD617" i="7"/>
  <c r="AD616" i="7"/>
  <c r="AD615" i="7"/>
  <c r="AD614" i="7"/>
  <c r="AD613" i="7"/>
  <c r="AD612" i="7"/>
  <c r="AD611" i="7"/>
  <c r="AD610" i="7"/>
  <c r="AD587" i="7"/>
  <c r="AD586" i="7"/>
  <c r="AD585" i="7"/>
  <c r="AD647" i="7"/>
  <c r="AD642" i="7"/>
  <c r="AD649" i="7"/>
  <c r="AD651" i="7"/>
  <c r="AD645" i="7"/>
  <c r="AD619" i="7"/>
  <c r="AD584" i="7"/>
  <c r="AD582" i="7"/>
  <c r="AD580" i="7"/>
  <c r="AD578" i="7"/>
  <c r="AD583" i="7"/>
  <c r="AD581" i="7"/>
  <c r="AD579" i="7"/>
  <c r="AD519" i="7"/>
  <c r="AD33" i="7"/>
  <c r="AD29" i="7"/>
  <c r="AD527" i="7"/>
  <c r="AD523" i="7"/>
  <c r="AD515" i="7"/>
  <c r="AD40" i="7"/>
  <c r="AD26" i="7"/>
  <c r="AD19" i="7"/>
  <c r="AE2" i="7"/>
  <c r="X543" i="7"/>
  <c r="X545" i="7" s="1"/>
  <c r="Y567" i="7"/>
  <c r="Y562" i="7"/>
  <c r="Y541" i="7"/>
  <c r="Y542" i="7"/>
  <c r="X174" i="7"/>
  <c r="X138" i="7"/>
  <c r="X55" i="7"/>
  <c r="Y561" i="7"/>
  <c r="Y560" i="7"/>
  <c r="X269" i="7"/>
  <c r="W79" i="7"/>
  <c r="X407" i="7"/>
  <c r="X265" i="7"/>
  <c r="X405" i="7"/>
  <c r="X406" i="7"/>
  <c r="X410" i="7"/>
  <c r="X430" i="7"/>
  <c r="X434" i="7"/>
  <c r="X454" i="7"/>
  <c r="X458" i="7"/>
  <c r="X462" i="7"/>
  <c r="X431" i="7"/>
  <c r="X435" i="7"/>
  <c r="X455" i="7"/>
  <c r="X459" i="7"/>
  <c r="X463" i="7"/>
  <c r="Y559" i="7"/>
  <c r="X30" i="7"/>
  <c r="X69" i="7"/>
  <c r="X588" i="7"/>
  <c r="X573" i="7" s="1"/>
  <c r="X76" i="7" s="1"/>
  <c r="X620" i="7"/>
  <c r="X605" i="7" s="1"/>
  <c r="X77" i="7" s="1"/>
  <c r="X652" i="7"/>
  <c r="X637" i="7" s="1"/>
  <c r="X78" i="7" s="1"/>
  <c r="Y663" i="7"/>
  <c r="Y662" i="7"/>
  <c r="Y660" i="7"/>
  <c r="Y659" i="7"/>
  <c r="Y657" i="7"/>
  <c r="Y656" i="7"/>
  <c r="Y329" i="7"/>
  <c r="Y328" i="7"/>
  <c r="Y327" i="7"/>
  <c r="Y326" i="7"/>
  <c r="Y325" i="7"/>
  <c r="Y324" i="7"/>
  <c r="Y323" i="7"/>
  <c r="Y322" i="7"/>
  <c r="Y654" i="7"/>
  <c r="Y321" i="7"/>
  <c r="Y303" i="7"/>
  <c r="Y302" i="7"/>
  <c r="Y301" i="7"/>
  <c r="Y300" i="7"/>
  <c r="Y299" i="7"/>
  <c r="Y298" i="7"/>
  <c r="Y297" i="7"/>
  <c r="Y320" i="7"/>
  <c r="Y631" i="7"/>
  <c r="Y630" i="7"/>
  <c r="Y629" i="7"/>
  <c r="Y628" i="7"/>
  <c r="Y627" i="7"/>
  <c r="Y626" i="7"/>
  <c r="Y625" i="7"/>
  <c r="Y624" i="7"/>
  <c r="Y622" i="7"/>
  <c r="Y296" i="7"/>
  <c r="Y278" i="7"/>
  <c r="Y277" i="7"/>
  <c r="Y276" i="7"/>
  <c r="Y275" i="7"/>
  <c r="Y274" i="7"/>
  <c r="Y273" i="7"/>
  <c r="Y295" i="7"/>
  <c r="Y294" i="7"/>
  <c r="Y599" i="7"/>
  <c r="Y598" i="7"/>
  <c r="Y597" i="7"/>
  <c r="Y596" i="7"/>
  <c r="Y595" i="7"/>
  <c r="Y594" i="7"/>
  <c r="Y593" i="7"/>
  <c r="Y592" i="7"/>
  <c r="Y590" i="7"/>
  <c r="Y272" i="7"/>
  <c r="Y271" i="7"/>
  <c r="Y270" i="7"/>
  <c r="Y488" i="7"/>
  <c r="Y482" i="7"/>
  <c r="Y384" i="7"/>
  <c r="Y383" i="7"/>
  <c r="Y382" i="7"/>
  <c r="Y381" i="7"/>
  <c r="Y380" i="7"/>
  <c r="Y379" i="7"/>
  <c r="Y397" i="7"/>
  <c r="Y264" i="7"/>
  <c r="Y251" i="7"/>
  <c r="Y250" i="7"/>
  <c r="Y249" i="7"/>
  <c r="Y248" i="7"/>
  <c r="Y247" i="7"/>
  <c r="Y246" i="7"/>
  <c r="Y28" i="7"/>
  <c r="X403" i="7"/>
  <c r="X411" i="7"/>
  <c r="X409" i="7"/>
  <c r="X404" i="7"/>
  <c r="X408" i="7"/>
  <c r="X428" i="7"/>
  <c r="X432" i="7"/>
  <c r="X436" i="7"/>
  <c r="X456" i="7"/>
  <c r="X460" i="7"/>
  <c r="X398" i="7"/>
  <c r="X429" i="7"/>
  <c r="X433" i="7"/>
  <c r="X437" i="7"/>
  <c r="X457" i="7"/>
  <c r="X461" i="7"/>
  <c r="AE548" i="7" l="1"/>
  <c r="AE553" i="7"/>
  <c r="AF544" i="7"/>
  <c r="AD535" i="7"/>
  <c r="AD537" i="7" s="1"/>
  <c r="AE555" i="7"/>
  <c r="AE552" i="7" s="1"/>
  <c r="AE536" i="7"/>
  <c r="AE37" i="7"/>
  <c r="AE38" i="7"/>
  <c r="AE36" i="7"/>
  <c r="AE487" i="7"/>
  <c r="AE481" i="7"/>
  <c r="W89" i="7"/>
  <c r="W90" i="7" s="1"/>
  <c r="V562" i="7"/>
  <c r="W559" i="7" s="1"/>
  <c r="X402" i="7"/>
  <c r="AE22" i="7"/>
  <c r="AE39" i="7" s="1"/>
  <c r="AE123" i="7"/>
  <c r="AE651" i="7"/>
  <c r="AE650" i="7"/>
  <c r="AE649" i="7"/>
  <c r="AE648" i="7"/>
  <c r="AE647" i="7"/>
  <c r="AE646" i="7"/>
  <c r="AE645" i="7"/>
  <c r="AE644" i="7"/>
  <c r="AE643" i="7"/>
  <c r="AE642" i="7"/>
  <c r="AE617" i="7"/>
  <c r="AE615" i="7"/>
  <c r="AE619" i="7"/>
  <c r="AE618" i="7"/>
  <c r="AE616" i="7"/>
  <c r="AE614" i="7"/>
  <c r="AE612" i="7"/>
  <c r="AE610" i="7"/>
  <c r="AE586" i="7"/>
  <c r="AE578" i="7"/>
  <c r="AE613" i="7"/>
  <c r="AE611" i="7"/>
  <c r="AE585" i="7"/>
  <c r="AE583" i="7"/>
  <c r="AE581" i="7"/>
  <c r="AE579" i="7"/>
  <c r="AE587" i="7"/>
  <c r="AE584" i="7"/>
  <c r="AE582" i="7"/>
  <c r="AE580" i="7"/>
  <c r="AE527" i="7"/>
  <c r="AE523" i="7"/>
  <c r="AE515" i="7"/>
  <c r="AE519" i="7"/>
  <c r="AE33" i="7"/>
  <c r="AE29" i="7"/>
  <c r="AE26" i="7"/>
  <c r="AE19" i="7"/>
  <c r="AE40" i="7"/>
  <c r="AF2" i="7"/>
  <c r="Y543" i="7"/>
  <c r="Y545" i="7" s="1"/>
  <c r="Z567" i="7"/>
  <c r="Y269" i="7"/>
  <c r="Z542" i="7"/>
  <c r="Z562" i="7"/>
  <c r="Z541" i="7"/>
  <c r="Y174" i="7"/>
  <c r="Y138" i="7"/>
  <c r="Y55" i="7"/>
  <c r="Z561" i="7"/>
  <c r="Z560" i="7"/>
  <c r="Y652" i="7"/>
  <c r="Y637" i="7" s="1"/>
  <c r="Y78" i="7" s="1"/>
  <c r="Y30" i="7"/>
  <c r="Z663" i="7"/>
  <c r="Z662" i="7"/>
  <c r="Z660" i="7"/>
  <c r="Z659" i="7"/>
  <c r="Z657" i="7"/>
  <c r="Z656" i="7"/>
  <c r="Z654" i="7"/>
  <c r="Z329" i="7"/>
  <c r="Z328" i="7"/>
  <c r="Z327" i="7"/>
  <c r="Z326" i="7"/>
  <c r="Z325" i="7"/>
  <c r="Z324" i="7"/>
  <c r="Z323" i="7"/>
  <c r="Z322" i="7"/>
  <c r="Z321" i="7"/>
  <c r="Z320" i="7"/>
  <c r="Z631" i="7"/>
  <c r="Z630" i="7"/>
  <c r="Z629" i="7"/>
  <c r="Z628" i="7"/>
  <c r="Z627" i="7"/>
  <c r="Z626" i="7"/>
  <c r="Z625" i="7"/>
  <c r="Z624" i="7"/>
  <c r="Z622" i="7"/>
  <c r="Z303" i="7"/>
  <c r="Z302" i="7"/>
  <c r="Z301" i="7"/>
  <c r="Z300" i="7"/>
  <c r="Z299" i="7"/>
  <c r="Z298" i="7"/>
  <c r="Z297" i="7"/>
  <c r="Z296" i="7"/>
  <c r="Z295" i="7"/>
  <c r="Z294" i="7"/>
  <c r="Z599" i="7"/>
  <c r="Z598" i="7"/>
  <c r="Z597" i="7"/>
  <c r="Z596" i="7"/>
  <c r="Z595" i="7"/>
  <c r="Z594" i="7"/>
  <c r="Z593" i="7"/>
  <c r="Z592" i="7"/>
  <c r="Z590" i="7"/>
  <c r="Z278" i="7"/>
  <c r="Z277" i="7"/>
  <c r="Z276" i="7"/>
  <c r="Z275" i="7"/>
  <c r="Z274" i="7"/>
  <c r="Z273" i="7"/>
  <c r="Z272" i="7"/>
  <c r="Z271" i="7"/>
  <c r="Z270" i="7"/>
  <c r="Z488" i="7"/>
  <c r="Z482" i="7"/>
  <c r="Z397" i="7"/>
  <c r="Z384" i="7"/>
  <c r="Z383" i="7"/>
  <c r="Z382" i="7"/>
  <c r="Z381" i="7"/>
  <c r="Z380" i="7"/>
  <c r="Z379" i="7"/>
  <c r="Z251" i="7"/>
  <c r="Z250" i="7"/>
  <c r="Z249" i="7"/>
  <c r="Z248" i="7"/>
  <c r="Z247" i="7"/>
  <c r="Z246" i="7"/>
  <c r="Z264" i="7"/>
  <c r="Z28" i="7"/>
  <c r="Y265" i="7"/>
  <c r="Y410" i="7"/>
  <c r="Y404" i="7"/>
  <c r="Y403" i="7"/>
  <c r="Y407" i="7"/>
  <c r="Y411" i="7"/>
  <c r="Y431" i="7"/>
  <c r="Y435" i="7"/>
  <c r="Y455" i="7"/>
  <c r="Y459" i="7"/>
  <c r="Y463" i="7"/>
  <c r="Y428" i="7"/>
  <c r="Y432" i="7"/>
  <c r="Y436" i="7"/>
  <c r="Y456" i="7"/>
  <c r="Y460" i="7"/>
  <c r="Y398" i="7"/>
  <c r="Y69" i="7"/>
  <c r="Y588" i="7"/>
  <c r="Y573" i="7" s="1"/>
  <c r="Y76" i="7" s="1"/>
  <c r="Y620" i="7"/>
  <c r="Y605" i="7" s="1"/>
  <c r="Y77" i="7" s="1"/>
  <c r="X79" i="7"/>
  <c r="Y406" i="7"/>
  <c r="Y408" i="7"/>
  <c r="Y405" i="7"/>
  <c r="Y409" i="7"/>
  <c r="Y429" i="7"/>
  <c r="Y433" i="7"/>
  <c r="Y437" i="7"/>
  <c r="Y457" i="7"/>
  <c r="Y461" i="7"/>
  <c r="Y430" i="7"/>
  <c r="Y434" i="7"/>
  <c r="Y454" i="7"/>
  <c r="Y458" i="7"/>
  <c r="Y462" i="7"/>
  <c r="Z559" i="7"/>
  <c r="AF548" i="7" l="1"/>
  <c r="AF553" i="7"/>
  <c r="AG544" i="7"/>
  <c r="AE535" i="7"/>
  <c r="AE537" i="7" s="1"/>
  <c r="AF555" i="7"/>
  <c r="AF552" i="7" s="1"/>
  <c r="AF536" i="7"/>
  <c r="AF38" i="7"/>
  <c r="AF37" i="7"/>
  <c r="AF36" i="7"/>
  <c r="AF487" i="7"/>
  <c r="AF481" i="7"/>
  <c r="Y402" i="7"/>
  <c r="AF22" i="7"/>
  <c r="AF39" i="7" s="1"/>
  <c r="AF123" i="7"/>
  <c r="AF651" i="7"/>
  <c r="AF649" i="7"/>
  <c r="AF647" i="7"/>
  <c r="AF645" i="7"/>
  <c r="AF643" i="7"/>
  <c r="AF650" i="7"/>
  <c r="AF646" i="7"/>
  <c r="AF642" i="7"/>
  <c r="AF617" i="7"/>
  <c r="AF615" i="7"/>
  <c r="AF613" i="7"/>
  <c r="AF611" i="7"/>
  <c r="AF587" i="7"/>
  <c r="AF648" i="7"/>
  <c r="AF644" i="7"/>
  <c r="AF619" i="7"/>
  <c r="AF618" i="7"/>
  <c r="AF616" i="7"/>
  <c r="AF614" i="7"/>
  <c r="AF584" i="7"/>
  <c r="AF583" i="7"/>
  <c r="AF582" i="7"/>
  <c r="AF581" i="7"/>
  <c r="AF580" i="7"/>
  <c r="AF579" i="7"/>
  <c r="AF578" i="7"/>
  <c r="AF585" i="7"/>
  <c r="AF612" i="7"/>
  <c r="AF586" i="7"/>
  <c r="AF610" i="7"/>
  <c r="AF519" i="7"/>
  <c r="AF33" i="7"/>
  <c r="AF29" i="7"/>
  <c r="AF527" i="7"/>
  <c r="AF523" i="7"/>
  <c r="AF515" i="7"/>
  <c r="AF19" i="7"/>
  <c r="AF40" i="7"/>
  <c r="AF26" i="7"/>
  <c r="AG2" i="7"/>
  <c r="X89" i="7"/>
  <c r="X90" i="7" s="1"/>
  <c r="Z543" i="7"/>
  <c r="Z545" i="7" s="1"/>
  <c r="Z269" i="7"/>
  <c r="AA562" i="7"/>
  <c r="AA541" i="7"/>
  <c r="AA542" i="7"/>
  <c r="Z174" i="7"/>
  <c r="Z138" i="7"/>
  <c r="Z55" i="7"/>
  <c r="AA561" i="7"/>
  <c r="AA560" i="7"/>
  <c r="AA663" i="7"/>
  <c r="AA661" i="7"/>
  <c r="AA660" i="7"/>
  <c r="AA659" i="7"/>
  <c r="AA657" i="7"/>
  <c r="AA656" i="7"/>
  <c r="AA329" i="7"/>
  <c r="AA328" i="7"/>
  <c r="AA327" i="7"/>
  <c r="AA326" i="7"/>
  <c r="AA325" i="7"/>
  <c r="AA324" i="7"/>
  <c r="AA323" i="7"/>
  <c r="AA322" i="7"/>
  <c r="AA654" i="7"/>
  <c r="AA320" i="7"/>
  <c r="AA303" i="7"/>
  <c r="AA302" i="7"/>
  <c r="AA301" i="7"/>
  <c r="AA300" i="7"/>
  <c r="AA299" i="7"/>
  <c r="AA298" i="7"/>
  <c r="AA297" i="7"/>
  <c r="AA321" i="7"/>
  <c r="AA631" i="7"/>
  <c r="AA630" i="7"/>
  <c r="AA629" i="7"/>
  <c r="AA628" i="7"/>
  <c r="AA627" i="7"/>
  <c r="AA626" i="7"/>
  <c r="AA625" i="7"/>
  <c r="AA624" i="7"/>
  <c r="AA622" i="7"/>
  <c r="AA278" i="7"/>
  <c r="AA277" i="7"/>
  <c r="AA276" i="7"/>
  <c r="AA275" i="7"/>
  <c r="AA274" i="7"/>
  <c r="AA273" i="7"/>
  <c r="AA296" i="7"/>
  <c r="AA295" i="7"/>
  <c r="AA294" i="7"/>
  <c r="AA599" i="7"/>
  <c r="AA598" i="7"/>
  <c r="AA597" i="7"/>
  <c r="AA596" i="7"/>
  <c r="AA595" i="7"/>
  <c r="AA594" i="7"/>
  <c r="AA593" i="7"/>
  <c r="AA591" i="7"/>
  <c r="AA590" i="7"/>
  <c r="AA271" i="7"/>
  <c r="AA272" i="7"/>
  <c r="AA270" i="7"/>
  <c r="AA488" i="7"/>
  <c r="AA482" i="7"/>
  <c r="AA384" i="7"/>
  <c r="AA383" i="7"/>
  <c r="AA382" i="7"/>
  <c r="AA381" i="7"/>
  <c r="AA380" i="7"/>
  <c r="AA379" i="7"/>
  <c r="AA397" i="7"/>
  <c r="AA264" i="7"/>
  <c r="AA251" i="7"/>
  <c r="AA250" i="7"/>
  <c r="AA249" i="7"/>
  <c r="AA248" i="7"/>
  <c r="AA247" i="7"/>
  <c r="AA246" i="7"/>
  <c r="AA28" i="7"/>
  <c r="Z409" i="7"/>
  <c r="Z407" i="7"/>
  <c r="Z406" i="7"/>
  <c r="Z410" i="7"/>
  <c r="Z430" i="7"/>
  <c r="Z434" i="7"/>
  <c r="Z454" i="7"/>
  <c r="Z458" i="7"/>
  <c r="Z462" i="7"/>
  <c r="Z431" i="7"/>
  <c r="Z435" i="7"/>
  <c r="Z455" i="7"/>
  <c r="Z459" i="7"/>
  <c r="Z463" i="7"/>
  <c r="AA559" i="7"/>
  <c r="Z30" i="7"/>
  <c r="Z69" i="7"/>
  <c r="Z588" i="7"/>
  <c r="Z573" i="7" s="1"/>
  <c r="Z76" i="7" s="1"/>
  <c r="Z620" i="7"/>
  <c r="Z605" i="7" s="1"/>
  <c r="Z77" i="7" s="1"/>
  <c r="Z652" i="7"/>
  <c r="Z637" i="7" s="1"/>
  <c r="Z78" i="7" s="1"/>
  <c r="Z405" i="7"/>
  <c r="Z265" i="7"/>
  <c r="Z403" i="7"/>
  <c r="Z411" i="7"/>
  <c r="Z404" i="7"/>
  <c r="Z408" i="7"/>
  <c r="Z428" i="7"/>
  <c r="Z432" i="7"/>
  <c r="Z436" i="7"/>
  <c r="Z456" i="7"/>
  <c r="Z460" i="7"/>
  <c r="Z398" i="7"/>
  <c r="Z429" i="7"/>
  <c r="Z433" i="7"/>
  <c r="Z437" i="7"/>
  <c r="Z457" i="7"/>
  <c r="Z461" i="7"/>
  <c r="Y79" i="7"/>
  <c r="AG548" i="7" l="1"/>
  <c r="AG553" i="7"/>
  <c r="AH544" i="7"/>
  <c r="AF535" i="7"/>
  <c r="AF537" i="7" s="1"/>
  <c r="AG555" i="7"/>
  <c r="AG552" i="7" s="1"/>
  <c r="AG536" i="7"/>
  <c r="Z89" i="7"/>
  <c r="Z90" i="7" s="1"/>
  <c r="AG38" i="7"/>
  <c r="AG37" i="7"/>
  <c r="AG36" i="7"/>
  <c r="AG487" i="7"/>
  <c r="AG481" i="7"/>
  <c r="Z402" i="7"/>
  <c r="AG22" i="7"/>
  <c r="AG39" i="7" s="1"/>
  <c r="AG20" i="7"/>
  <c r="AG123" i="7"/>
  <c r="Y89" i="7"/>
  <c r="Y90" i="7" s="1"/>
  <c r="AG642" i="7"/>
  <c r="AG619" i="7"/>
  <c r="AG651" i="7"/>
  <c r="AG649" i="7"/>
  <c r="AG647" i="7"/>
  <c r="AG645" i="7"/>
  <c r="AG648" i="7"/>
  <c r="AG644" i="7"/>
  <c r="AG618" i="7"/>
  <c r="AG616" i="7"/>
  <c r="AG614" i="7"/>
  <c r="AG650" i="7"/>
  <c r="AG646" i="7"/>
  <c r="AG643" i="7"/>
  <c r="AG617" i="7"/>
  <c r="AG615" i="7"/>
  <c r="AG613" i="7"/>
  <c r="AG611" i="7"/>
  <c r="AG587" i="7"/>
  <c r="AG585" i="7"/>
  <c r="AG612" i="7"/>
  <c r="AG583" i="7"/>
  <c r="AG581" i="7"/>
  <c r="AG579" i="7"/>
  <c r="AG586" i="7"/>
  <c r="AG610" i="7"/>
  <c r="AG584" i="7"/>
  <c r="AG582" i="7"/>
  <c r="AG580" i="7"/>
  <c r="AG578" i="7"/>
  <c r="AG519" i="7"/>
  <c r="AG33" i="7"/>
  <c r="AG29" i="7"/>
  <c r="AG527" i="7"/>
  <c r="AG523" i="7"/>
  <c r="AG515" i="7"/>
  <c r="AG668" i="7"/>
  <c r="AG40" i="7"/>
  <c r="AG26" i="7"/>
  <c r="AG19" i="7"/>
  <c r="AH2" i="7"/>
  <c r="AA269" i="7"/>
  <c r="AA543" i="7"/>
  <c r="AA545" i="7" s="1"/>
  <c r="AB567" i="7"/>
  <c r="AB542" i="7"/>
  <c r="AB562" i="7"/>
  <c r="AB541" i="7"/>
  <c r="AA174" i="7"/>
  <c r="AA138" i="7"/>
  <c r="AA55" i="7"/>
  <c r="AB561" i="7"/>
  <c r="AB560" i="7"/>
  <c r="AA620" i="7"/>
  <c r="AA605" i="7" s="1"/>
  <c r="AA77" i="7" s="1"/>
  <c r="AA588" i="7"/>
  <c r="AA573" i="7" s="1"/>
  <c r="AA76" i="7" s="1"/>
  <c r="AA69" i="7"/>
  <c r="AB663" i="7"/>
  <c r="AB661" i="7"/>
  <c r="AB660" i="7"/>
  <c r="AB658" i="7"/>
  <c r="AB657" i="7"/>
  <c r="AB656" i="7"/>
  <c r="AB654" i="7"/>
  <c r="AB329" i="7"/>
  <c r="AB328" i="7"/>
  <c r="AB327" i="7"/>
  <c r="AB326" i="7"/>
  <c r="AB325" i="7"/>
  <c r="AB324" i="7"/>
  <c r="AB323" i="7"/>
  <c r="AB322" i="7"/>
  <c r="AB321" i="7"/>
  <c r="AB320" i="7"/>
  <c r="AB631" i="7"/>
  <c r="AB630" i="7"/>
  <c r="AB629" i="7"/>
  <c r="AB628" i="7"/>
  <c r="AB627" i="7"/>
  <c r="AB626" i="7"/>
  <c r="AB625" i="7"/>
  <c r="AB624" i="7"/>
  <c r="AB622" i="7"/>
  <c r="AB303" i="7"/>
  <c r="AB302" i="7"/>
  <c r="AB301" i="7"/>
  <c r="AB300" i="7"/>
  <c r="AB299" i="7"/>
  <c r="AB298" i="7"/>
  <c r="AB297" i="7"/>
  <c r="AB296" i="7"/>
  <c r="AB295" i="7"/>
  <c r="AB294" i="7"/>
  <c r="AB599" i="7"/>
  <c r="AB598" i="7"/>
  <c r="AB597" i="7"/>
  <c r="AB596" i="7"/>
  <c r="AB595" i="7"/>
  <c r="AB594" i="7"/>
  <c r="AB593" i="7"/>
  <c r="AB591" i="7"/>
  <c r="AB590" i="7"/>
  <c r="AB278" i="7"/>
  <c r="AB277" i="7"/>
  <c r="AB276" i="7"/>
  <c r="AB275" i="7"/>
  <c r="AB274" i="7"/>
  <c r="AB273" i="7"/>
  <c r="AB272" i="7"/>
  <c r="AB271" i="7"/>
  <c r="AB270" i="7"/>
  <c r="AB269" i="7"/>
  <c r="AB488" i="7"/>
  <c r="AB482" i="7"/>
  <c r="AB397" i="7"/>
  <c r="AB384" i="7"/>
  <c r="AB383" i="7"/>
  <c r="AB382" i="7"/>
  <c r="AB381" i="7"/>
  <c r="AB380" i="7"/>
  <c r="AB379" i="7"/>
  <c r="AB264" i="7"/>
  <c r="AB251" i="7"/>
  <c r="AB250" i="7"/>
  <c r="AB249" i="7"/>
  <c r="AB248" i="7"/>
  <c r="AB247" i="7"/>
  <c r="AB246" i="7"/>
  <c r="AB28" i="7"/>
  <c r="AA408" i="7"/>
  <c r="AA410" i="7"/>
  <c r="AA405" i="7"/>
  <c r="AA409" i="7"/>
  <c r="AA429" i="7"/>
  <c r="AA433" i="7"/>
  <c r="AA437" i="7"/>
  <c r="AA457" i="7"/>
  <c r="AA461" i="7"/>
  <c r="AA430" i="7"/>
  <c r="AA434" i="7"/>
  <c r="AA454" i="7"/>
  <c r="AA458" i="7"/>
  <c r="AA462" i="7"/>
  <c r="AB559" i="7"/>
  <c r="Z79" i="7"/>
  <c r="AA30" i="7"/>
  <c r="AA652" i="7"/>
  <c r="AA637" i="7" s="1"/>
  <c r="AA78" i="7" s="1"/>
  <c r="AA265" i="7"/>
  <c r="AA404" i="7"/>
  <c r="AA406" i="7"/>
  <c r="AA403" i="7"/>
  <c r="AA407" i="7"/>
  <c r="AA411" i="7"/>
  <c r="AA431" i="7"/>
  <c r="AA435" i="7"/>
  <c r="AA455" i="7"/>
  <c r="AA459" i="7"/>
  <c r="AA463" i="7"/>
  <c r="AA428" i="7"/>
  <c r="AA432" i="7"/>
  <c r="AA436" i="7"/>
  <c r="AA456" i="7"/>
  <c r="AA460" i="7"/>
  <c r="AA398" i="7"/>
  <c r="AH548" i="7" l="1"/>
  <c r="AH553" i="7"/>
  <c r="AI544" i="7"/>
  <c r="AG535" i="7"/>
  <c r="AG537" i="7" s="1"/>
  <c r="AH555" i="7"/>
  <c r="AH552" i="7" s="1"/>
  <c r="AH536" i="7"/>
  <c r="AH38" i="7"/>
  <c r="AH37" i="7"/>
  <c r="AH36" i="7"/>
  <c r="AH487" i="7"/>
  <c r="AH481" i="7"/>
  <c r="AA402" i="7"/>
  <c r="AH22" i="7"/>
  <c r="AH39" i="7" s="1"/>
  <c r="AH20" i="7"/>
  <c r="AH123" i="7"/>
  <c r="AH650" i="7"/>
  <c r="AH648" i="7"/>
  <c r="AH646" i="7"/>
  <c r="AH644" i="7"/>
  <c r="AH651" i="7"/>
  <c r="AH647" i="7"/>
  <c r="AH619" i="7"/>
  <c r="AH618" i="7"/>
  <c r="AH617" i="7"/>
  <c r="AH616" i="7"/>
  <c r="AH615" i="7"/>
  <c r="AH614" i="7"/>
  <c r="AH613" i="7"/>
  <c r="AH612" i="7"/>
  <c r="AH611" i="7"/>
  <c r="AH610" i="7"/>
  <c r="AH587" i="7"/>
  <c r="AH586" i="7"/>
  <c r="AH585" i="7"/>
  <c r="AH649" i="7"/>
  <c r="AH645" i="7"/>
  <c r="AH643" i="7"/>
  <c r="AH642" i="7"/>
  <c r="AH584" i="7"/>
  <c r="AH582" i="7"/>
  <c r="AH580" i="7"/>
  <c r="AH578" i="7"/>
  <c r="AH583" i="7"/>
  <c r="AH581" i="7"/>
  <c r="AH579" i="7"/>
  <c r="AH519" i="7"/>
  <c r="AH33" i="7"/>
  <c r="AH29" i="7"/>
  <c r="AH527" i="7"/>
  <c r="AH523" i="7"/>
  <c r="AH515" i="7"/>
  <c r="AH668" i="7"/>
  <c r="AH40" i="7"/>
  <c r="AH26" i="7"/>
  <c r="AH19" i="7"/>
  <c r="AI2" i="7"/>
  <c r="AB543" i="7"/>
  <c r="AB545" i="7" s="1"/>
  <c r="AC567" i="7"/>
  <c r="AC562" i="7"/>
  <c r="AC541" i="7"/>
  <c r="AC542" i="7"/>
  <c r="AB174" i="7"/>
  <c r="AB138" i="7"/>
  <c r="AB55" i="7"/>
  <c r="AA79" i="7"/>
  <c r="AC561" i="7"/>
  <c r="AC560" i="7"/>
  <c r="AB588" i="7"/>
  <c r="AB573" i="7" s="1"/>
  <c r="AB76" i="7" s="1"/>
  <c r="AB652" i="7"/>
  <c r="AB637" i="7" s="1"/>
  <c r="AB78" i="7" s="1"/>
  <c r="AB30" i="7"/>
  <c r="AB620" i="7"/>
  <c r="AB605" i="7" s="1"/>
  <c r="AB77" i="7" s="1"/>
  <c r="AB69" i="7"/>
  <c r="AC663" i="7"/>
  <c r="AC661" i="7"/>
  <c r="AC660" i="7"/>
  <c r="AC658" i="7"/>
  <c r="AC657" i="7"/>
  <c r="AC656" i="7"/>
  <c r="AC329" i="7"/>
  <c r="AC328" i="7"/>
  <c r="AC327" i="7"/>
  <c r="AC326" i="7"/>
  <c r="AC325" i="7"/>
  <c r="AC324" i="7"/>
  <c r="AC323" i="7"/>
  <c r="AC322" i="7"/>
  <c r="AC654" i="7"/>
  <c r="AC321" i="7"/>
  <c r="AC303" i="7"/>
  <c r="AC302" i="7"/>
  <c r="AC301" i="7"/>
  <c r="AC300" i="7"/>
  <c r="AC299" i="7"/>
  <c r="AC298" i="7"/>
  <c r="AC297" i="7"/>
  <c r="AC320" i="7"/>
  <c r="AC631" i="7"/>
  <c r="AC630" i="7"/>
  <c r="AC629" i="7"/>
  <c r="AC628" i="7"/>
  <c r="AC627" i="7"/>
  <c r="AC626" i="7"/>
  <c r="AC625" i="7"/>
  <c r="AC624" i="7"/>
  <c r="AC622" i="7"/>
  <c r="AC296" i="7"/>
  <c r="AC278" i="7"/>
  <c r="AC277" i="7"/>
  <c r="AC276" i="7"/>
  <c r="AC275" i="7"/>
  <c r="AC274" i="7"/>
  <c r="AC273" i="7"/>
  <c r="AC295" i="7"/>
  <c r="AC294" i="7"/>
  <c r="AC599" i="7"/>
  <c r="AC598" i="7"/>
  <c r="AC597" i="7"/>
  <c r="AC596" i="7"/>
  <c r="AC595" i="7"/>
  <c r="AC594" i="7"/>
  <c r="AC593" i="7"/>
  <c r="AC591" i="7"/>
  <c r="AC590" i="7"/>
  <c r="AC272" i="7"/>
  <c r="AC271" i="7"/>
  <c r="AC270" i="7"/>
  <c r="AC269" i="7"/>
  <c r="AC488" i="7"/>
  <c r="AC482" i="7"/>
  <c r="AC384" i="7"/>
  <c r="AC383" i="7"/>
  <c r="AC382" i="7"/>
  <c r="AC381" i="7"/>
  <c r="AC380" i="7"/>
  <c r="AC379" i="7"/>
  <c r="AC397" i="7"/>
  <c r="AC264" i="7"/>
  <c r="AC251" i="7"/>
  <c r="AC250" i="7"/>
  <c r="AC249" i="7"/>
  <c r="AC248" i="7"/>
  <c r="AC247" i="7"/>
  <c r="AC246" i="7"/>
  <c r="AC28" i="7"/>
  <c r="AB407" i="7"/>
  <c r="AB265" i="7"/>
  <c r="AB405" i="7"/>
  <c r="AB404" i="7"/>
  <c r="AB408" i="7"/>
  <c r="AB428" i="7"/>
  <c r="AB432" i="7"/>
  <c r="AB436" i="7"/>
  <c r="AB456" i="7"/>
  <c r="AB460" i="7"/>
  <c r="AB398" i="7"/>
  <c r="AB429" i="7"/>
  <c r="AB433" i="7"/>
  <c r="AB437" i="7"/>
  <c r="AB457" i="7"/>
  <c r="AB461" i="7"/>
  <c r="AB403" i="7"/>
  <c r="AB411" i="7"/>
  <c r="AB409" i="7"/>
  <c r="AB402" i="7"/>
  <c r="AB406" i="7"/>
  <c r="AB410" i="7"/>
  <c r="AB430" i="7"/>
  <c r="AB434" i="7"/>
  <c r="AB454" i="7"/>
  <c r="AB458" i="7"/>
  <c r="AB462" i="7"/>
  <c r="AB431" i="7"/>
  <c r="AB435" i="7"/>
  <c r="AB455" i="7"/>
  <c r="AB459" i="7"/>
  <c r="AB463" i="7"/>
  <c r="AC559" i="7"/>
  <c r="AI548" i="7" l="1"/>
  <c r="AI553" i="7"/>
  <c r="AJ544" i="7"/>
  <c r="AH535" i="7"/>
  <c r="AH537" i="7" s="1"/>
  <c r="AI555" i="7"/>
  <c r="AI552" i="7" s="1"/>
  <c r="AI536" i="7"/>
  <c r="AB89" i="7"/>
  <c r="AB90" i="7" s="1"/>
  <c r="AI38" i="7"/>
  <c r="AI36" i="7"/>
  <c r="AI37" i="7"/>
  <c r="AI487" i="7"/>
  <c r="AI481" i="7"/>
  <c r="AI22" i="7"/>
  <c r="AI39" i="7" s="1"/>
  <c r="AI20" i="7"/>
  <c r="AI123" i="7"/>
  <c r="AA89" i="7"/>
  <c r="AA90" i="7" s="1"/>
  <c r="AI651" i="7"/>
  <c r="AI650" i="7"/>
  <c r="AI649" i="7"/>
  <c r="AI648" i="7"/>
  <c r="AI647" i="7"/>
  <c r="AI646" i="7"/>
  <c r="AI645" i="7"/>
  <c r="AI644" i="7"/>
  <c r="AI643" i="7"/>
  <c r="AI618" i="7"/>
  <c r="AI614" i="7"/>
  <c r="AI619" i="7"/>
  <c r="AI642" i="7"/>
  <c r="AI617" i="7"/>
  <c r="AI615" i="7"/>
  <c r="AI613" i="7"/>
  <c r="AI616" i="7"/>
  <c r="AI612" i="7"/>
  <c r="AI610" i="7"/>
  <c r="AI586" i="7"/>
  <c r="AI584" i="7"/>
  <c r="AI582" i="7"/>
  <c r="AI580" i="7"/>
  <c r="AI578" i="7"/>
  <c r="AI587" i="7"/>
  <c r="AI583" i="7"/>
  <c r="AI581" i="7"/>
  <c r="AI579" i="7"/>
  <c r="AI611" i="7"/>
  <c r="AI585" i="7"/>
  <c r="AI527" i="7"/>
  <c r="AI523" i="7"/>
  <c r="AI515" i="7"/>
  <c r="AI668" i="7"/>
  <c r="AI519" i="7"/>
  <c r="AI33" i="7"/>
  <c r="AI29" i="7"/>
  <c r="AI26" i="7"/>
  <c r="AI19" i="7"/>
  <c r="AI40" i="7"/>
  <c r="AJ2" i="7"/>
  <c r="AC543" i="7"/>
  <c r="AC545" i="7" s="1"/>
  <c r="AD567" i="7"/>
  <c r="AD542" i="7"/>
  <c r="AD562" i="7"/>
  <c r="AD541" i="7"/>
  <c r="AC174" i="7"/>
  <c r="AC138" i="7"/>
  <c r="AC55" i="7"/>
  <c r="AD561" i="7"/>
  <c r="AD560" i="7"/>
  <c r="AB79" i="7"/>
  <c r="AC652" i="7"/>
  <c r="AC637" i="7" s="1"/>
  <c r="AC78" i="7" s="1"/>
  <c r="AC30" i="7"/>
  <c r="AD662" i="7"/>
  <c r="AD661" i="7"/>
  <c r="AD660" i="7"/>
  <c r="AD658" i="7"/>
  <c r="AD657" i="7"/>
  <c r="AD656" i="7"/>
  <c r="AD654" i="7"/>
  <c r="AD329" i="7"/>
  <c r="AD328" i="7"/>
  <c r="AD327" i="7"/>
  <c r="AD326" i="7"/>
  <c r="AD325" i="7"/>
  <c r="AD324" i="7"/>
  <c r="AD323" i="7"/>
  <c r="AD322" i="7"/>
  <c r="AD321" i="7"/>
  <c r="AD320" i="7"/>
  <c r="AD631" i="7"/>
  <c r="AD630" i="7"/>
  <c r="AD629" i="7"/>
  <c r="AD628" i="7"/>
  <c r="AD627" i="7"/>
  <c r="AD626" i="7"/>
  <c r="AD625" i="7"/>
  <c r="AD624" i="7"/>
  <c r="AD622" i="7"/>
  <c r="AD303" i="7"/>
  <c r="AD302" i="7"/>
  <c r="AD301" i="7"/>
  <c r="AD300" i="7"/>
  <c r="AD299" i="7"/>
  <c r="AD298" i="7"/>
  <c r="AD297" i="7"/>
  <c r="AD296" i="7"/>
  <c r="AD295" i="7"/>
  <c r="AD294" i="7"/>
  <c r="AD599" i="7"/>
  <c r="AD598" i="7"/>
  <c r="AD597" i="7"/>
  <c r="AD596" i="7"/>
  <c r="AD595" i="7"/>
  <c r="AD594" i="7"/>
  <c r="AD593" i="7"/>
  <c r="AD591" i="7"/>
  <c r="AD590" i="7"/>
  <c r="AD278" i="7"/>
  <c r="AD277" i="7"/>
  <c r="AD276" i="7"/>
  <c r="AD275" i="7"/>
  <c r="AD274" i="7"/>
  <c r="AD273" i="7"/>
  <c r="AD272" i="7"/>
  <c r="AD271" i="7"/>
  <c r="AD270" i="7"/>
  <c r="AD269" i="7"/>
  <c r="AD488" i="7"/>
  <c r="AD482" i="7"/>
  <c r="AD397" i="7"/>
  <c r="AD384" i="7"/>
  <c r="AD383" i="7"/>
  <c r="AD382" i="7"/>
  <c r="AD381" i="7"/>
  <c r="AD380" i="7"/>
  <c r="AD379" i="7"/>
  <c r="AD264" i="7"/>
  <c r="AD251" i="7"/>
  <c r="AD250" i="7"/>
  <c r="AD249" i="7"/>
  <c r="AD248" i="7"/>
  <c r="AD247" i="7"/>
  <c r="AD246" i="7"/>
  <c r="AD28" i="7"/>
  <c r="AC265" i="7"/>
  <c r="AC406" i="7"/>
  <c r="AC404" i="7"/>
  <c r="AC403" i="7"/>
  <c r="AC407" i="7"/>
  <c r="AC411" i="7"/>
  <c r="AC431" i="7"/>
  <c r="AC435" i="7"/>
  <c r="AC455" i="7"/>
  <c r="AC459" i="7"/>
  <c r="AC463" i="7"/>
  <c r="AC428" i="7"/>
  <c r="AC432" i="7"/>
  <c r="AC436" i="7"/>
  <c r="AC456" i="7"/>
  <c r="AC460" i="7"/>
  <c r="AC398" i="7"/>
  <c r="AC69" i="7"/>
  <c r="AC588" i="7"/>
  <c r="AC573" i="7" s="1"/>
  <c r="AC76" i="7" s="1"/>
  <c r="AC620" i="7"/>
  <c r="AC605" i="7" s="1"/>
  <c r="AC77" i="7" s="1"/>
  <c r="AC402" i="7"/>
  <c r="AC410" i="7"/>
  <c r="AC408" i="7"/>
  <c r="AC405" i="7"/>
  <c r="AC409" i="7"/>
  <c r="AC429" i="7"/>
  <c r="AC433" i="7"/>
  <c r="AC437" i="7"/>
  <c r="AC457" i="7"/>
  <c r="AC461" i="7"/>
  <c r="AC430" i="7"/>
  <c r="AC434" i="7"/>
  <c r="AC454" i="7"/>
  <c r="AC458" i="7"/>
  <c r="AC462" i="7"/>
  <c r="AD559" i="7"/>
  <c r="AJ548" i="7" l="1"/>
  <c r="AJ553" i="7"/>
  <c r="AK544" i="7"/>
  <c r="AI535" i="7"/>
  <c r="AI537" i="7" s="1"/>
  <c r="AJ555" i="7"/>
  <c r="AJ552" i="7" s="1"/>
  <c r="AJ536" i="7"/>
  <c r="AJ38" i="7"/>
  <c r="AJ37" i="7"/>
  <c r="AJ36" i="7"/>
  <c r="AJ487" i="7"/>
  <c r="AJ481" i="7"/>
  <c r="AJ22" i="7"/>
  <c r="AJ39" i="7" s="1"/>
  <c r="AJ20" i="7"/>
  <c r="AJ123" i="7"/>
  <c r="AJ650" i="7"/>
  <c r="AJ648" i="7"/>
  <c r="AJ646" i="7"/>
  <c r="AJ644" i="7"/>
  <c r="AJ642" i="7"/>
  <c r="AJ649" i="7"/>
  <c r="AJ619" i="7"/>
  <c r="AJ645" i="7"/>
  <c r="AJ643" i="7"/>
  <c r="AJ617" i="7"/>
  <c r="AJ615" i="7"/>
  <c r="AJ651" i="7"/>
  <c r="AJ647" i="7"/>
  <c r="AJ618" i="7"/>
  <c r="AJ616" i="7"/>
  <c r="AJ614" i="7"/>
  <c r="AJ612" i="7"/>
  <c r="AJ610" i="7"/>
  <c r="AJ586" i="7"/>
  <c r="AJ584" i="7"/>
  <c r="AJ583" i="7"/>
  <c r="AJ582" i="7"/>
  <c r="AJ581" i="7"/>
  <c r="AJ580" i="7"/>
  <c r="AJ579" i="7"/>
  <c r="AJ578" i="7"/>
  <c r="AJ587" i="7"/>
  <c r="AJ611" i="7"/>
  <c r="AJ585" i="7"/>
  <c r="AJ613" i="7"/>
  <c r="AJ519" i="7"/>
  <c r="AJ33" i="7"/>
  <c r="AJ29" i="7"/>
  <c r="AJ527" i="7"/>
  <c r="AJ523" i="7"/>
  <c r="AJ515" i="7"/>
  <c r="AJ668" i="7"/>
  <c r="AJ19" i="7"/>
  <c r="AJ40" i="7"/>
  <c r="AJ26" i="7"/>
  <c r="AK2" i="7"/>
  <c r="AD543" i="7"/>
  <c r="AD545" i="7" s="1"/>
  <c r="AE567" i="7"/>
  <c r="AE562" i="7"/>
  <c r="AE541" i="7"/>
  <c r="AE542" i="7"/>
  <c r="AD174" i="7"/>
  <c r="AD138" i="7"/>
  <c r="AD55" i="7"/>
  <c r="AE561" i="7"/>
  <c r="AE560" i="7"/>
  <c r="AE662" i="7"/>
  <c r="AE661" i="7"/>
  <c r="AE660" i="7"/>
  <c r="AE658" i="7"/>
  <c r="AE657" i="7"/>
  <c r="AE656" i="7"/>
  <c r="AE654" i="7"/>
  <c r="AE329" i="7"/>
  <c r="AE328" i="7"/>
  <c r="AE327" i="7"/>
  <c r="AE326" i="7"/>
  <c r="AE325" i="7"/>
  <c r="AE324" i="7"/>
  <c r="AE323" i="7"/>
  <c r="AE322" i="7"/>
  <c r="AE320" i="7"/>
  <c r="AE303" i="7"/>
  <c r="AE302" i="7"/>
  <c r="AE301" i="7"/>
  <c r="AE300" i="7"/>
  <c r="AE299" i="7"/>
  <c r="AE298" i="7"/>
  <c r="AE297" i="7"/>
  <c r="AE321" i="7"/>
  <c r="AE631" i="7"/>
  <c r="AE630" i="7"/>
  <c r="AE629" i="7"/>
  <c r="AE628" i="7"/>
  <c r="AE627" i="7"/>
  <c r="AE626" i="7"/>
  <c r="AE625" i="7"/>
  <c r="AE624" i="7"/>
  <c r="AE622" i="7"/>
  <c r="AE278" i="7"/>
  <c r="AE277" i="7"/>
  <c r="AE276" i="7"/>
  <c r="AE275" i="7"/>
  <c r="AE274" i="7"/>
  <c r="AE273" i="7"/>
  <c r="AE296" i="7"/>
  <c r="AE295" i="7"/>
  <c r="AE294" i="7"/>
  <c r="AE599" i="7"/>
  <c r="AE598" i="7"/>
  <c r="AE597" i="7"/>
  <c r="AE596" i="7"/>
  <c r="AE595" i="7"/>
  <c r="AE594" i="7"/>
  <c r="AE593" i="7"/>
  <c r="AE591" i="7"/>
  <c r="AE590" i="7"/>
  <c r="AE271" i="7"/>
  <c r="AE272" i="7"/>
  <c r="AE270" i="7"/>
  <c r="AE269" i="7"/>
  <c r="AE488" i="7"/>
  <c r="AE482" i="7"/>
  <c r="AE384" i="7"/>
  <c r="AE383" i="7"/>
  <c r="AE382" i="7"/>
  <c r="AE381" i="7"/>
  <c r="AE380" i="7"/>
  <c r="AE379" i="7"/>
  <c r="AE397" i="7"/>
  <c r="AE264" i="7"/>
  <c r="AE251" i="7"/>
  <c r="AE250" i="7"/>
  <c r="AE249" i="7"/>
  <c r="AE248" i="7"/>
  <c r="AE247" i="7"/>
  <c r="AE246" i="7"/>
  <c r="AE28" i="7"/>
  <c r="AD405" i="7"/>
  <c r="AD265" i="7"/>
  <c r="AD403" i="7"/>
  <c r="AD411" i="7"/>
  <c r="AD402" i="7"/>
  <c r="AD406" i="7"/>
  <c r="AD410" i="7"/>
  <c r="AD430" i="7"/>
  <c r="AD434" i="7"/>
  <c r="AD454" i="7"/>
  <c r="AD458" i="7"/>
  <c r="AD462" i="7"/>
  <c r="AD431" i="7"/>
  <c r="AD435" i="7"/>
  <c r="AD455" i="7"/>
  <c r="AD459" i="7"/>
  <c r="AD463" i="7"/>
  <c r="AE559" i="7"/>
  <c r="AD30" i="7"/>
  <c r="AD69" i="7"/>
  <c r="AD588" i="7"/>
  <c r="AD573" i="7" s="1"/>
  <c r="AD76" i="7" s="1"/>
  <c r="AD620" i="7"/>
  <c r="AD605" i="7" s="1"/>
  <c r="AD77" i="7" s="1"/>
  <c r="AD652" i="7"/>
  <c r="AD637" i="7" s="1"/>
  <c r="AD78" i="7" s="1"/>
  <c r="AD409" i="7"/>
  <c r="AD407" i="7"/>
  <c r="AD404" i="7"/>
  <c r="AD408" i="7"/>
  <c r="AD428" i="7"/>
  <c r="AD432" i="7"/>
  <c r="AD436" i="7"/>
  <c r="AD456" i="7"/>
  <c r="AD460" i="7"/>
  <c r="AD398" i="7"/>
  <c r="AD429" i="7"/>
  <c r="AD433" i="7"/>
  <c r="AD437" i="7"/>
  <c r="AD457" i="7"/>
  <c r="AD461" i="7"/>
  <c r="AC79" i="7"/>
  <c r="AK548" i="7" l="1"/>
  <c r="AK553" i="7"/>
  <c r="AL544" i="7"/>
  <c r="AJ535" i="7"/>
  <c r="AJ537" i="7" s="1"/>
  <c r="AK555" i="7"/>
  <c r="AK552" i="7" s="1"/>
  <c r="AK536" i="7"/>
  <c r="AK38" i="7"/>
  <c r="AK37" i="7"/>
  <c r="AK36" i="7"/>
  <c r="AK487" i="7"/>
  <c r="AK481" i="7"/>
  <c r="AK22" i="7"/>
  <c r="AK39" i="7" s="1"/>
  <c r="AK20" i="7"/>
  <c r="AK123" i="7"/>
  <c r="AC89" i="7"/>
  <c r="AC90" i="7" s="1"/>
  <c r="AK651" i="7"/>
  <c r="AK649" i="7"/>
  <c r="AK647" i="7"/>
  <c r="AK645" i="7"/>
  <c r="AK643" i="7"/>
  <c r="AK642" i="7"/>
  <c r="AK619" i="7"/>
  <c r="AK648" i="7"/>
  <c r="AK644" i="7"/>
  <c r="AK650" i="7"/>
  <c r="AK646" i="7"/>
  <c r="AK618" i="7"/>
  <c r="AK616" i="7"/>
  <c r="AK614" i="7"/>
  <c r="AK617" i="7"/>
  <c r="AK615" i="7"/>
  <c r="AK613" i="7"/>
  <c r="AK611" i="7"/>
  <c r="AK587" i="7"/>
  <c r="AK610" i="7"/>
  <c r="AK585" i="7"/>
  <c r="AK583" i="7"/>
  <c r="AK581" i="7"/>
  <c r="AK579" i="7"/>
  <c r="AK612" i="7"/>
  <c r="AK586" i="7"/>
  <c r="AK584" i="7"/>
  <c r="AK582" i="7"/>
  <c r="AK580" i="7"/>
  <c r="AK578" i="7"/>
  <c r="AK519" i="7"/>
  <c r="AK33" i="7"/>
  <c r="AK29" i="7"/>
  <c r="AK527" i="7"/>
  <c r="AK523" i="7"/>
  <c r="AK515" i="7"/>
  <c r="AK668" i="7"/>
  <c r="AK40" i="7"/>
  <c r="AK26" i="7"/>
  <c r="AK19" i="7"/>
  <c r="AL2" i="7"/>
  <c r="AE543" i="7"/>
  <c r="AE545" i="7" s="1"/>
  <c r="AF542" i="7"/>
  <c r="AF562" i="7"/>
  <c r="AF541" i="7"/>
  <c r="AE174" i="7"/>
  <c r="AE138" i="7"/>
  <c r="AE55" i="7"/>
  <c r="AF561" i="7"/>
  <c r="AF560" i="7"/>
  <c r="AE588" i="7"/>
  <c r="AE573" i="7" s="1"/>
  <c r="AE76" i="7" s="1"/>
  <c r="AE620" i="7"/>
  <c r="AE605" i="7" s="1"/>
  <c r="AE77" i="7" s="1"/>
  <c r="AE69" i="7"/>
  <c r="AE408" i="7"/>
  <c r="AE402" i="7"/>
  <c r="AE410" i="7"/>
  <c r="AE405" i="7"/>
  <c r="AE409" i="7"/>
  <c r="AE429" i="7"/>
  <c r="AE433" i="7"/>
  <c r="AE437" i="7"/>
  <c r="AE457" i="7"/>
  <c r="AE461" i="7"/>
  <c r="AE430" i="7"/>
  <c r="AE434" i="7"/>
  <c r="AE454" i="7"/>
  <c r="AE458" i="7"/>
  <c r="AE462" i="7"/>
  <c r="AF559" i="7"/>
  <c r="AE30" i="7"/>
  <c r="AE652" i="7"/>
  <c r="AE637" i="7" s="1"/>
  <c r="AE78" i="7" s="1"/>
  <c r="AF662" i="7"/>
  <c r="AF661" i="7"/>
  <c r="AF660" i="7"/>
  <c r="AF658" i="7"/>
  <c r="AF657" i="7"/>
  <c r="AF656" i="7"/>
  <c r="AF654" i="7"/>
  <c r="AF329" i="7"/>
  <c r="AF328" i="7"/>
  <c r="AF327" i="7"/>
  <c r="AF326" i="7"/>
  <c r="AF325" i="7"/>
  <c r="AF324" i="7"/>
  <c r="AF323" i="7"/>
  <c r="AF322" i="7"/>
  <c r="AF321" i="7"/>
  <c r="AF320" i="7"/>
  <c r="AF631" i="7"/>
  <c r="AF630" i="7"/>
  <c r="AF629" i="7"/>
  <c r="AF628" i="7"/>
  <c r="AF627" i="7"/>
  <c r="AF626" i="7"/>
  <c r="AF625" i="7"/>
  <c r="AF624" i="7"/>
  <c r="AF622" i="7"/>
  <c r="AF303" i="7"/>
  <c r="AF302" i="7"/>
  <c r="AF301" i="7"/>
  <c r="AF300" i="7"/>
  <c r="AF299" i="7"/>
  <c r="AF298" i="7"/>
  <c r="AF297" i="7"/>
  <c r="AF296" i="7"/>
  <c r="AF295" i="7"/>
  <c r="AF294" i="7"/>
  <c r="AF599" i="7"/>
  <c r="AF598" i="7"/>
  <c r="AF597" i="7"/>
  <c r="AF596" i="7"/>
  <c r="AF595" i="7"/>
  <c r="AF594" i="7"/>
  <c r="AF593" i="7"/>
  <c r="AF591" i="7"/>
  <c r="AF590" i="7"/>
  <c r="AF278" i="7"/>
  <c r="AF277" i="7"/>
  <c r="AF276" i="7"/>
  <c r="AF275" i="7"/>
  <c r="AF274" i="7"/>
  <c r="AF273" i="7"/>
  <c r="AF272" i="7"/>
  <c r="AF271" i="7"/>
  <c r="AF270" i="7"/>
  <c r="AF269" i="7"/>
  <c r="AF488" i="7"/>
  <c r="AF482" i="7"/>
  <c r="AF397" i="7"/>
  <c r="AF384" i="7"/>
  <c r="AF383" i="7"/>
  <c r="AF382" i="7"/>
  <c r="AF381" i="7"/>
  <c r="AF380" i="7"/>
  <c r="AF379" i="7"/>
  <c r="AF264" i="7"/>
  <c r="AF251" i="7"/>
  <c r="AF250" i="7"/>
  <c r="AF249" i="7"/>
  <c r="AF248" i="7"/>
  <c r="AF247" i="7"/>
  <c r="AF246" i="7"/>
  <c r="AF28" i="7"/>
  <c r="AE265" i="7"/>
  <c r="AE404" i="7"/>
  <c r="AE406" i="7"/>
  <c r="AE403" i="7"/>
  <c r="AE407" i="7"/>
  <c r="AE411" i="7"/>
  <c r="AE431" i="7"/>
  <c r="AE435" i="7"/>
  <c r="AE455" i="7"/>
  <c r="AE459" i="7"/>
  <c r="AE463" i="7"/>
  <c r="AE428" i="7"/>
  <c r="AE432" i="7"/>
  <c r="AE436" i="7"/>
  <c r="AE456" i="7"/>
  <c r="AE460" i="7"/>
  <c r="AE398" i="7"/>
  <c r="AD79" i="7"/>
  <c r="AL548" i="7" l="1"/>
  <c r="AL553" i="7"/>
  <c r="AM544" i="7"/>
  <c r="AK535" i="7"/>
  <c r="AK537" i="7" s="1"/>
  <c r="AL555" i="7"/>
  <c r="AL552" i="7" s="1"/>
  <c r="AL536" i="7"/>
  <c r="AE89" i="7"/>
  <c r="AE90" i="7" s="1"/>
  <c r="AL38" i="7"/>
  <c r="AL37" i="7"/>
  <c r="AL36" i="7"/>
  <c r="AL487" i="7"/>
  <c r="AL481" i="7"/>
  <c r="AL22" i="7"/>
  <c r="AL39" i="7" s="1"/>
  <c r="AL20" i="7"/>
  <c r="AL123" i="7"/>
  <c r="AD89" i="7"/>
  <c r="AD90" i="7" s="1"/>
  <c r="AL651" i="7"/>
  <c r="AL649" i="7"/>
  <c r="AL647" i="7"/>
  <c r="AL645" i="7"/>
  <c r="AL643" i="7"/>
  <c r="AL618" i="7"/>
  <c r="AL617" i="7"/>
  <c r="AL616" i="7"/>
  <c r="AL615" i="7"/>
  <c r="AL614" i="7"/>
  <c r="AL613" i="7"/>
  <c r="AL612" i="7"/>
  <c r="AL611" i="7"/>
  <c r="AL610" i="7"/>
  <c r="AL587" i="7"/>
  <c r="AL586" i="7"/>
  <c r="AL585" i="7"/>
  <c r="AL650" i="7"/>
  <c r="AL644" i="7"/>
  <c r="AL646" i="7"/>
  <c r="AL642" i="7"/>
  <c r="AL648" i="7"/>
  <c r="AL619" i="7"/>
  <c r="AL583" i="7"/>
  <c r="AL581" i="7"/>
  <c r="AL579" i="7"/>
  <c r="AL584" i="7"/>
  <c r="AL582" i="7"/>
  <c r="AL580" i="7"/>
  <c r="AL578" i="7"/>
  <c r="AL519" i="7"/>
  <c r="AL33" i="7"/>
  <c r="AL29" i="7"/>
  <c r="AL527" i="7"/>
  <c r="AL523" i="7"/>
  <c r="AL515" i="7"/>
  <c r="AL668" i="7"/>
  <c r="AL40" i="7"/>
  <c r="AL26" i="7"/>
  <c r="AL19" i="7"/>
  <c r="AM2" i="7"/>
  <c r="AF543" i="7"/>
  <c r="AF545" i="7" s="1"/>
  <c r="AG567" i="7"/>
  <c r="C384" i="7"/>
  <c r="C251" i="7"/>
  <c r="AG562" i="7"/>
  <c r="AG541" i="7"/>
  <c r="AG542" i="7"/>
  <c r="AF174" i="7"/>
  <c r="AF138" i="7"/>
  <c r="AF55" i="7"/>
  <c r="AG561" i="7"/>
  <c r="AG560" i="7"/>
  <c r="AE79" i="7"/>
  <c r="AF620" i="7"/>
  <c r="AF605" i="7" s="1"/>
  <c r="AF77" i="7" s="1"/>
  <c r="AF30" i="7"/>
  <c r="AF588" i="7"/>
  <c r="AF573" i="7" s="1"/>
  <c r="AF76" i="7" s="1"/>
  <c r="AF652" i="7"/>
  <c r="AF637" i="7" s="1"/>
  <c r="AF78" i="7" s="1"/>
  <c r="AF69" i="7"/>
  <c r="AG663" i="7"/>
  <c r="AG662" i="7"/>
  <c r="AG661" i="7"/>
  <c r="AG659" i="7"/>
  <c r="AG658" i="7"/>
  <c r="AG657" i="7"/>
  <c r="AG656" i="7"/>
  <c r="AG329" i="7"/>
  <c r="AG327" i="7"/>
  <c r="AG326" i="7"/>
  <c r="AG325" i="7"/>
  <c r="AG324" i="7"/>
  <c r="AG323" i="7"/>
  <c r="AG322" i="7"/>
  <c r="AG654" i="7"/>
  <c r="AG321" i="7"/>
  <c r="AG303" i="7"/>
  <c r="AG302" i="7"/>
  <c r="AG301" i="7"/>
  <c r="AG300" i="7"/>
  <c r="AG299" i="7"/>
  <c r="AG298" i="7"/>
  <c r="AG297" i="7"/>
  <c r="AG320" i="7"/>
  <c r="AG631" i="7"/>
  <c r="AG630" i="7"/>
  <c r="AG629" i="7"/>
  <c r="AG628" i="7"/>
  <c r="AG627" i="7"/>
  <c r="AG626" i="7"/>
  <c r="AG625" i="7"/>
  <c r="AG623" i="7"/>
  <c r="AG622" i="7"/>
  <c r="AG296" i="7"/>
  <c r="AG278" i="7"/>
  <c r="AG277" i="7"/>
  <c r="AG276" i="7"/>
  <c r="AG275" i="7"/>
  <c r="AG274" i="7"/>
  <c r="AG273" i="7"/>
  <c r="AG295" i="7"/>
  <c r="AG294" i="7"/>
  <c r="AG599" i="7"/>
  <c r="AG598" i="7"/>
  <c r="AG597" i="7"/>
  <c r="AG596" i="7"/>
  <c r="AG595" i="7"/>
  <c r="AG594" i="7"/>
  <c r="AG593" i="7"/>
  <c r="AG591" i="7"/>
  <c r="AG590" i="7"/>
  <c r="AG272" i="7"/>
  <c r="AG271" i="7"/>
  <c r="AG270" i="7"/>
  <c r="AG269" i="7"/>
  <c r="AG488" i="7"/>
  <c r="AG482" i="7"/>
  <c r="AG384" i="7"/>
  <c r="AG383" i="7"/>
  <c r="AG382" i="7"/>
  <c r="AG381" i="7"/>
  <c r="AG380" i="7"/>
  <c r="AG379" i="7"/>
  <c r="AG328" i="7"/>
  <c r="AG397" i="7"/>
  <c r="AG264" i="7"/>
  <c r="AG251" i="7"/>
  <c r="AG250" i="7"/>
  <c r="AG249" i="7"/>
  <c r="AG248" i="7"/>
  <c r="AG247" i="7"/>
  <c r="AG246" i="7"/>
  <c r="AG28" i="7"/>
  <c r="AF407" i="7"/>
  <c r="AF265" i="7"/>
  <c r="AF405" i="7"/>
  <c r="AF404" i="7"/>
  <c r="AF408" i="7"/>
  <c r="AF428" i="7"/>
  <c r="AF432" i="7"/>
  <c r="AF436" i="7"/>
  <c r="AF456" i="7"/>
  <c r="AF460" i="7"/>
  <c r="AF398" i="7"/>
  <c r="AF429" i="7"/>
  <c r="AF433" i="7"/>
  <c r="AF437" i="7"/>
  <c r="AF457" i="7"/>
  <c r="AF461" i="7"/>
  <c r="AF403" i="7"/>
  <c r="AF411" i="7"/>
  <c r="AF409" i="7"/>
  <c r="AF402" i="7"/>
  <c r="AF406" i="7"/>
  <c r="AF410" i="7"/>
  <c r="AF430" i="7"/>
  <c r="AF434" i="7"/>
  <c r="AF454" i="7"/>
  <c r="AF458" i="7"/>
  <c r="AF462" i="7"/>
  <c r="AF431" i="7"/>
  <c r="AF435" i="7"/>
  <c r="AF455" i="7"/>
  <c r="AF459" i="7"/>
  <c r="AF463" i="7"/>
  <c r="AG559" i="7"/>
  <c r="AM548" i="7" l="1"/>
  <c r="AM553" i="7"/>
  <c r="AN544" i="7"/>
  <c r="AL535" i="7"/>
  <c r="AL537" i="7" s="1"/>
  <c r="AM555" i="7"/>
  <c r="AM552" i="7" s="1"/>
  <c r="AM536" i="7"/>
  <c r="AF89" i="7"/>
  <c r="AF90" i="7" s="1"/>
  <c r="AM37" i="7"/>
  <c r="AM38" i="7"/>
  <c r="AM36" i="7"/>
  <c r="AM487" i="7"/>
  <c r="AM481" i="7"/>
  <c r="AM22" i="7"/>
  <c r="AM39" i="7" s="1"/>
  <c r="AM20" i="7"/>
  <c r="AM123" i="7"/>
  <c r="AM651" i="7"/>
  <c r="AM650" i="7"/>
  <c r="AM649" i="7"/>
  <c r="AM648" i="7"/>
  <c r="AM647" i="7"/>
  <c r="AM646" i="7"/>
  <c r="AM645" i="7"/>
  <c r="AM644" i="7"/>
  <c r="AM643" i="7"/>
  <c r="AM619" i="7"/>
  <c r="AM642" i="7"/>
  <c r="AM618" i="7"/>
  <c r="AM616" i="7"/>
  <c r="AM614" i="7"/>
  <c r="AM617" i="7"/>
  <c r="AM615" i="7"/>
  <c r="AM613" i="7"/>
  <c r="AM611" i="7"/>
  <c r="AM587" i="7"/>
  <c r="AM585" i="7"/>
  <c r="AM581" i="7"/>
  <c r="AM610" i="7"/>
  <c r="AM584" i="7"/>
  <c r="AM582" i="7"/>
  <c r="AM580" i="7"/>
  <c r="AM578" i="7"/>
  <c r="AM612" i="7"/>
  <c r="AM586" i="7"/>
  <c r="AM583" i="7"/>
  <c r="AM579" i="7"/>
  <c r="AM527" i="7"/>
  <c r="AM523" i="7"/>
  <c r="AM515" i="7"/>
  <c r="AM668" i="7"/>
  <c r="AM519" i="7"/>
  <c r="AM33" i="7"/>
  <c r="AM29" i="7"/>
  <c r="AM26" i="7"/>
  <c r="AM19" i="7"/>
  <c r="AM40" i="7"/>
  <c r="AN2" i="7"/>
  <c r="AG543" i="7"/>
  <c r="AG545" i="7" s="1"/>
  <c r="AH567" i="7"/>
  <c r="AH542" i="7"/>
  <c r="AH562" i="7"/>
  <c r="AH541" i="7"/>
  <c r="AG174" i="7"/>
  <c r="AG138" i="7"/>
  <c r="AG55" i="7"/>
  <c r="AH561" i="7"/>
  <c r="AH560" i="7"/>
  <c r="AG652" i="7"/>
  <c r="AG637" i="7" s="1"/>
  <c r="AG78" i="7" s="1"/>
  <c r="AF79" i="7"/>
  <c r="AH663" i="7"/>
  <c r="AH662" i="7"/>
  <c r="AH661" i="7"/>
  <c r="AH659" i="7"/>
  <c r="AH658" i="7"/>
  <c r="AH657" i="7"/>
  <c r="AH656" i="7"/>
  <c r="AH654" i="7"/>
  <c r="AH329" i="7"/>
  <c r="AH328" i="7"/>
  <c r="AH327" i="7"/>
  <c r="AH326" i="7"/>
  <c r="AH325" i="7"/>
  <c r="AH323" i="7"/>
  <c r="AH322" i="7"/>
  <c r="AH321" i="7"/>
  <c r="AH320" i="7"/>
  <c r="AH631" i="7"/>
  <c r="AH630" i="7"/>
  <c r="AH629" i="7"/>
  <c r="AH628" i="7"/>
  <c r="AH627" i="7"/>
  <c r="AH626" i="7"/>
  <c r="AH625" i="7"/>
  <c r="AH623" i="7"/>
  <c r="AH622" i="7"/>
  <c r="AH303" i="7"/>
  <c r="AH302" i="7"/>
  <c r="AH301" i="7"/>
  <c r="AH300" i="7"/>
  <c r="AH299" i="7"/>
  <c r="AH298" i="7"/>
  <c r="AH297" i="7"/>
  <c r="AH296" i="7"/>
  <c r="AH295" i="7"/>
  <c r="AH294" i="7"/>
  <c r="AH599" i="7"/>
  <c r="AH598" i="7"/>
  <c r="AH597" i="7"/>
  <c r="AH596" i="7"/>
  <c r="AH595" i="7"/>
  <c r="AH594" i="7"/>
  <c r="AH593" i="7"/>
  <c r="AH591" i="7"/>
  <c r="AH590" i="7"/>
  <c r="AH278" i="7"/>
  <c r="AH277" i="7"/>
  <c r="AH276" i="7"/>
  <c r="AH275" i="7"/>
  <c r="AH274" i="7"/>
  <c r="AH273" i="7"/>
  <c r="AH272" i="7"/>
  <c r="AH271" i="7"/>
  <c r="AH270" i="7"/>
  <c r="AH269" i="7"/>
  <c r="AH488" i="7"/>
  <c r="AH482" i="7"/>
  <c r="AH397" i="7"/>
  <c r="AH384" i="7"/>
  <c r="AH383" i="7"/>
  <c r="AH382" i="7"/>
  <c r="AH381" i="7"/>
  <c r="AH380" i="7"/>
  <c r="AH379" i="7"/>
  <c r="AH324" i="7"/>
  <c r="AH264" i="7"/>
  <c r="AH251" i="7"/>
  <c r="AH250" i="7"/>
  <c r="AH249" i="7"/>
  <c r="AH248" i="7"/>
  <c r="AH247" i="7"/>
  <c r="AH246" i="7"/>
  <c r="AH28" i="7"/>
  <c r="AG265" i="7"/>
  <c r="AG406" i="7"/>
  <c r="AG404" i="7"/>
  <c r="AG403" i="7"/>
  <c r="AG407" i="7"/>
  <c r="AG411" i="7"/>
  <c r="AG431" i="7"/>
  <c r="AG435" i="7"/>
  <c r="AG455" i="7"/>
  <c r="AG459" i="7"/>
  <c r="AG463" i="7"/>
  <c r="AG428" i="7"/>
  <c r="AG432" i="7"/>
  <c r="AG436" i="7"/>
  <c r="AG456" i="7"/>
  <c r="AG460" i="7"/>
  <c r="AG398" i="7"/>
  <c r="AG30" i="7"/>
  <c r="AG69" i="7"/>
  <c r="AG588" i="7"/>
  <c r="AG573" i="7" s="1"/>
  <c r="AG76" i="7" s="1"/>
  <c r="AG620" i="7"/>
  <c r="AG605" i="7" s="1"/>
  <c r="AG77" i="7" s="1"/>
  <c r="AG402" i="7"/>
  <c r="AG410" i="7"/>
  <c r="AG408" i="7"/>
  <c r="AG405" i="7"/>
  <c r="AG409" i="7"/>
  <c r="AG429" i="7"/>
  <c r="AG433" i="7"/>
  <c r="AG437" i="7"/>
  <c r="AG457" i="7"/>
  <c r="AG461" i="7"/>
  <c r="AG430" i="7"/>
  <c r="AG434" i="7"/>
  <c r="AG454" i="7"/>
  <c r="AG458" i="7"/>
  <c r="AG462" i="7"/>
  <c r="AH559" i="7"/>
  <c r="AN548" i="7" l="1"/>
  <c r="AN553" i="7"/>
  <c r="AO544" i="7"/>
  <c r="AM535" i="7"/>
  <c r="AM537" i="7" s="1"/>
  <c r="AN555" i="7"/>
  <c r="AN552" i="7" s="1"/>
  <c r="AN536" i="7"/>
  <c r="AN38" i="7"/>
  <c r="AN37" i="7"/>
  <c r="AN36" i="7"/>
  <c r="AN487" i="7"/>
  <c r="AN481" i="7"/>
  <c r="AN22" i="7"/>
  <c r="AN39" i="7" s="1"/>
  <c r="AN20" i="7"/>
  <c r="AN123" i="7"/>
  <c r="AN650" i="7"/>
  <c r="AN648" i="7"/>
  <c r="AN646" i="7"/>
  <c r="AN644" i="7"/>
  <c r="AN649" i="7"/>
  <c r="AN645" i="7"/>
  <c r="AN643" i="7"/>
  <c r="AN616" i="7"/>
  <c r="AN612" i="7"/>
  <c r="AN610" i="7"/>
  <c r="AN651" i="7"/>
  <c r="AN647" i="7"/>
  <c r="AN619" i="7"/>
  <c r="AN617" i="7"/>
  <c r="AN615" i="7"/>
  <c r="AN613" i="7"/>
  <c r="AN642" i="7"/>
  <c r="AN584" i="7"/>
  <c r="AN583" i="7"/>
  <c r="AN582" i="7"/>
  <c r="AN581" i="7"/>
  <c r="AN580" i="7"/>
  <c r="AN579" i="7"/>
  <c r="AN578" i="7"/>
  <c r="AN618" i="7"/>
  <c r="AN614" i="7"/>
  <c r="AN586" i="7"/>
  <c r="AN585" i="7"/>
  <c r="AN611" i="7"/>
  <c r="AN587" i="7"/>
  <c r="AN519" i="7"/>
  <c r="AN33" i="7"/>
  <c r="AN29" i="7"/>
  <c r="AN527" i="7"/>
  <c r="AN523" i="7"/>
  <c r="AN515" i="7"/>
  <c r="AN668" i="7"/>
  <c r="AN19" i="7"/>
  <c r="AN40" i="7"/>
  <c r="AN26" i="7"/>
  <c r="AO2" i="7"/>
  <c r="AH543" i="7"/>
  <c r="AH545" i="7" s="1"/>
  <c r="AI567" i="7"/>
  <c r="AI562" i="7"/>
  <c r="AI541" i="7"/>
  <c r="AI542" i="7"/>
  <c r="AH174" i="7"/>
  <c r="AH138" i="7"/>
  <c r="AH55" i="7"/>
  <c r="AI561" i="7"/>
  <c r="AI560" i="7"/>
  <c r="AH30" i="7"/>
  <c r="AH588" i="7"/>
  <c r="AH573" i="7" s="1"/>
  <c r="AH76" i="7" s="1"/>
  <c r="AH69" i="7"/>
  <c r="AI663" i="7"/>
  <c r="AI662" i="7"/>
  <c r="AI661" i="7"/>
  <c r="AI659" i="7"/>
  <c r="AI658" i="7"/>
  <c r="AI657" i="7"/>
  <c r="AI656" i="7"/>
  <c r="AI654" i="7"/>
  <c r="AI329" i="7"/>
  <c r="AI328" i="7"/>
  <c r="AI327" i="7"/>
  <c r="AI326" i="7"/>
  <c r="AI325" i="7"/>
  <c r="AI324" i="7"/>
  <c r="AI323" i="7"/>
  <c r="AI322" i="7"/>
  <c r="AI320" i="7"/>
  <c r="AI303" i="7"/>
  <c r="AI302" i="7"/>
  <c r="AI301" i="7"/>
  <c r="AI300" i="7"/>
  <c r="AI299" i="7"/>
  <c r="AI298" i="7"/>
  <c r="AI297" i="7"/>
  <c r="AI321" i="7"/>
  <c r="AI631" i="7"/>
  <c r="AI630" i="7"/>
  <c r="AI629" i="7"/>
  <c r="AI628" i="7"/>
  <c r="AI627" i="7"/>
  <c r="AI626" i="7"/>
  <c r="AI625" i="7"/>
  <c r="AI623" i="7"/>
  <c r="AI622" i="7"/>
  <c r="AI278" i="7"/>
  <c r="AI277" i="7"/>
  <c r="AI276" i="7"/>
  <c r="AI275" i="7"/>
  <c r="AI274" i="7"/>
  <c r="AI273" i="7"/>
  <c r="AI296" i="7"/>
  <c r="AI295" i="7"/>
  <c r="AI294" i="7"/>
  <c r="AI599" i="7"/>
  <c r="AI598" i="7"/>
  <c r="AI597" i="7"/>
  <c r="AI596" i="7"/>
  <c r="AI595" i="7"/>
  <c r="AI594" i="7"/>
  <c r="AI593" i="7"/>
  <c r="AI591" i="7"/>
  <c r="AI590" i="7"/>
  <c r="AI271" i="7"/>
  <c r="AI272" i="7"/>
  <c r="AI270" i="7"/>
  <c r="AI269" i="7"/>
  <c r="AI488" i="7"/>
  <c r="AI482" i="7"/>
  <c r="AI384" i="7"/>
  <c r="AI383" i="7"/>
  <c r="AI382" i="7"/>
  <c r="AI381" i="7"/>
  <c r="AI380" i="7"/>
  <c r="AI379" i="7"/>
  <c r="AI397" i="7"/>
  <c r="AI264" i="7"/>
  <c r="AI251" i="7"/>
  <c r="AI250" i="7"/>
  <c r="AI249" i="7"/>
  <c r="AI248" i="7"/>
  <c r="AI247" i="7"/>
  <c r="AI246" i="7"/>
  <c r="AI28" i="7"/>
  <c r="AH409" i="7"/>
  <c r="AH407" i="7"/>
  <c r="AH404" i="7"/>
  <c r="AH408" i="7"/>
  <c r="AH428" i="7"/>
  <c r="AH432" i="7"/>
  <c r="AH436" i="7"/>
  <c r="AH456" i="7"/>
  <c r="AH460" i="7"/>
  <c r="AH398" i="7"/>
  <c r="AH429" i="7"/>
  <c r="AH433" i="7"/>
  <c r="AH437" i="7"/>
  <c r="AH457" i="7"/>
  <c r="AH461" i="7"/>
  <c r="AG79" i="7"/>
  <c r="AH405" i="7"/>
  <c r="AH265" i="7"/>
  <c r="AH403" i="7"/>
  <c r="AH411" i="7"/>
  <c r="AH402" i="7"/>
  <c r="AH406" i="7"/>
  <c r="AH410" i="7"/>
  <c r="AH430" i="7"/>
  <c r="AH434" i="7"/>
  <c r="AH454" i="7"/>
  <c r="AH458" i="7"/>
  <c r="AH462" i="7"/>
  <c r="AH431" i="7"/>
  <c r="AH435" i="7"/>
  <c r="AH455" i="7"/>
  <c r="AH459" i="7"/>
  <c r="AH463" i="7"/>
  <c r="AI559" i="7"/>
  <c r="AH620" i="7"/>
  <c r="AH605" i="7" s="1"/>
  <c r="AH77" i="7" s="1"/>
  <c r="AH652" i="7"/>
  <c r="AH637" i="7" s="1"/>
  <c r="AH78" i="7" s="1"/>
  <c r="AO548" i="7" l="1"/>
  <c r="AO553" i="7"/>
  <c r="AP544" i="7"/>
  <c r="AN535" i="7"/>
  <c r="AN537" i="7" s="1"/>
  <c r="AO555" i="7"/>
  <c r="AO552" i="7" s="1"/>
  <c r="AO536" i="7"/>
  <c r="AO38" i="7"/>
  <c r="AO37" i="7"/>
  <c r="AO36" i="7"/>
  <c r="AO487" i="7"/>
  <c r="AO481" i="7"/>
  <c r="AO22" i="7"/>
  <c r="AO39" i="7" s="1"/>
  <c r="AO20" i="7"/>
  <c r="AO123" i="7"/>
  <c r="AG89" i="7"/>
  <c r="AG90" i="7" s="1"/>
  <c r="AO642" i="7"/>
  <c r="AO619" i="7"/>
  <c r="AO650" i="7"/>
  <c r="AO648" i="7"/>
  <c r="AO646" i="7"/>
  <c r="AO644" i="7"/>
  <c r="AO651" i="7"/>
  <c r="AO645" i="7"/>
  <c r="AO647" i="7"/>
  <c r="AO617" i="7"/>
  <c r="AO615" i="7"/>
  <c r="AO649" i="7"/>
  <c r="AO643" i="7"/>
  <c r="AO618" i="7"/>
  <c r="AO616" i="7"/>
  <c r="AO614" i="7"/>
  <c r="AO612" i="7"/>
  <c r="AO610" i="7"/>
  <c r="AO586" i="7"/>
  <c r="AO611" i="7"/>
  <c r="AO584" i="7"/>
  <c r="AO582" i="7"/>
  <c r="AO580" i="7"/>
  <c r="AO578" i="7"/>
  <c r="AO613" i="7"/>
  <c r="AO587" i="7"/>
  <c r="AO583" i="7"/>
  <c r="AO581" i="7"/>
  <c r="AO579" i="7"/>
  <c r="AO585" i="7"/>
  <c r="AO519" i="7"/>
  <c r="AO33" i="7"/>
  <c r="AO29" i="7"/>
  <c r="AO527" i="7"/>
  <c r="AO523" i="7"/>
  <c r="AO515" i="7"/>
  <c r="AO668" i="7"/>
  <c r="AO40" i="7"/>
  <c r="AO19" i="7"/>
  <c r="AO26" i="7"/>
  <c r="AP2" i="7"/>
  <c r="AI543" i="7"/>
  <c r="AI545" i="7" s="1"/>
  <c r="AJ567" i="7"/>
  <c r="AJ542" i="7"/>
  <c r="AJ562" i="7"/>
  <c r="AJ541" i="7"/>
  <c r="AI174" i="7"/>
  <c r="AI138" i="7"/>
  <c r="AI55" i="7"/>
  <c r="AJ561" i="7"/>
  <c r="AJ560" i="7"/>
  <c r="AH79" i="7"/>
  <c r="AJ663" i="7"/>
  <c r="AJ662" i="7"/>
  <c r="AJ661" i="7"/>
  <c r="AJ659" i="7"/>
  <c r="AJ658" i="7"/>
  <c r="AJ657" i="7"/>
  <c r="AJ656" i="7"/>
  <c r="AJ654" i="7"/>
  <c r="AJ329" i="7"/>
  <c r="AJ328" i="7"/>
  <c r="AJ327" i="7"/>
  <c r="AJ326" i="7"/>
  <c r="AJ325" i="7"/>
  <c r="AJ324" i="7"/>
  <c r="AJ323" i="7"/>
  <c r="AJ322" i="7"/>
  <c r="AJ321" i="7"/>
  <c r="AJ631" i="7"/>
  <c r="AJ630" i="7"/>
  <c r="AJ629" i="7"/>
  <c r="AJ628" i="7"/>
  <c r="AJ627" i="7"/>
  <c r="AJ626" i="7"/>
  <c r="AJ625" i="7"/>
  <c r="AJ623" i="7"/>
  <c r="AJ622" i="7"/>
  <c r="AJ303" i="7"/>
  <c r="AJ302" i="7"/>
  <c r="AJ301" i="7"/>
  <c r="AJ300" i="7"/>
  <c r="AJ299" i="7"/>
  <c r="AJ298" i="7"/>
  <c r="AJ297" i="7"/>
  <c r="AJ296" i="7"/>
  <c r="AJ295" i="7"/>
  <c r="AJ294" i="7"/>
  <c r="AJ599" i="7"/>
  <c r="AJ598" i="7"/>
  <c r="AJ597" i="7"/>
  <c r="AJ596" i="7"/>
  <c r="AJ595" i="7"/>
  <c r="AJ594" i="7"/>
  <c r="AJ593" i="7"/>
  <c r="AJ591" i="7"/>
  <c r="AJ590" i="7"/>
  <c r="AJ278" i="7"/>
  <c r="AJ277" i="7"/>
  <c r="AJ276" i="7"/>
  <c r="AJ275" i="7"/>
  <c r="AJ274" i="7"/>
  <c r="AJ273" i="7"/>
  <c r="AJ272" i="7"/>
  <c r="AJ271" i="7"/>
  <c r="AJ270" i="7"/>
  <c r="AJ269" i="7"/>
  <c r="AJ488" i="7"/>
  <c r="AJ482" i="7"/>
  <c r="AJ397" i="7"/>
  <c r="AJ384" i="7"/>
  <c r="AJ383" i="7"/>
  <c r="AJ382" i="7"/>
  <c r="AJ381" i="7"/>
  <c r="AJ380" i="7"/>
  <c r="AJ379" i="7"/>
  <c r="AJ320" i="7"/>
  <c r="AJ264" i="7"/>
  <c r="AJ251" i="7"/>
  <c r="AJ250" i="7"/>
  <c r="AJ249" i="7"/>
  <c r="AJ248" i="7"/>
  <c r="AJ247" i="7"/>
  <c r="AJ246" i="7"/>
  <c r="AJ28" i="7"/>
  <c r="AI265" i="7"/>
  <c r="AI404" i="7"/>
  <c r="AI406" i="7"/>
  <c r="AI403" i="7"/>
  <c r="AI407" i="7"/>
  <c r="AI411" i="7"/>
  <c r="AI431" i="7"/>
  <c r="AI435" i="7"/>
  <c r="AI455" i="7"/>
  <c r="AI459" i="7"/>
  <c r="AI463" i="7"/>
  <c r="AI428" i="7"/>
  <c r="AI432" i="7"/>
  <c r="AI436" i="7"/>
  <c r="AI456" i="7"/>
  <c r="AI460" i="7"/>
  <c r="AI398" i="7"/>
  <c r="AI30" i="7"/>
  <c r="AI69" i="7"/>
  <c r="AI588" i="7"/>
  <c r="AI573" i="7" s="1"/>
  <c r="AI76" i="7" s="1"/>
  <c r="AI620" i="7"/>
  <c r="AI605" i="7" s="1"/>
  <c r="AI77" i="7" s="1"/>
  <c r="AI408" i="7"/>
  <c r="AI402" i="7"/>
  <c r="AI410" i="7"/>
  <c r="AI405" i="7"/>
  <c r="AI409" i="7"/>
  <c r="AI429" i="7"/>
  <c r="AI433" i="7"/>
  <c r="AI437" i="7"/>
  <c r="AI457" i="7"/>
  <c r="AI461" i="7"/>
  <c r="AI430" i="7"/>
  <c r="AI434" i="7"/>
  <c r="AI454" i="7"/>
  <c r="AI458" i="7"/>
  <c r="AI462" i="7"/>
  <c r="AJ559" i="7"/>
  <c r="AI652" i="7"/>
  <c r="AI637" i="7" s="1"/>
  <c r="AI78" i="7" s="1"/>
  <c r="AP548" i="7" l="1"/>
  <c r="AP553" i="7"/>
  <c r="AO535" i="7"/>
  <c r="AO537" i="7" s="1"/>
  <c r="AP555" i="7"/>
  <c r="AP552" i="7" s="1"/>
  <c r="AP536" i="7"/>
  <c r="AP38" i="7"/>
  <c r="AP37" i="7"/>
  <c r="AP36" i="7"/>
  <c r="AP487" i="7"/>
  <c r="AP481" i="7"/>
  <c r="AP22" i="7"/>
  <c r="AP39" i="7" s="1"/>
  <c r="AP20" i="7"/>
  <c r="AP123" i="7"/>
  <c r="AH89" i="7"/>
  <c r="AH90" i="7" s="1"/>
  <c r="AP651" i="7"/>
  <c r="AP649" i="7"/>
  <c r="AP647" i="7"/>
  <c r="AP645" i="7"/>
  <c r="AP643" i="7"/>
  <c r="AP650" i="7"/>
  <c r="AP646" i="7"/>
  <c r="AP642" i="7"/>
  <c r="AP618" i="7"/>
  <c r="AP617" i="7"/>
  <c r="AP616" i="7"/>
  <c r="AP615" i="7"/>
  <c r="AP614" i="7"/>
  <c r="AP613" i="7"/>
  <c r="AP612" i="7"/>
  <c r="AP611" i="7"/>
  <c r="AP610" i="7"/>
  <c r="AP587" i="7"/>
  <c r="AP586" i="7"/>
  <c r="AP585" i="7"/>
  <c r="AP619" i="7"/>
  <c r="AP648" i="7"/>
  <c r="AP644" i="7"/>
  <c r="AP583" i="7"/>
  <c r="AP581" i="7"/>
  <c r="AP579" i="7"/>
  <c r="AP584" i="7"/>
  <c r="AP582" i="7"/>
  <c r="AP580" i="7"/>
  <c r="AP578" i="7"/>
  <c r="AP519" i="7"/>
  <c r="AP33" i="7"/>
  <c r="AP29" i="7"/>
  <c r="AP527" i="7"/>
  <c r="AP523" i="7"/>
  <c r="AP515" i="7"/>
  <c r="AP668" i="7"/>
  <c r="AP40" i="7"/>
  <c r="AP26" i="7"/>
  <c r="AP19" i="7"/>
  <c r="AJ543" i="7"/>
  <c r="AJ545" i="7" s="1"/>
  <c r="AK567" i="7"/>
  <c r="AK562" i="7"/>
  <c r="AK541" i="7"/>
  <c r="AK542" i="7"/>
  <c r="AJ174" i="7"/>
  <c r="AJ138" i="7"/>
  <c r="AJ55" i="7"/>
  <c r="AK561" i="7"/>
  <c r="AK560" i="7"/>
  <c r="AK663" i="7"/>
  <c r="AK662" i="7"/>
  <c r="AK661" i="7"/>
  <c r="AK659" i="7"/>
  <c r="AK658" i="7"/>
  <c r="AK657" i="7"/>
  <c r="AK656" i="7"/>
  <c r="AK329" i="7"/>
  <c r="AK327" i="7"/>
  <c r="AK326" i="7"/>
  <c r="AK325" i="7"/>
  <c r="AK324" i="7"/>
  <c r="AK323" i="7"/>
  <c r="AK322" i="7"/>
  <c r="AK654" i="7"/>
  <c r="AK321" i="7"/>
  <c r="AK303" i="7"/>
  <c r="AK302" i="7"/>
  <c r="AK301" i="7"/>
  <c r="AK300" i="7"/>
  <c r="AK299" i="7"/>
  <c r="AK298" i="7"/>
  <c r="AK297" i="7"/>
  <c r="AK320" i="7"/>
  <c r="AK631" i="7"/>
  <c r="AK630" i="7"/>
  <c r="AK629" i="7"/>
  <c r="AK628" i="7"/>
  <c r="AK627" i="7"/>
  <c r="AK626" i="7"/>
  <c r="AK625" i="7"/>
  <c r="AK623" i="7"/>
  <c r="AK622" i="7"/>
  <c r="AK296" i="7"/>
  <c r="AK278" i="7"/>
  <c r="AK277" i="7"/>
  <c r="AK276" i="7"/>
  <c r="AK275" i="7"/>
  <c r="AK274" i="7"/>
  <c r="AK273" i="7"/>
  <c r="AK295" i="7"/>
  <c r="AK294" i="7"/>
  <c r="AK599" i="7"/>
  <c r="AK598" i="7"/>
  <c r="AK597" i="7"/>
  <c r="AK596" i="7"/>
  <c r="AK595" i="7"/>
  <c r="AK594" i="7"/>
  <c r="AK593" i="7"/>
  <c r="AK591" i="7"/>
  <c r="AK590" i="7"/>
  <c r="AK272" i="7"/>
  <c r="AK271" i="7"/>
  <c r="AK270" i="7"/>
  <c r="AK269" i="7"/>
  <c r="AK488" i="7"/>
  <c r="AK482" i="7"/>
  <c r="AK384" i="7"/>
  <c r="AK383" i="7"/>
  <c r="AK382" i="7"/>
  <c r="AK381" i="7"/>
  <c r="AK380" i="7"/>
  <c r="AK379" i="7"/>
  <c r="AK328" i="7"/>
  <c r="AK397" i="7"/>
  <c r="AK264" i="7"/>
  <c r="AK251" i="7"/>
  <c r="AK250" i="7"/>
  <c r="AK249" i="7"/>
  <c r="AK248" i="7"/>
  <c r="AK247" i="7"/>
  <c r="AK246" i="7"/>
  <c r="AK28" i="7"/>
  <c r="AJ403" i="7"/>
  <c r="AJ411" i="7"/>
  <c r="AJ409" i="7"/>
  <c r="AJ402" i="7"/>
  <c r="AJ406" i="7"/>
  <c r="AJ410" i="7"/>
  <c r="AJ430" i="7"/>
  <c r="AJ434" i="7"/>
  <c r="AJ454" i="7"/>
  <c r="AJ458" i="7"/>
  <c r="AJ462" i="7"/>
  <c r="AJ431" i="7"/>
  <c r="AJ435" i="7"/>
  <c r="AJ455" i="7"/>
  <c r="AJ459" i="7"/>
  <c r="AJ463" i="7"/>
  <c r="AK559" i="7"/>
  <c r="AJ30" i="7"/>
  <c r="AJ69" i="7"/>
  <c r="AJ588" i="7"/>
  <c r="AJ573" i="7" s="1"/>
  <c r="AJ76" i="7" s="1"/>
  <c r="AJ620" i="7"/>
  <c r="AJ605" i="7" s="1"/>
  <c r="AJ77" i="7" s="1"/>
  <c r="AJ652" i="7"/>
  <c r="AJ637" i="7" s="1"/>
  <c r="AJ78" i="7" s="1"/>
  <c r="AJ407" i="7"/>
  <c r="AJ265" i="7"/>
  <c r="AJ405" i="7"/>
  <c r="AJ404" i="7"/>
  <c r="AJ408" i="7"/>
  <c r="AJ428" i="7"/>
  <c r="AJ432" i="7"/>
  <c r="AJ436" i="7"/>
  <c r="AJ456" i="7"/>
  <c r="AJ460" i="7"/>
  <c r="AJ398" i="7"/>
  <c r="AJ429" i="7"/>
  <c r="AJ433" i="7"/>
  <c r="AJ437" i="7"/>
  <c r="AJ457" i="7"/>
  <c r="AJ461" i="7"/>
  <c r="AI79" i="7"/>
  <c r="AP535" i="7" l="1"/>
  <c r="AP537" i="7" s="1"/>
  <c r="AI89" i="7"/>
  <c r="AI90" i="7" s="1"/>
  <c r="AK543" i="7"/>
  <c r="AK545" i="7" s="1"/>
  <c r="AL567" i="7"/>
  <c r="AL542" i="7"/>
  <c r="AL562" i="7"/>
  <c r="AL541" i="7"/>
  <c r="AK174" i="7"/>
  <c r="AK138" i="7"/>
  <c r="AK55" i="7"/>
  <c r="AL561" i="7"/>
  <c r="AL560" i="7"/>
  <c r="AK652" i="7"/>
  <c r="AK637" i="7" s="1"/>
  <c r="AK78" i="7" s="1"/>
  <c r="AK30" i="7"/>
  <c r="AK402" i="7"/>
  <c r="AK410" i="7"/>
  <c r="AK408" i="7"/>
  <c r="AK405" i="7"/>
  <c r="AK409" i="7"/>
  <c r="AK429" i="7"/>
  <c r="AK433" i="7"/>
  <c r="AK437" i="7"/>
  <c r="AK457" i="7"/>
  <c r="AK461" i="7"/>
  <c r="AK430" i="7"/>
  <c r="AK434" i="7"/>
  <c r="AK454" i="7"/>
  <c r="AK458" i="7"/>
  <c r="AK462" i="7"/>
  <c r="AL559" i="7"/>
  <c r="AL663" i="7"/>
  <c r="AL662" i="7"/>
  <c r="AL660" i="7"/>
  <c r="AL659" i="7"/>
  <c r="AL658" i="7"/>
  <c r="AL657" i="7"/>
  <c r="AL656" i="7"/>
  <c r="AL654" i="7"/>
  <c r="AL329" i="7"/>
  <c r="AL327" i="7"/>
  <c r="AL326" i="7"/>
  <c r="AL325" i="7"/>
  <c r="AL324" i="7"/>
  <c r="AL323" i="7"/>
  <c r="AL322" i="7"/>
  <c r="AL321" i="7"/>
  <c r="AL320" i="7"/>
  <c r="AL631" i="7"/>
  <c r="AL630" i="7"/>
  <c r="AL629" i="7"/>
  <c r="AL628" i="7"/>
  <c r="AL627" i="7"/>
  <c r="AL626" i="7"/>
  <c r="AL625" i="7"/>
  <c r="AL623" i="7"/>
  <c r="AL622" i="7"/>
  <c r="AL303" i="7"/>
  <c r="AL302" i="7"/>
  <c r="AL301" i="7"/>
  <c r="AL300" i="7"/>
  <c r="AL299" i="7"/>
  <c r="AL298" i="7"/>
  <c r="AL297" i="7"/>
  <c r="AL296" i="7"/>
  <c r="AL295" i="7"/>
  <c r="AL294" i="7"/>
  <c r="AL599" i="7"/>
  <c r="AL598" i="7"/>
  <c r="AL597" i="7"/>
  <c r="AL596" i="7"/>
  <c r="AL595" i="7"/>
  <c r="AL594" i="7"/>
  <c r="AL593" i="7"/>
  <c r="AL591" i="7"/>
  <c r="AL590" i="7"/>
  <c r="AL278" i="7"/>
  <c r="AL277" i="7"/>
  <c r="AL276" i="7"/>
  <c r="AL275" i="7"/>
  <c r="AL274" i="7"/>
  <c r="AL273" i="7"/>
  <c r="AL272" i="7"/>
  <c r="AL271" i="7"/>
  <c r="AL270" i="7"/>
  <c r="AL269" i="7"/>
  <c r="AL488" i="7"/>
  <c r="AL482" i="7"/>
  <c r="AL397" i="7"/>
  <c r="AL384" i="7"/>
  <c r="AL383" i="7"/>
  <c r="AL382" i="7"/>
  <c r="AL381" i="7"/>
  <c r="AL380" i="7"/>
  <c r="AL379" i="7"/>
  <c r="AL328" i="7"/>
  <c r="AL264" i="7"/>
  <c r="AL251" i="7"/>
  <c r="AL250" i="7"/>
  <c r="AL249" i="7"/>
  <c r="AL248" i="7"/>
  <c r="AL247" i="7"/>
  <c r="AL246" i="7"/>
  <c r="AL28" i="7"/>
  <c r="AK265" i="7"/>
  <c r="AK406" i="7"/>
  <c r="AK404" i="7"/>
  <c r="AK403" i="7"/>
  <c r="AK407" i="7"/>
  <c r="AK411" i="7"/>
  <c r="AK431" i="7"/>
  <c r="AK435" i="7"/>
  <c r="AK455" i="7"/>
  <c r="AK459" i="7"/>
  <c r="AK463" i="7"/>
  <c r="AK428" i="7"/>
  <c r="AK432" i="7"/>
  <c r="AK436" i="7"/>
  <c r="AK456" i="7"/>
  <c r="AK460" i="7"/>
  <c r="AK398" i="7"/>
  <c r="AJ79" i="7"/>
  <c r="AK69" i="7"/>
  <c r="AK588" i="7"/>
  <c r="AK573" i="7" s="1"/>
  <c r="AK76" i="7" s="1"/>
  <c r="AK620" i="7"/>
  <c r="AK605" i="7" s="1"/>
  <c r="AK77" i="7" s="1"/>
  <c r="AJ89" i="7" l="1"/>
  <c r="AJ90" i="7" s="1"/>
  <c r="AL543" i="7"/>
  <c r="AL545" i="7" s="1"/>
  <c r="AM567" i="7"/>
  <c r="AM562" i="7"/>
  <c r="AM541" i="7"/>
  <c r="AM542" i="7"/>
  <c r="AL174" i="7"/>
  <c r="AL138" i="7"/>
  <c r="AL55" i="7"/>
  <c r="AM561" i="7"/>
  <c r="AM560" i="7"/>
  <c r="AL588" i="7"/>
  <c r="AL573" i="7" s="1"/>
  <c r="AL76" i="7" s="1"/>
  <c r="AL652" i="7"/>
  <c r="AL637" i="7" s="1"/>
  <c r="AL78" i="7" s="1"/>
  <c r="AL30" i="7"/>
  <c r="AL620" i="7"/>
  <c r="AL605" i="7" s="1"/>
  <c r="AL77" i="7" s="1"/>
  <c r="AL69" i="7"/>
  <c r="AM663" i="7"/>
  <c r="AM662" i="7"/>
  <c r="AM660" i="7"/>
  <c r="AM659" i="7"/>
  <c r="AM658" i="7"/>
  <c r="AM657" i="7"/>
  <c r="AM656" i="7"/>
  <c r="AM654" i="7"/>
  <c r="AM329" i="7"/>
  <c r="AM328" i="7"/>
  <c r="AM327" i="7"/>
  <c r="AM326" i="7"/>
  <c r="AM325" i="7"/>
  <c r="AM324" i="7"/>
  <c r="AM323" i="7"/>
  <c r="AM322" i="7"/>
  <c r="AM320" i="7"/>
  <c r="AM303" i="7"/>
  <c r="AM302" i="7"/>
  <c r="AM301" i="7"/>
  <c r="AM300" i="7"/>
  <c r="AM299" i="7"/>
  <c r="AM298" i="7"/>
  <c r="AM297" i="7"/>
  <c r="AM321" i="7"/>
  <c r="AM631" i="7"/>
  <c r="AM630" i="7"/>
  <c r="AM629" i="7"/>
  <c r="AM628" i="7"/>
  <c r="AM627" i="7"/>
  <c r="AM626" i="7"/>
  <c r="AM625" i="7"/>
  <c r="AM623" i="7"/>
  <c r="AM622" i="7"/>
  <c r="AM278" i="7"/>
  <c r="AM277" i="7"/>
  <c r="AM276" i="7"/>
  <c r="AM275" i="7"/>
  <c r="AM274" i="7"/>
  <c r="AM273" i="7"/>
  <c r="AM296" i="7"/>
  <c r="AM295" i="7"/>
  <c r="AM294" i="7"/>
  <c r="AM599" i="7"/>
  <c r="AM598" i="7"/>
  <c r="AM597" i="7"/>
  <c r="AM596" i="7"/>
  <c r="AM595" i="7"/>
  <c r="AM594" i="7"/>
  <c r="AM592" i="7"/>
  <c r="AM591" i="7"/>
  <c r="AM590" i="7"/>
  <c r="AM271" i="7"/>
  <c r="AM272" i="7"/>
  <c r="AM270" i="7"/>
  <c r="AM269" i="7"/>
  <c r="AM488" i="7"/>
  <c r="AM482" i="7"/>
  <c r="AM384" i="7"/>
  <c r="AM383" i="7"/>
  <c r="AM382" i="7"/>
  <c r="AM381" i="7"/>
  <c r="AM380" i="7"/>
  <c r="AM379" i="7"/>
  <c r="AM397" i="7"/>
  <c r="AM264" i="7"/>
  <c r="AM251" i="7"/>
  <c r="AM250" i="7"/>
  <c r="AM249" i="7"/>
  <c r="AM248" i="7"/>
  <c r="AM247" i="7"/>
  <c r="AM246" i="7"/>
  <c r="AM28" i="7"/>
  <c r="AL409" i="7"/>
  <c r="AL407" i="7"/>
  <c r="AL404" i="7"/>
  <c r="AL408" i="7"/>
  <c r="AL428" i="7"/>
  <c r="AL432" i="7"/>
  <c r="AL436" i="7"/>
  <c r="AL456" i="7"/>
  <c r="AL460" i="7"/>
  <c r="AL398" i="7"/>
  <c r="AL429" i="7"/>
  <c r="AL433" i="7"/>
  <c r="AL437" i="7"/>
  <c r="AL457" i="7"/>
  <c r="AL461" i="7"/>
  <c r="AK79" i="7"/>
  <c r="AL405" i="7"/>
  <c r="AL265" i="7"/>
  <c r="AL403" i="7"/>
  <c r="AL411" i="7"/>
  <c r="AL402" i="7"/>
  <c r="AL406" i="7"/>
  <c r="AL410" i="7"/>
  <c r="AL430" i="7"/>
  <c r="AL434" i="7"/>
  <c r="AL454" i="7"/>
  <c r="AL458" i="7"/>
  <c r="AL462" i="7"/>
  <c r="AL431" i="7"/>
  <c r="AL435" i="7"/>
  <c r="AL455" i="7"/>
  <c r="AL459" i="7"/>
  <c r="AL463" i="7"/>
  <c r="AM559" i="7"/>
  <c r="AK89" i="7" l="1"/>
  <c r="AK90" i="7" s="1"/>
  <c r="AM543" i="7"/>
  <c r="AM545" i="7" s="1"/>
  <c r="AN567" i="7"/>
  <c r="AN542" i="7"/>
  <c r="AN562" i="7"/>
  <c r="AN541" i="7"/>
  <c r="AM174" i="7"/>
  <c r="AM138" i="7"/>
  <c r="AM55" i="7"/>
  <c r="AL79" i="7"/>
  <c r="AN561" i="7"/>
  <c r="AN560" i="7"/>
  <c r="AM30" i="7"/>
  <c r="AM588" i="7"/>
  <c r="AM573" i="7" s="1"/>
  <c r="AM76" i="7" s="1"/>
  <c r="AM620" i="7"/>
  <c r="AM605" i="7" s="1"/>
  <c r="AM77" i="7" s="1"/>
  <c r="AM69" i="7"/>
  <c r="AM408" i="7"/>
  <c r="AM402" i="7"/>
  <c r="AM410" i="7"/>
  <c r="AM405" i="7"/>
  <c r="AM409" i="7"/>
  <c r="AM429" i="7"/>
  <c r="AM433" i="7"/>
  <c r="AM437" i="7"/>
  <c r="AM457" i="7"/>
  <c r="AM461" i="7"/>
  <c r="AM430" i="7"/>
  <c r="AM434" i="7"/>
  <c r="AM454" i="7"/>
  <c r="AM458" i="7"/>
  <c r="AM462" i="7"/>
  <c r="AN559" i="7"/>
  <c r="AM652" i="7"/>
  <c r="AM637" i="7" s="1"/>
  <c r="AM78" i="7" s="1"/>
  <c r="AN663" i="7"/>
  <c r="AN662" i="7"/>
  <c r="AN660" i="7"/>
  <c r="AN659" i="7"/>
  <c r="AN658" i="7"/>
  <c r="AN657" i="7"/>
  <c r="AN656" i="7"/>
  <c r="AN654" i="7"/>
  <c r="AN329" i="7"/>
  <c r="AN328" i="7"/>
  <c r="AN327" i="7"/>
  <c r="AN326" i="7"/>
  <c r="AN325" i="7"/>
  <c r="AN324" i="7"/>
  <c r="AN323" i="7"/>
  <c r="AN322" i="7"/>
  <c r="AN321" i="7"/>
  <c r="AN320" i="7"/>
  <c r="AN631" i="7"/>
  <c r="AN630" i="7"/>
  <c r="AN629" i="7"/>
  <c r="AN628" i="7"/>
  <c r="AN627" i="7"/>
  <c r="AN626" i="7"/>
  <c r="AN625" i="7"/>
  <c r="AN623" i="7"/>
  <c r="AN622" i="7"/>
  <c r="AN302" i="7"/>
  <c r="AN301" i="7"/>
  <c r="AN300" i="7"/>
  <c r="AN299" i="7"/>
  <c r="AN298" i="7"/>
  <c r="AN297" i="7"/>
  <c r="AN296" i="7"/>
  <c r="AN295" i="7"/>
  <c r="AN294" i="7"/>
  <c r="AN599" i="7"/>
  <c r="AN598" i="7"/>
  <c r="AN597" i="7"/>
  <c r="AN596" i="7"/>
  <c r="AN595" i="7"/>
  <c r="AN594" i="7"/>
  <c r="AN592" i="7"/>
  <c r="AN591" i="7"/>
  <c r="AN590" i="7"/>
  <c r="AN278" i="7"/>
  <c r="AN277" i="7"/>
  <c r="AN276" i="7"/>
  <c r="AN275" i="7"/>
  <c r="AN274" i="7"/>
  <c r="AN273" i="7"/>
  <c r="AN272" i="7"/>
  <c r="AN271" i="7"/>
  <c r="AN270" i="7"/>
  <c r="AN269" i="7"/>
  <c r="AN488" i="7"/>
  <c r="AN482" i="7"/>
  <c r="AN397" i="7"/>
  <c r="AN303" i="7"/>
  <c r="AN384" i="7"/>
  <c r="AN383" i="7"/>
  <c r="AN382" i="7"/>
  <c r="AN381" i="7"/>
  <c r="AN380" i="7"/>
  <c r="AN379" i="7"/>
  <c r="AN264" i="7"/>
  <c r="AN251" i="7"/>
  <c r="AN250" i="7"/>
  <c r="AN249" i="7"/>
  <c r="AN248" i="7"/>
  <c r="AN247" i="7"/>
  <c r="AN246" i="7"/>
  <c r="AN28" i="7"/>
  <c r="AM265" i="7"/>
  <c r="AM404" i="7"/>
  <c r="AM406" i="7"/>
  <c r="AM403" i="7"/>
  <c r="AM407" i="7"/>
  <c r="AM411" i="7"/>
  <c r="AM431" i="7"/>
  <c r="AM435" i="7"/>
  <c r="AM455" i="7"/>
  <c r="AM459" i="7"/>
  <c r="AM463" i="7"/>
  <c r="AM428" i="7"/>
  <c r="AM432" i="7"/>
  <c r="AM436" i="7"/>
  <c r="AM456" i="7"/>
  <c r="AM460" i="7"/>
  <c r="AM398" i="7"/>
  <c r="AL89" i="7" l="1"/>
  <c r="AL90" i="7" s="1"/>
  <c r="AN543" i="7"/>
  <c r="AN545" i="7" s="1"/>
  <c r="AO567" i="7"/>
  <c r="AO562" i="7"/>
  <c r="AO541" i="7"/>
  <c r="AO542" i="7"/>
  <c r="AN174" i="7"/>
  <c r="AN138" i="7"/>
  <c r="AN55" i="7"/>
  <c r="AO561" i="7"/>
  <c r="AO560" i="7"/>
  <c r="AM79" i="7"/>
  <c r="AN407" i="7"/>
  <c r="AN265" i="7"/>
  <c r="AN405" i="7"/>
  <c r="AN404" i="7"/>
  <c r="AN408" i="7"/>
  <c r="AN428" i="7"/>
  <c r="AN432" i="7"/>
  <c r="AN436" i="7"/>
  <c r="AN456" i="7"/>
  <c r="AN460" i="7"/>
  <c r="AN398" i="7"/>
  <c r="AN429" i="7"/>
  <c r="AN433" i="7"/>
  <c r="AN437" i="7"/>
  <c r="AN457" i="7"/>
  <c r="AN461" i="7"/>
  <c r="AO663" i="7"/>
  <c r="AO662" i="7"/>
  <c r="AO660" i="7"/>
  <c r="AO659" i="7"/>
  <c r="AO658" i="7"/>
  <c r="AO657" i="7"/>
  <c r="AO656" i="7"/>
  <c r="AO329" i="7"/>
  <c r="AO327" i="7"/>
  <c r="AO326" i="7"/>
  <c r="AO325" i="7"/>
  <c r="AO324" i="7"/>
  <c r="AO323" i="7"/>
  <c r="AO322" i="7"/>
  <c r="AO654" i="7"/>
  <c r="AO321" i="7"/>
  <c r="AO303" i="7"/>
  <c r="AO302" i="7"/>
  <c r="AO301" i="7"/>
  <c r="AO300" i="7"/>
  <c r="AO299" i="7"/>
  <c r="AO298" i="7"/>
  <c r="AO297" i="7"/>
  <c r="AO320" i="7"/>
  <c r="AO631" i="7"/>
  <c r="AO630" i="7"/>
  <c r="AO629" i="7"/>
  <c r="AO628" i="7"/>
  <c r="AO627" i="7"/>
  <c r="AO626" i="7"/>
  <c r="AO625" i="7"/>
  <c r="AO623" i="7"/>
  <c r="AO622" i="7"/>
  <c r="AO296" i="7"/>
  <c r="AO278" i="7"/>
  <c r="AO277" i="7"/>
  <c r="AO276" i="7"/>
  <c r="AO275" i="7"/>
  <c r="AO274" i="7"/>
  <c r="AO273" i="7"/>
  <c r="AO295" i="7"/>
  <c r="AO294" i="7"/>
  <c r="AO599" i="7"/>
  <c r="AO598" i="7"/>
  <c r="AO597" i="7"/>
  <c r="AO596" i="7"/>
  <c r="AO595" i="7"/>
  <c r="AO594" i="7"/>
  <c r="AO592" i="7"/>
  <c r="AO591" i="7"/>
  <c r="AO590" i="7"/>
  <c r="AO272" i="7"/>
  <c r="AO271" i="7"/>
  <c r="AO270" i="7"/>
  <c r="AO269" i="7"/>
  <c r="AO488" i="7"/>
  <c r="AO482" i="7"/>
  <c r="AO384" i="7"/>
  <c r="AO383" i="7"/>
  <c r="AO382" i="7"/>
  <c r="AO381" i="7"/>
  <c r="AO380" i="7"/>
  <c r="AO379" i="7"/>
  <c r="AO328" i="7"/>
  <c r="AO397" i="7"/>
  <c r="AO264" i="7"/>
  <c r="AO251" i="7"/>
  <c r="AO250" i="7"/>
  <c r="AO249" i="7"/>
  <c r="AO248" i="7"/>
  <c r="AO247" i="7"/>
  <c r="AO246" i="7"/>
  <c r="AO28" i="7"/>
  <c r="AN403" i="7"/>
  <c r="AN411" i="7"/>
  <c r="AN409" i="7"/>
  <c r="AN402" i="7"/>
  <c r="AN406" i="7"/>
  <c r="AN410" i="7"/>
  <c r="AN430" i="7"/>
  <c r="AN434" i="7"/>
  <c r="AN454" i="7"/>
  <c r="AN458" i="7"/>
  <c r="AN462" i="7"/>
  <c r="AN431" i="7"/>
  <c r="AN435" i="7"/>
  <c r="AN455" i="7"/>
  <c r="AN459" i="7"/>
  <c r="AN463" i="7"/>
  <c r="AO559" i="7"/>
  <c r="AN30" i="7"/>
  <c r="AN69" i="7"/>
  <c r="AN588" i="7"/>
  <c r="AN573" i="7" s="1"/>
  <c r="AN76" i="7" s="1"/>
  <c r="AN620" i="7"/>
  <c r="AN605" i="7" s="1"/>
  <c r="AN77" i="7" s="1"/>
  <c r="AN652" i="7"/>
  <c r="AN637" i="7" s="1"/>
  <c r="AN78" i="7" s="1"/>
  <c r="AM89" i="7" l="1"/>
  <c r="AM90" i="7" s="1"/>
  <c r="AO543" i="7"/>
  <c r="AO545" i="7" s="1"/>
  <c r="AP566" i="7"/>
  <c r="AP542" i="7"/>
  <c r="AP562" i="7"/>
  <c r="AP541" i="7"/>
  <c r="AO174" i="7"/>
  <c r="AO138" i="7"/>
  <c r="AO55" i="7"/>
  <c r="AP561" i="7"/>
  <c r="AP560" i="7"/>
  <c r="AO30" i="7"/>
  <c r="AO588" i="7"/>
  <c r="AO573" i="7" s="1"/>
  <c r="AO76" i="7" s="1"/>
  <c r="AO620" i="7"/>
  <c r="AO605" i="7" s="1"/>
  <c r="AO77" i="7" s="1"/>
  <c r="AO69" i="7"/>
  <c r="AO402" i="7"/>
  <c r="AO410" i="7"/>
  <c r="AO408" i="7"/>
  <c r="AO405" i="7"/>
  <c r="AO409" i="7"/>
  <c r="AO429" i="7"/>
  <c r="AO433" i="7"/>
  <c r="AO437" i="7"/>
  <c r="AO457" i="7"/>
  <c r="AO461" i="7"/>
  <c r="AO430" i="7"/>
  <c r="AO434" i="7"/>
  <c r="AO454" i="7"/>
  <c r="AO458" i="7"/>
  <c r="AO462" i="7"/>
  <c r="AP559" i="7"/>
  <c r="AO652" i="7"/>
  <c r="AO637" i="7" s="1"/>
  <c r="AO78" i="7" s="1"/>
  <c r="AP663" i="7"/>
  <c r="AP662" i="7"/>
  <c r="AP660" i="7"/>
  <c r="AP659" i="7"/>
  <c r="AP658" i="7"/>
  <c r="AP657" i="7"/>
  <c r="AP656" i="7"/>
  <c r="AP654" i="7"/>
  <c r="B651" i="7"/>
  <c r="B650" i="7"/>
  <c r="B649" i="7"/>
  <c r="B648" i="7"/>
  <c r="B647" i="7"/>
  <c r="B646" i="7"/>
  <c r="B645" i="7"/>
  <c r="B644" i="7"/>
  <c r="B643" i="7"/>
  <c r="AP320" i="7"/>
  <c r="AP631" i="7"/>
  <c r="B631" i="7" s="1"/>
  <c r="AP630" i="7"/>
  <c r="B630" i="7" s="1"/>
  <c r="AP629" i="7"/>
  <c r="B629" i="7" s="1"/>
  <c r="AP628" i="7"/>
  <c r="B628" i="7" s="1"/>
  <c r="AP627" i="7"/>
  <c r="B627" i="7" s="1"/>
  <c r="AP626" i="7"/>
  <c r="B626" i="7" s="1"/>
  <c r="AP625" i="7"/>
  <c r="B625" i="7" s="1"/>
  <c r="AP623" i="7"/>
  <c r="AP622" i="7"/>
  <c r="B619" i="7"/>
  <c r="B618" i="7"/>
  <c r="B617" i="7"/>
  <c r="B616" i="7"/>
  <c r="B615" i="7"/>
  <c r="B614" i="7"/>
  <c r="B613" i="7"/>
  <c r="B612" i="7"/>
  <c r="B611" i="7"/>
  <c r="AP294" i="7"/>
  <c r="AP599" i="7"/>
  <c r="B599" i="7" s="1"/>
  <c r="AP598" i="7"/>
  <c r="B598" i="7" s="1"/>
  <c r="AP597" i="7"/>
  <c r="B597" i="7" s="1"/>
  <c r="AP596" i="7"/>
  <c r="B596" i="7" s="1"/>
  <c r="AP595" i="7"/>
  <c r="B595" i="7" s="1"/>
  <c r="AP594" i="7"/>
  <c r="B594" i="7" s="1"/>
  <c r="AP592" i="7"/>
  <c r="AP591" i="7"/>
  <c r="AP590" i="7"/>
  <c r="B587" i="7"/>
  <c r="B586" i="7"/>
  <c r="B585" i="7"/>
  <c r="B584" i="7"/>
  <c r="B583" i="7"/>
  <c r="B582" i="7"/>
  <c r="B581" i="7"/>
  <c r="B580" i="7"/>
  <c r="B579" i="7"/>
  <c r="AP269" i="7"/>
  <c r="AP488" i="7"/>
  <c r="AP482" i="7"/>
  <c r="AP397" i="7"/>
  <c r="AP303" i="7"/>
  <c r="AP384" i="7"/>
  <c r="AP383" i="7"/>
  <c r="AP382" i="7"/>
  <c r="AP381" i="7"/>
  <c r="AP380" i="7"/>
  <c r="AP379" i="7"/>
  <c r="AP264" i="7"/>
  <c r="AP251" i="7"/>
  <c r="AP250" i="7"/>
  <c r="AP249" i="7"/>
  <c r="AP248" i="7"/>
  <c r="AP247" i="7"/>
  <c r="AP246" i="7"/>
  <c r="AP28" i="7"/>
  <c r="AO265" i="7"/>
  <c r="AO406" i="7"/>
  <c r="AO418" i="7" s="1"/>
  <c r="AO404" i="7"/>
  <c r="AO403" i="7"/>
  <c r="AO407" i="7"/>
  <c r="AO411" i="7"/>
  <c r="AO431" i="7"/>
  <c r="AO435" i="7"/>
  <c r="AO455" i="7"/>
  <c r="AO459" i="7"/>
  <c r="AO463" i="7"/>
  <c r="AO475" i="7" s="1"/>
  <c r="AO428" i="7"/>
  <c r="AO432" i="7"/>
  <c r="AO436" i="7"/>
  <c r="AO456" i="7"/>
  <c r="AO460" i="7"/>
  <c r="AO398" i="7"/>
  <c r="AN79" i="7"/>
  <c r="AN417" i="7" l="1"/>
  <c r="AO468" i="7"/>
  <c r="AO472" i="7"/>
  <c r="AO447" i="7"/>
  <c r="AO444" i="7"/>
  <c r="AO448" i="7"/>
  <c r="AO471" i="7"/>
  <c r="AO281" i="7"/>
  <c r="AN423" i="7"/>
  <c r="AO308" i="7"/>
  <c r="AN469" i="7"/>
  <c r="AN416" i="7"/>
  <c r="AO336" i="7"/>
  <c r="AN421" i="7"/>
  <c r="AN444" i="7"/>
  <c r="AN448" i="7"/>
  <c r="AN471" i="7"/>
  <c r="AP315" i="7"/>
  <c r="AN418" i="7"/>
  <c r="AN441" i="7"/>
  <c r="AN449" i="7"/>
  <c r="AO334" i="7"/>
  <c r="AO338" i="7"/>
  <c r="AO467" i="7"/>
  <c r="AO415" i="7"/>
  <c r="AO423" i="7"/>
  <c r="AO416" i="7"/>
  <c r="AO443" i="7"/>
  <c r="AO469" i="7"/>
  <c r="AN442" i="7"/>
  <c r="AO419" i="7"/>
  <c r="AO307" i="7"/>
  <c r="E285" i="7"/>
  <c r="D285" i="7"/>
  <c r="H285" i="7"/>
  <c r="G285" i="7"/>
  <c r="F285" i="7"/>
  <c r="C285" i="7"/>
  <c r="I285" i="7"/>
  <c r="J285" i="7"/>
  <c r="C419" i="7"/>
  <c r="E419" i="7"/>
  <c r="D419" i="7"/>
  <c r="G419" i="7"/>
  <c r="H419" i="7"/>
  <c r="F419" i="7"/>
  <c r="I419" i="7"/>
  <c r="K285" i="7"/>
  <c r="J419" i="7"/>
  <c r="K419" i="7"/>
  <c r="L285" i="7"/>
  <c r="L419" i="7"/>
  <c r="M285" i="7"/>
  <c r="M419" i="7"/>
  <c r="N285" i="7"/>
  <c r="O285" i="7"/>
  <c r="N419" i="7"/>
  <c r="P285" i="7"/>
  <c r="O419" i="7"/>
  <c r="Q285" i="7"/>
  <c r="P419" i="7"/>
  <c r="R285" i="7"/>
  <c r="Q419" i="7"/>
  <c r="S285" i="7"/>
  <c r="R419" i="7"/>
  <c r="T285" i="7"/>
  <c r="S419" i="7"/>
  <c r="T419" i="7"/>
  <c r="U285" i="7"/>
  <c r="U419" i="7"/>
  <c r="V285" i="7"/>
  <c r="V419" i="7"/>
  <c r="W285" i="7"/>
  <c r="X285" i="7"/>
  <c r="W419" i="7"/>
  <c r="Y285" i="7"/>
  <c r="X419" i="7"/>
  <c r="Y419" i="7"/>
  <c r="Z285" i="7"/>
  <c r="Z419" i="7"/>
  <c r="AA285" i="7"/>
  <c r="AB285" i="7"/>
  <c r="AA419" i="7"/>
  <c r="AC285" i="7"/>
  <c r="AB419" i="7"/>
  <c r="AC419" i="7"/>
  <c r="AD285" i="7"/>
  <c r="AD419" i="7"/>
  <c r="AE285" i="7"/>
  <c r="AF285" i="7"/>
  <c r="AE419" i="7"/>
  <c r="AF419" i="7"/>
  <c r="AG285" i="7"/>
  <c r="AG419" i="7"/>
  <c r="AH285" i="7"/>
  <c r="AH419" i="7"/>
  <c r="AI285" i="7"/>
  <c r="AI419" i="7"/>
  <c r="AJ285" i="7"/>
  <c r="AJ419" i="7"/>
  <c r="AK285" i="7"/>
  <c r="AK419" i="7"/>
  <c r="AL285" i="7"/>
  <c r="AL419" i="7"/>
  <c r="AM285" i="7"/>
  <c r="AN285" i="7"/>
  <c r="AM419" i="7"/>
  <c r="C308" i="7"/>
  <c r="F308" i="7"/>
  <c r="D308" i="7"/>
  <c r="C442" i="7"/>
  <c r="E308" i="7"/>
  <c r="D442" i="7"/>
  <c r="G308" i="7"/>
  <c r="E442" i="7"/>
  <c r="F442" i="7"/>
  <c r="G442" i="7"/>
  <c r="H308" i="7"/>
  <c r="I308" i="7"/>
  <c r="H442" i="7"/>
  <c r="I442" i="7"/>
  <c r="J308" i="7"/>
  <c r="J442" i="7"/>
  <c r="K308" i="7"/>
  <c r="L308" i="7"/>
  <c r="K442" i="7"/>
  <c r="M308" i="7"/>
  <c r="L442" i="7"/>
  <c r="M442" i="7"/>
  <c r="N308" i="7"/>
  <c r="N442" i="7"/>
  <c r="O308" i="7"/>
  <c r="P308" i="7"/>
  <c r="O442" i="7"/>
  <c r="P442" i="7"/>
  <c r="Q308" i="7"/>
  <c r="R308" i="7"/>
  <c r="Q442" i="7"/>
  <c r="R442" i="7"/>
  <c r="S308" i="7"/>
  <c r="T308" i="7"/>
  <c r="S442" i="7"/>
  <c r="U308" i="7"/>
  <c r="T442" i="7"/>
  <c r="V308" i="7"/>
  <c r="U442" i="7"/>
  <c r="V442" i="7"/>
  <c r="W308" i="7"/>
  <c r="W442" i="7"/>
  <c r="X308" i="7"/>
  <c r="Y308" i="7"/>
  <c r="X442" i="7"/>
  <c r="Y442" i="7"/>
  <c r="Z308" i="7"/>
  <c r="Z442" i="7"/>
  <c r="AA308" i="7"/>
  <c r="AA442" i="7"/>
  <c r="AB308" i="7"/>
  <c r="AB442" i="7"/>
  <c r="AC308" i="7"/>
  <c r="AC442" i="7"/>
  <c r="AD308" i="7"/>
  <c r="AD442" i="7"/>
  <c r="AE308" i="7"/>
  <c r="AF308" i="7"/>
  <c r="AE442" i="7"/>
  <c r="AG308" i="7"/>
  <c r="AF442" i="7"/>
  <c r="AG442" i="7"/>
  <c r="AH308" i="7"/>
  <c r="AI308" i="7"/>
  <c r="AH442" i="7"/>
  <c r="AI442" i="7"/>
  <c r="AJ308" i="7"/>
  <c r="AK308" i="7"/>
  <c r="AJ442" i="7"/>
  <c r="AK442" i="7"/>
  <c r="AL308" i="7"/>
  <c r="AL442" i="7"/>
  <c r="AM308" i="7"/>
  <c r="AN308" i="7"/>
  <c r="AM442" i="7"/>
  <c r="H339" i="7"/>
  <c r="D339" i="7"/>
  <c r="E339" i="7"/>
  <c r="G339" i="7"/>
  <c r="F339" i="7"/>
  <c r="C339" i="7"/>
  <c r="I339" i="7"/>
  <c r="J339" i="7"/>
  <c r="K339" i="7"/>
  <c r="J473" i="7"/>
  <c r="L339" i="7"/>
  <c r="I473" i="7"/>
  <c r="H473" i="7"/>
  <c r="C473" i="7"/>
  <c r="E473" i="7"/>
  <c r="G473" i="7"/>
  <c r="K473" i="7"/>
  <c r="F473" i="7"/>
  <c r="D473" i="7"/>
  <c r="L473" i="7"/>
  <c r="M339" i="7"/>
  <c r="M473" i="7"/>
  <c r="N339" i="7"/>
  <c r="N473" i="7"/>
  <c r="O339" i="7"/>
  <c r="P339" i="7"/>
  <c r="O473" i="7"/>
  <c r="P473" i="7"/>
  <c r="Q339" i="7"/>
  <c r="R339" i="7"/>
  <c r="Q473" i="7"/>
  <c r="R473" i="7"/>
  <c r="S339" i="7"/>
  <c r="T339" i="7"/>
  <c r="S473" i="7"/>
  <c r="U339" i="7"/>
  <c r="T473" i="7"/>
  <c r="V339" i="7"/>
  <c r="U473" i="7"/>
  <c r="V473" i="7"/>
  <c r="W339" i="7"/>
  <c r="W473" i="7"/>
  <c r="X339" i="7"/>
  <c r="X473" i="7"/>
  <c r="Y339" i="7"/>
  <c r="Y473" i="7"/>
  <c r="Z339" i="7"/>
  <c r="Z473" i="7"/>
  <c r="AA339" i="7"/>
  <c r="AB339" i="7"/>
  <c r="AA473" i="7"/>
  <c r="AC339" i="7"/>
  <c r="AB473" i="7"/>
  <c r="AC473" i="7"/>
  <c r="AD339" i="7"/>
  <c r="AE339" i="7"/>
  <c r="AD473" i="7"/>
  <c r="AF339" i="7"/>
  <c r="AE473" i="7"/>
  <c r="AG339" i="7"/>
  <c r="AF473" i="7"/>
  <c r="AH339" i="7"/>
  <c r="AG473" i="7"/>
  <c r="AI339" i="7"/>
  <c r="AH473" i="7"/>
  <c r="AI473" i="7"/>
  <c r="AJ339" i="7"/>
  <c r="AK339" i="7"/>
  <c r="AJ473" i="7"/>
  <c r="AL339" i="7"/>
  <c r="AK473" i="7"/>
  <c r="AL473" i="7"/>
  <c r="AM339" i="7"/>
  <c r="AN339" i="7"/>
  <c r="AM473" i="7"/>
  <c r="AO446" i="7"/>
  <c r="AO417" i="7"/>
  <c r="AN468" i="7"/>
  <c r="AN472" i="7"/>
  <c r="AO289" i="7"/>
  <c r="AO282" i="7"/>
  <c r="G286" i="7"/>
  <c r="F286" i="7"/>
  <c r="H286" i="7"/>
  <c r="D286" i="7"/>
  <c r="C286" i="7"/>
  <c r="I286" i="7"/>
  <c r="E286" i="7"/>
  <c r="J286" i="7"/>
  <c r="C420" i="7"/>
  <c r="K286" i="7"/>
  <c r="J420" i="7"/>
  <c r="I420" i="7"/>
  <c r="D420" i="7"/>
  <c r="F420" i="7"/>
  <c r="E420" i="7"/>
  <c r="G420" i="7"/>
  <c r="H420" i="7"/>
  <c r="L286" i="7"/>
  <c r="K420" i="7"/>
  <c r="M286" i="7"/>
  <c r="L420" i="7"/>
  <c r="N286" i="7"/>
  <c r="M420" i="7"/>
  <c r="O286" i="7"/>
  <c r="N420" i="7"/>
  <c r="P286" i="7"/>
  <c r="O420" i="7"/>
  <c r="P420" i="7"/>
  <c r="Q286" i="7"/>
  <c r="R286" i="7"/>
  <c r="Q420" i="7"/>
  <c r="S286" i="7"/>
  <c r="R420" i="7"/>
  <c r="T286" i="7"/>
  <c r="S420" i="7"/>
  <c r="T420" i="7"/>
  <c r="U286" i="7"/>
  <c r="V286" i="7"/>
  <c r="U420" i="7"/>
  <c r="V420" i="7"/>
  <c r="W286" i="7"/>
  <c r="X286" i="7"/>
  <c r="W420" i="7"/>
  <c r="Y286" i="7"/>
  <c r="X420" i="7"/>
  <c r="Z286" i="7"/>
  <c r="Y420" i="7"/>
  <c r="AA286" i="7"/>
  <c r="Z420" i="7"/>
  <c r="AB286" i="7"/>
  <c r="AA420" i="7"/>
  <c r="AC286" i="7"/>
  <c r="AB420" i="7"/>
  <c r="AD286" i="7"/>
  <c r="AC420" i="7"/>
  <c r="AE286" i="7"/>
  <c r="AD420" i="7"/>
  <c r="AF286" i="7"/>
  <c r="AE420" i="7"/>
  <c r="AG286" i="7"/>
  <c r="AF420" i="7"/>
  <c r="AH286" i="7"/>
  <c r="AG420" i="7"/>
  <c r="AI286" i="7"/>
  <c r="AH420" i="7"/>
  <c r="AI420" i="7"/>
  <c r="AJ286" i="7"/>
  <c r="AJ420" i="7"/>
  <c r="AK286" i="7"/>
  <c r="AK420" i="7"/>
  <c r="AL286" i="7"/>
  <c r="AM286" i="7"/>
  <c r="AL420" i="7"/>
  <c r="AM420" i="7"/>
  <c r="AN286" i="7"/>
  <c r="D309" i="7"/>
  <c r="F309" i="7"/>
  <c r="G309" i="7"/>
  <c r="E309" i="7"/>
  <c r="C309" i="7"/>
  <c r="G443" i="7"/>
  <c r="C443" i="7"/>
  <c r="H309" i="7"/>
  <c r="E443" i="7"/>
  <c r="F443" i="7"/>
  <c r="D443" i="7"/>
  <c r="I309" i="7"/>
  <c r="H443" i="7"/>
  <c r="I443" i="7"/>
  <c r="J309" i="7"/>
  <c r="J443" i="7"/>
  <c r="K309" i="7"/>
  <c r="L309" i="7"/>
  <c r="K443" i="7"/>
  <c r="L443" i="7"/>
  <c r="M309" i="7"/>
  <c r="M443" i="7"/>
  <c r="N309" i="7"/>
  <c r="N443" i="7"/>
  <c r="O309" i="7"/>
  <c r="P309" i="7"/>
  <c r="O443" i="7"/>
  <c r="Q309" i="7"/>
  <c r="P443" i="7"/>
  <c r="R309" i="7"/>
  <c r="Q443" i="7"/>
  <c r="R443" i="7"/>
  <c r="S309" i="7"/>
  <c r="T309" i="7"/>
  <c r="S443" i="7"/>
  <c r="U309" i="7"/>
  <c r="T443" i="7"/>
  <c r="V309" i="7"/>
  <c r="U443" i="7"/>
  <c r="V443" i="7"/>
  <c r="W309" i="7"/>
  <c r="X309" i="7"/>
  <c r="W443" i="7"/>
  <c r="Y309" i="7"/>
  <c r="X443" i="7"/>
  <c r="Z309" i="7"/>
  <c r="Y443" i="7"/>
  <c r="Z443" i="7"/>
  <c r="AA309" i="7"/>
  <c r="AA443" i="7"/>
  <c r="AB309" i="7"/>
  <c r="AC309" i="7"/>
  <c r="AB443" i="7"/>
  <c r="AD309" i="7"/>
  <c r="AC443" i="7"/>
  <c r="AE309" i="7"/>
  <c r="AD443" i="7"/>
  <c r="AF309" i="7"/>
  <c r="AE443" i="7"/>
  <c r="AF443" i="7"/>
  <c r="AG309" i="7"/>
  <c r="AG443" i="7"/>
  <c r="AH309" i="7"/>
  <c r="AH443" i="7"/>
  <c r="AI309" i="7"/>
  <c r="AJ309" i="7"/>
  <c r="AI443" i="7"/>
  <c r="AK309" i="7"/>
  <c r="AJ443" i="7"/>
  <c r="AK443" i="7"/>
  <c r="AL309" i="7"/>
  <c r="AL443" i="7"/>
  <c r="AM309" i="7"/>
  <c r="AM443" i="7"/>
  <c r="AN309" i="7"/>
  <c r="E340" i="7"/>
  <c r="D340" i="7"/>
  <c r="F340" i="7"/>
  <c r="L340" i="7"/>
  <c r="C340" i="7"/>
  <c r="K340" i="7"/>
  <c r="J340" i="7"/>
  <c r="I340" i="7"/>
  <c r="H340" i="7"/>
  <c r="G340" i="7"/>
  <c r="L474" i="7"/>
  <c r="M340" i="7"/>
  <c r="G474" i="7"/>
  <c r="C474" i="7"/>
  <c r="H474" i="7"/>
  <c r="F474" i="7"/>
  <c r="E474" i="7"/>
  <c r="I474" i="7"/>
  <c r="D474" i="7"/>
  <c r="J474" i="7"/>
  <c r="K474" i="7"/>
  <c r="M474" i="7"/>
  <c r="N340" i="7"/>
  <c r="O340" i="7"/>
  <c r="N474" i="7"/>
  <c r="O474" i="7"/>
  <c r="P340" i="7"/>
  <c r="Q340" i="7"/>
  <c r="P474" i="7"/>
  <c r="Q474" i="7"/>
  <c r="R340" i="7"/>
  <c r="R474" i="7"/>
  <c r="S340" i="7"/>
  <c r="S474" i="7"/>
  <c r="T340" i="7"/>
  <c r="U340" i="7"/>
  <c r="T474" i="7"/>
  <c r="U474" i="7"/>
  <c r="V340" i="7"/>
  <c r="W340" i="7"/>
  <c r="V474" i="7"/>
  <c r="W474" i="7"/>
  <c r="X340" i="7"/>
  <c r="X474" i="7"/>
  <c r="Y340" i="7"/>
  <c r="Y474" i="7"/>
  <c r="Z340" i="7"/>
  <c r="AA340" i="7"/>
  <c r="Z474" i="7"/>
  <c r="AA474" i="7"/>
  <c r="AB340" i="7"/>
  <c r="AC340" i="7"/>
  <c r="AB474" i="7"/>
  <c r="AD340" i="7"/>
  <c r="AC474" i="7"/>
  <c r="AE340" i="7"/>
  <c r="AD474" i="7"/>
  <c r="AE474" i="7"/>
  <c r="AF340" i="7"/>
  <c r="AF474" i="7"/>
  <c r="AG340" i="7"/>
  <c r="AG474" i="7"/>
  <c r="AH340" i="7"/>
  <c r="AH474" i="7"/>
  <c r="AI340" i="7"/>
  <c r="AJ340" i="7"/>
  <c r="AI474" i="7"/>
  <c r="AK340" i="7"/>
  <c r="AJ474" i="7"/>
  <c r="AK474" i="7"/>
  <c r="AL340" i="7"/>
  <c r="AM340" i="7"/>
  <c r="AL474" i="7"/>
  <c r="AM474" i="7"/>
  <c r="AN340" i="7"/>
  <c r="AO442" i="7"/>
  <c r="AO420" i="7"/>
  <c r="AO284" i="7"/>
  <c r="AO339" i="7"/>
  <c r="AN474" i="7"/>
  <c r="AN443" i="7"/>
  <c r="H287" i="7"/>
  <c r="G287" i="7"/>
  <c r="K287" i="7"/>
  <c r="F287" i="7"/>
  <c r="I287" i="7"/>
  <c r="J287" i="7"/>
  <c r="C287" i="7"/>
  <c r="D287" i="7"/>
  <c r="E287" i="7"/>
  <c r="G421" i="7"/>
  <c r="H421" i="7"/>
  <c r="D421" i="7"/>
  <c r="C421" i="7"/>
  <c r="I421" i="7"/>
  <c r="F421" i="7"/>
  <c r="L287" i="7"/>
  <c r="K421" i="7"/>
  <c r="J421" i="7"/>
  <c r="E421" i="7"/>
  <c r="L421" i="7"/>
  <c r="M287" i="7"/>
  <c r="M421" i="7"/>
  <c r="N287" i="7"/>
  <c r="N421" i="7"/>
  <c r="O287" i="7"/>
  <c r="O421" i="7"/>
  <c r="P287" i="7"/>
  <c r="P421" i="7"/>
  <c r="Q287" i="7"/>
  <c r="Q421" i="7"/>
  <c r="R287" i="7"/>
  <c r="R421" i="7"/>
  <c r="S287" i="7"/>
  <c r="S421" i="7"/>
  <c r="T287" i="7"/>
  <c r="U287" i="7"/>
  <c r="T421" i="7"/>
  <c r="V287" i="7"/>
  <c r="U421" i="7"/>
  <c r="V421" i="7"/>
  <c r="W287" i="7"/>
  <c r="X287" i="7"/>
  <c r="W421" i="7"/>
  <c r="X421" i="7"/>
  <c r="Y287" i="7"/>
  <c r="Y421" i="7"/>
  <c r="Z287" i="7"/>
  <c r="Z421" i="7"/>
  <c r="AA287" i="7"/>
  <c r="AB287" i="7"/>
  <c r="AA421" i="7"/>
  <c r="AB421" i="7"/>
  <c r="AC287" i="7"/>
  <c r="AC421" i="7"/>
  <c r="AD287" i="7"/>
  <c r="AE287" i="7"/>
  <c r="AD421" i="7"/>
  <c r="AF287" i="7"/>
  <c r="AE421" i="7"/>
  <c r="AG287" i="7"/>
  <c r="AF421" i="7"/>
  <c r="AH287" i="7"/>
  <c r="AG421" i="7"/>
  <c r="AI287" i="7"/>
  <c r="AH421" i="7"/>
  <c r="AJ287" i="7"/>
  <c r="AI421" i="7"/>
  <c r="AJ421" i="7"/>
  <c r="AK287" i="7"/>
  <c r="AK421" i="7"/>
  <c r="AL287" i="7"/>
  <c r="AM287" i="7"/>
  <c r="AL421" i="7"/>
  <c r="AM421" i="7"/>
  <c r="AN287" i="7"/>
  <c r="E310" i="7"/>
  <c r="C310" i="7"/>
  <c r="D310" i="7"/>
  <c r="G310" i="7"/>
  <c r="H310" i="7"/>
  <c r="F310" i="7"/>
  <c r="D444" i="7"/>
  <c r="C444" i="7"/>
  <c r="F444" i="7"/>
  <c r="G444" i="7"/>
  <c r="H444" i="7"/>
  <c r="E444" i="7"/>
  <c r="I310" i="7"/>
  <c r="J310" i="7"/>
  <c r="I444" i="7"/>
  <c r="K310" i="7"/>
  <c r="J444" i="7"/>
  <c r="K444" i="7"/>
  <c r="L310" i="7"/>
  <c r="L444" i="7"/>
  <c r="M310" i="7"/>
  <c r="N310" i="7"/>
  <c r="M444" i="7"/>
  <c r="N444" i="7"/>
  <c r="O310" i="7"/>
  <c r="P310" i="7"/>
  <c r="O444" i="7"/>
  <c r="P444" i="7"/>
  <c r="Q310" i="7"/>
  <c r="R310" i="7"/>
  <c r="Q444" i="7"/>
  <c r="S310" i="7"/>
  <c r="R444" i="7"/>
  <c r="T310" i="7"/>
  <c r="S444" i="7"/>
  <c r="T444" i="7"/>
  <c r="U310" i="7"/>
  <c r="U444" i="7"/>
  <c r="V310" i="7"/>
  <c r="W310" i="7"/>
  <c r="V444" i="7"/>
  <c r="X310" i="7"/>
  <c r="W444" i="7"/>
  <c r="X444" i="7"/>
  <c r="Y310" i="7"/>
  <c r="Y444" i="7"/>
  <c r="Z310" i="7"/>
  <c r="AA310" i="7"/>
  <c r="Z444" i="7"/>
  <c r="AA444" i="7"/>
  <c r="AB310" i="7"/>
  <c r="AB444" i="7"/>
  <c r="AC310" i="7"/>
  <c r="AC444" i="7"/>
  <c r="AD310" i="7"/>
  <c r="AE310" i="7"/>
  <c r="AD444" i="7"/>
  <c r="AE444" i="7"/>
  <c r="AF310" i="7"/>
  <c r="AG310" i="7"/>
  <c r="AF444" i="7"/>
  <c r="AH310" i="7"/>
  <c r="AG444" i="7"/>
  <c r="AI310" i="7"/>
  <c r="AH444" i="7"/>
  <c r="AI444" i="7"/>
  <c r="AJ310" i="7"/>
  <c r="AK310" i="7"/>
  <c r="AJ444" i="7"/>
  <c r="AL310" i="7"/>
  <c r="AK444" i="7"/>
  <c r="AM310" i="7"/>
  <c r="AL444" i="7"/>
  <c r="AM444" i="7"/>
  <c r="AN310" i="7"/>
  <c r="C333" i="7"/>
  <c r="C467" i="7"/>
  <c r="D333" i="7"/>
  <c r="F333" i="7"/>
  <c r="D467" i="7"/>
  <c r="E333" i="7"/>
  <c r="G333" i="7"/>
  <c r="E467" i="7"/>
  <c r="F467" i="7"/>
  <c r="G467" i="7"/>
  <c r="H333" i="7"/>
  <c r="I333" i="7"/>
  <c r="H467" i="7"/>
  <c r="J333" i="7"/>
  <c r="I467" i="7"/>
  <c r="J467" i="7"/>
  <c r="K333" i="7"/>
  <c r="L333" i="7"/>
  <c r="K467" i="7"/>
  <c r="L467" i="7"/>
  <c r="M333" i="7"/>
  <c r="M467" i="7"/>
  <c r="N333" i="7"/>
  <c r="N467" i="7"/>
  <c r="O333" i="7"/>
  <c r="P333" i="7"/>
  <c r="O467" i="7"/>
  <c r="Q333" i="7"/>
  <c r="P467" i="7"/>
  <c r="Q467" i="7"/>
  <c r="R333" i="7"/>
  <c r="R467" i="7"/>
  <c r="S333" i="7"/>
  <c r="S467" i="7"/>
  <c r="T333" i="7"/>
  <c r="U333" i="7"/>
  <c r="T467" i="7"/>
  <c r="U467" i="7"/>
  <c r="V333" i="7"/>
  <c r="V467" i="7"/>
  <c r="W333" i="7"/>
  <c r="X333" i="7"/>
  <c r="W467" i="7"/>
  <c r="Y333" i="7"/>
  <c r="X467" i="7"/>
  <c r="Y467" i="7"/>
  <c r="Z333" i="7"/>
  <c r="AA333" i="7"/>
  <c r="Z467" i="7"/>
  <c r="AB333" i="7"/>
  <c r="AA467" i="7"/>
  <c r="AC333" i="7"/>
  <c r="AB467" i="7"/>
  <c r="AC467" i="7"/>
  <c r="AD333" i="7"/>
  <c r="AD467" i="7"/>
  <c r="AE333" i="7"/>
  <c r="AE467" i="7"/>
  <c r="AF333" i="7"/>
  <c r="AG333" i="7"/>
  <c r="AF467" i="7"/>
  <c r="AH333" i="7"/>
  <c r="AG467" i="7"/>
  <c r="AI333" i="7"/>
  <c r="AH467" i="7"/>
  <c r="AJ333" i="7"/>
  <c r="AI467" i="7"/>
  <c r="AK333" i="7"/>
  <c r="AJ467" i="7"/>
  <c r="AL333" i="7"/>
  <c r="AK467" i="7"/>
  <c r="AL467" i="7"/>
  <c r="AM333" i="7"/>
  <c r="AN333" i="7"/>
  <c r="AM467" i="7"/>
  <c r="C341" i="7"/>
  <c r="L341" i="7"/>
  <c r="D341" i="7"/>
  <c r="I341" i="7"/>
  <c r="E341" i="7"/>
  <c r="K341" i="7"/>
  <c r="G341" i="7"/>
  <c r="F341" i="7"/>
  <c r="J341" i="7"/>
  <c r="H341" i="7"/>
  <c r="M341" i="7"/>
  <c r="F475" i="7"/>
  <c r="G475" i="7"/>
  <c r="K475" i="7"/>
  <c r="H475" i="7"/>
  <c r="D475" i="7"/>
  <c r="E475" i="7"/>
  <c r="L475" i="7"/>
  <c r="C475" i="7"/>
  <c r="J475" i="7"/>
  <c r="M475" i="7"/>
  <c r="N341" i="7"/>
  <c r="I475" i="7"/>
  <c r="N475" i="7"/>
  <c r="O341" i="7"/>
  <c r="O475" i="7"/>
  <c r="P341" i="7"/>
  <c r="P475" i="7"/>
  <c r="Q341" i="7"/>
  <c r="R341" i="7"/>
  <c r="Q475" i="7"/>
  <c r="S341" i="7"/>
  <c r="R475" i="7"/>
  <c r="T341" i="7"/>
  <c r="S475" i="7"/>
  <c r="T475" i="7"/>
  <c r="U341" i="7"/>
  <c r="V341" i="7"/>
  <c r="U475" i="7"/>
  <c r="W341" i="7"/>
  <c r="V475" i="7"/>
  <c r="W475" i="7"/>
  <c r="X341" i="7"/>
  <c r="X475" i="7"/>
  <c r="Y341" i="7"/>
  <c r="Y475" i="7"/>
  <c r="Z341" i="7"/>
  <c r="AA341" i="7"/>
  <c r="Z475" i="7"/>
  <c r="AB341" i="7"/>
  <c r="AA475" i="7"/>
  <c r="AB475" i="7"/>
  <c r="AC341" i="7"/>
  <c r="AC475" i="7"/>
  <c r="AD341" i="7"/>
  <c r="AD475" i="7"/>
  <c r="AE341" i="7"/>
  <c r="AF341" i="7"/>
  <c r="AE475" i="7"/>
  <c r="AF475" i="7"/>
  <c r="AG341" i="7"/>
  <c r="AH341" i="7"/>
  <c r="AG475" i="7"/>
  <c r="AH475" i="7"/>
  <c r="AI341" i="7"/>
  <c r="AJ341" i="7"/>
  <c r="AI475" i="7"/>
  <c r="AK341" i="7"/>
  <c r="AJ475" i="7"/>
  <c r="AL341" i="7"/>
  <c r="AK475" i="7"/>
  <c r="AL475" i="7"/>
  <c r="AM341" i="7"/>
  <c r="AN341" i="7"/>
  <c r="AM475" i="7"/>
  <c r="AO473" i="7"/>
  <c r="AO422" i="7"/>
  <c r="AO340" i="7"/>
  <c r="AO315" i="7"/>
  <c r="AO314" i="7"/>
  <c r="AN420" i="7"/>
  <c r="AO309" i="7"/>
  <c r="E311" i="7"/>
  <c r="I311" i="7"/>
  <c r="F311" i="7"/>
  <c r="H311" i="7"/>
  <c r="C311" i="7"/>
  <c r="G311" i="7"/>
  <c r="D311" i="7"/>
  <c r="C445" i="7"/>
  <c r="E445" i="7"/>
  <c r="J311" i="7"/>
  <c r="F445" i="7"/>
  <c r="H445" i="7"/>
  <c r="I445" i="7"/>
  <c r="D445" i="7"/>
  <c r="G445" i="7"/>
  <c r="J445" i="7"/>
  <c r="K311" i="7"/>
  <c r="K445" i="7"/>
  <c r="L311" i="7"/>
  <c r="L445" i="7"/>
  <c r="M311" i="7"/>
  <c r="N311" i="7"/>
  <c r="M445" i="7"/>
  <c r="O311" i="7"/>
  <c r="N445" i="7"/>
  <c r="P311" i="7"/>
  <c r="O445" i="7"/>
  <c r="P445" i="7"/>
  <c r="Q311" i="7"/>
  <c r="Q445" i="7"/>
  <c r="R311" i="7"/>
  <c r="S311" i="7"/>
  <c r="R445" i="7"/>
  <c r="T311" i="7"/>
  <c r="S445" i="7"/>
  <c r="U311" i="7"/>
  <c r="T445" i="7"/>
  <c r="V311" i="7"/>
  <c r="U445" i="7"/>
  <c r="V445" i="7"/>
  <c r="W311" i="7"/>
  <c r="X311" i="7"/>
  <c r="W445" i="7"/>
  <c r="X445" i="7"/>
  <c r="Y311" i="7"/>
  <c r="Y445" i="7"/>
  <c r="Z311" i="7"/>
  <c r="AA311" i="7"/>
  <c r="Z445" i="7"/>
  <c r="AB311" i="7"/>
  <c r="AA445" i="7"/>
  <c r="AC311" i="7"/>
  <c r="AB445" i="7"/>
  <c r="AC445" i="7"/>
  <c r="AD311" i="7"/>
  <c r="AE311" i="7"/>
  <c r="AD445" i="7"/>
  <c r="AE445" i="7"/>
  <c r="AF311" i="7"/>
  <c r="AG311" i="7"/>
  <c r="AF445" i="7"/>
  <c r="AG445" i="7"/>
  <c r="AH311" i="7"/>
  <c r="AH445" i="7"/>
  <c r="AI311" i="7"/>
  <c r="AJ311" i="7"/>
  <c r="AI445" i="7"/>
  <c r="AK311" i="7"/>
  <c r="AJ445" i="7"/>
  <c r="AL311" i="7"/>
  <c r="AK445" i="7"/>
  <c r="AM311" i="7"/>
  <c r="AL445" i="7"/>
  <c r="AM445" i="7"/>
  <c r="AN311" i="7"/>
  <c r="C281" i="7"/>
  <c r="D281" i="7"/>
  <c r="F281" i="7"/>
  <c r="E281" i="7"/>
  <c r="C415" i="7"/>
  <c r="D415" i="7"/>
  <c r="E415" i="7"/>
  <c r="F415" i="7"/>
  <c r="G281" i="7"/>
  <c r="G415" i="7"/>
  <c r="H281" i="7"/>
  <c r="I281" i="7"/>
  <c r="H415" i="7"/>
  <c r="I415" i="7"/>
  <c r="J281" i="7"/>
  <c r="K281" i="7"/>
  <c r="J415" i="7"/>
  <c r="K415" i="7"/>
  <c r="L281" i="7"/>
  <c r="L415" i="7"/>
  <c r="M281" i="7"/>
  <c r="N281" i="7"/>
  <c r="M415" i="7"/>
  <c r="O281" i="7"/>
  <c r="N415" i="7"/>
  <c r="O415" i="7"/>
  <c r="P281" i="7"/>
  <c r="Q281" i="7"/>
  <c r="P415" i="7"/>
  <c r="R281" i="7"/>
  <c r="Q415" i="7"/>
  <c r="S281" i="7"/>
  <c r="R415" i="7"/>
  <c r="T281" i="7"/>
  <c r="S415" i="7"/>
  <c r="T415" i="7"/>
  <c r="U281" i="7"/>
  <c r="U415" i="7"/>
  <c r="V281" i="7"/>
  <c r="W281" i="7"/>
  <c r="V415" i="7"/>
  <c r="X281" i="7"/>
  <c r="W415" i="7"/>
  <c r="X415" i="7"/>
  <c r="Y281" i="7"/>
  <c r="Y415" i="7"/>
  <c r="Z281" i="7"/>
  <c r="Z415" i="7"/>
  <c r="AA281" i="7"/>
  <c r="AB281" i="7"/>
  <c r="AA415" i="7"/>
  <c r="AB415" i="7"/>
  <c r="AC281" i="7"/>
  <c r="AD281" i="7"/>
  <c r="AC415" i="7"/>
  <c r="AD415" i="7"/>
  <c r="AE281" i="7"/>
  <c r="AE415" i="7"/>
  <c r="AF281" i="7"/>
  <c r="AF415" i="7"/>
  <c r="AG281" i="7"/>
  <c r="AH281" i="7"/>
  <c r="AG415" i="7"/>
  <c r="AI281" i="7"/>
  <c r="AH415" i="7"/>
  <c r="AI415" i="7"/>
  <c r="AJ281" i="7"/>
  <c r="AJ415" i="7"/>
  <c r="AK281" i="7"/>
  <c r="AL281" i="7"/>
  <c r="AK415" i="7"/>
  <c r="AM281" i="7"/>
  <c r="AL415" i="7"/>
  <c r="AM415" i="7"/>
  <c r="AN281" i="7"/>
  <c r="G289" i="7"/>
  <c r="C289" i="7"/>
  <c r="J289" i="7"/>
  <c r="H289" i="7"/>
  <c r="E289" i="7"/>
  <c r="L289" i="7"/>
  <c r="I289" i="7"/>
  <c r="F289" i="7"/>
  <c r="K289" i="7"/>
  <c r="M289" i="7"/>
  <c r="D289" i="7"/>
  <c r="K423" i="7"/>
  <c r="H423" i="7"/>
  <c r="M423" i="7"/>
  <c r="J423" i="7"/>
  <c r="N289" i="7"/>
  <c r="F423" i="7"/>
  <c r="D423" i="7"/>
  <c r="L423" i="7"/>
  <c r="E423" i="7"/>
  <c r="I423" i="7"/>
  <c r="G423" i="7"/>
  <c r="C423" i="7"/>
  <c r="O289" i="7"/>
  <c r="N423" i="7"/>
  <c r="O423" i="7"/>
  <c r="P289" i="7"/>
  <c r="P423" i="7"/>
  <c r="Q289" i="7"/>
  <c r="R289" i="7"/>
  <c r="Q423" i="7"/>
  <c r="R423" i="7"/>
  <c r="S289" i="7"/>
  <c r="T289" i="7"/>
  <c r="S423" i="7"/>
  <c r="U289" i="7"/>
  <c r="T423" i="7"/>
  <c r="U423" i="7"/>
  <c r="V289" i="7"/>
  <c r="V423" i="7"/>
  <c r="W289" i="7"/>
  <c r="X289" i="7"/>
  <c r="W423" i="7"/>
  <c r="Y289" i="7"/>
  <c r="X423" i="7"/>
  <c r="Z289" i="7"/>
  <c r="Y423" i="7"/>
  <c r="AA289" i="7"/>
  <c r="Z423" i="7"/>
  <c r="AB289" i="7"/>
  <c r="AA423" i="7"/>
  <c r="AC289" i="7"/>
  <c r="AB423" i="7"/>
  <c r="AD289" i="7"/>
  <c r="AC423" i="7"/>
  <c r="AE289" i="7"/>
  <c r="AD423" i="7"/>
  <c r="AF289" i="7"/>
  <c r="AE423" i="7"/>
  <c r="AF423" i="7"/>
  <c r="AG289" i="7"/>
  <c r="AG423" i="7"/>
  <c r="AH289" i="7"/>
  <c r="AH423" i="7"/>
  <c r="AI289" i="7"/>
  <c r="AJ289" i="7"/>
  <c r="AI423" i="7"/>
  <c r="AJ423" i="7"/>
  <c r="AK289" i="7"/>
  <c r="AL289" i="7"/>
  <c r="AK423" i="7"/>
  <c r="AM289" i="7"/>
  <c r="AL423" i="7"/>
  <c r="AM423" i="7"/>
  <c r="AN289" i="7"/>
  <c r="I312" i="7"/>
  <c r="E312" i="7"/>
  <c r="D312" i="7"/>
  <c r="F312" i="7"/>
  <c r="H312" i="7"/>
  <c r="J312" i="7"/>
  <c r="C312" i="7"/>
  <c r="G312" i="7"/>
  <c r="J446" i="7"/>
  <c r="K312" i="7"/>
  <c r="E446" i="7"/>
  <c r="G446" i="7"/>
  <c r="F446" i="7"/>
  <c r="I446" i="7"/>
  <c r="D446" i="7"/>
  <c r="C446" i="7"/>
  <c r="H446" i="7"/>
  <c r="L312" i="7"/>
  <c r="K446" i="7"/>
  <c r="L446" i="7"/>
  <c r="M312" i="7"/>
  <c r="N312" i="7"/>
  <c r="M446" i="7"/>
  <c r="O312" i="7"/>
  <c r="N446" i="7"/>
  <c r="P312" i="7"/>
  <c r="O446" i="7"/>
  <c r="P446" i="7"/>
  <c r="Q312" i="7"/>
  <c r="Q446" i="7"/>
  <c r="R312" i="7"/>
  <c r="S312" i="7"/>
  <c r="R446" i="7"/>
  <c r="S446" i="7"/>
  <c r="T312" i="7"/>
  <c r="T446" i="7"/>
  <c r="U312" i="7"/>
  <c r="U446" i="7"/>
  <c r="V312" i="7"/>
  <c r="W312" i="7"/>
  <c r="V446" i="7"/>
  <c r="W446" i="7"/>
  <c r="X312" i="7"/>
  <c r="X446" i="7"/>
  <c r="Y312" i="7"/>
  <c r="Y446" i="7"/>
  <c r="Z312" i="7"/>
  <c r="Z446" i="7"/>
  <c r="AA312" i="7"/>
  <c r="AA446" i="7"/>
  <c r="AB312" i="7"/>
  <c r="AB446" i="7"/>
  <c r="AC312" i="7"/>
  <c r="AC446" i="7"/>
  <c r="AD312" i="7"/>
  <c r="AE312" i="7"/>
  <c r="AD446" i="7"/>
  <c r="AF312" i="7"/>
  <c r="AE446" i="7"/>
  <c r="AG312" i="7"/>
  <c r="AF446" i="7"/>
  <c r="AG446" i="7"/>
  <c r="AH312" i="7"/>
  <c r="AI312" i="7"/>
  <c r="AH446" i="7"/>
  <c r="AJ312" i="7"/>
  <c r="AI446" i="7"/>
  <c r="AK312" i="7"/>
  <c r="AJ446" i="7"/>
  <c r="AK446" i="7"/>
  <c r="AL312" i="7"/>
  <c r="AM312" i="7"/>
  <c r="AL446" i="7"/>
  <c r="AM446" i="7"/>
  <c r="AN312" i="7"/>
  <c r="F335" i="7"/>
  <c r="G335" i="7"/>
  <c r="E335" i="7"/>
  <c r="C335" i="7"/>
  <c r="D335" i="7"/>
  <c r="F469" i="7"/>
  <c r="C469" i="7"/>
  <c r="D469" i="7"/>
  <c r="H335" i="7"/>
  <c r="E469" i="7"/>
  <c r="G469" i="7"/>
  <c r="I335" i="7"/>
  <c r="H469" i="7"/>
  <c r="I469" i="7"/>
  <c r="J335" i="7"/>
  <c r="J469" i="7"/>
  <c r="K335" i="7"/>
  <c r="K469" i="7"/>
  <c r="L335" i="7"/>
  <c r="M335" i="7"/>
  <c r="L469" i="7"/>
  <c r="N335" i="7"/>
  <c r="M469" i="7"/>
  <c r="O335" i="7"/>
  <c r="N469" i="7"/>
  <c r="P335" i="7"/>
  <c r="O469" i="7"/>
  <c r="P469" i="7"/>
  <c r="Q335" i="7"/>
  <c r="Q469" i="7"/>
  <c r="R335" i="7"/>
  <c r="S335" i="7"/>
  <c r="R469" i="7"/>
  <c r="S469" i="7"/>
  <c r="T335" i="7"/>
  <c r="U335" i="7"/>
  <c r="T469" i="7"/>
  <c r="V335" i="7"/>
  <c r="U469" i="7"/>
  <c r="V469" i="7"/>
  <c r="W335" i="7"/>
  <c r="W469" i="7"/>
  <c r="X335" i="7"/>
  <c r="X469" i="7"/>
  <c r="Y335" i="7"/>
  <c r="Y469" i="7"/>
  <c r="Z335" i="7"/>
  <c r="AA335" i="7"/>
  <c r="Z469" i="7"/>
  <c r="AB335" i="7"/>
  <c r="AA469" i="7"/>
  <c r="AC335" i="7"/>
  <c r="AB469" i="7"/>
  <c r="AD335" i="7"/>
  <c r="AC469" i="7"/>
  <c r="AE335" i="7"/>
  <c r="AD469" i="7"/>
  <c r="AF335" i="7"/>
  <c r="AE469" i="7"/>
  <c r="AG335" i="7"/>
  <c r="AF469" i="7"/>
  <c r="AG469" i="7"/>
  <c r="AH335" i="7"/>
  <c r="AI335" i="7"/>
  <c r="AH469" i="7"/>
  <c r="AI469" i="7"/>
  <c r="AJ335" i="7"/>
  <c r="AK335" i="7"/>
  <c r="AJ469" i="7"/>
  <c r="AK469" i="7"/>
  <c r="AL335" i="7"/>
  <c r="AM335" i="7"/>
  <c r="AL469" i="7"/>
  <c r="AN335" i="7"/>
  <c r="AM469" i="7"/>
  <c r="AO449" i="7"/>
  <c r="AN446" i="7"/>
  <c r="AN445" i="7"/>
  <c r="AO285" i="7"/>
  <c r="C288" i="7"/>
  <c r="F288" i="7"/>
  <c r="D288" i="7"/>
  <c r="L288" i="7"/>
  <c r="E288" i="7"/>
  <c r="I288" i="7"/>
  <c r="H288" i="7"/>
  <c r="J288" i="7"/>
  <c r="G288" i="7"/>
  <c r="K288" i="7"/>
  <c r="L422" i="7"/>
  <c r="D422" i="7"/>
  <c r="C422" i="7"/>
  <c r="E422" i="7"/>
  <c r="F422" i="7"/>
  <c r="H422" i="7"/>
  <c r="I422" i="7"/>
  <c r="M288" i="7"/>
  <c r="K422" i="7"/>
  <c r="J422" i="7"/>
  <c r="G422" i="7"/>
  <c r="M422" i="7"/>
  <c r="N288" i="7"/>
  <c r="O288" i="7"/>
  <c r="N422" i="7"/>
  <c r="P288" i="7"/>
  <c r="O422" i="7"/>
  <c r="Q288" i="7"/>
  <c r="P422" i="7"/>
  <c r="R288" i="7"/>
  <c r="Q422" i="7"/>
  <c r="R422" i="7"/>
  <c r="S288" i="7"/>
  <c r="S422" i="7"/>
  <c r="T288" i="7"/>
  <c r="T422" i="7"/>
  <c r="U288" i="7"/>
  <c r="U422" i="7"/>
  <c r="V288" i="7"/>
  <c r="V422" i="7"/>
  <c r="W288" i="7"/>
  <c r="W422" i="7"/>
  <c r="X288" i="7"/>
  <c r="Y288" i="7"/>
  <c r="X422" i="7"/>
  <c r="Y422" i="7"/>
  <c r="Z288" i="7"/>
  <c r="AA288" i="7"/>
  <c r="Z422" i="7"/>
  <c r="AB288" i="7"/>
  <c r="AA422" i="7"/>
  <c r="AC288" i="7"/>
  <c r="AB422" i="7"/>
  <c r="AC422" i="7"/>
  <c r="AD288" i="7"/>
  <c r="AD422" i="7"/>
  <c r="AE288" i="7"/>
  <c r="AF288" i="7"/>
  <c r="AE422" i="7"/>
  <c r="AF422" i="7"/>
  <c r="AG288" i="7"/>
  <c r="AG422" i="7"/>
  <c r="AH288" i="7"/>
  <c r="AI288" i="7"/>
  <c r="AH422" i="7"/>
  <c r="AJ288" i="7"/>
  <c r="AI422" i="7"/>
  <c r="AK288" i="7"/>
  <c r="AJ422" i="7"/>
  <c r="AK422" i="7"/>
  <c r="AL288" i="7"/>
  <c r="AM288" i="7"/>
  <c r="AL422" i="7"/>
  <c r="AM422" i="7"/>
  <c r="AN288" i="7"/>
  <c r="C282" i="7"/>
  <c r="D282" i="7"/>
  <c r="C416" i="7"/>
  <c r="E282" i="7"/>
  <c r="F282" i="7"/>
  <c r="G282" i="7"/>
  <c r="D416" i="7"/>
  <c r="G416" i="7"/>
  <c r="H282" i="7"/>
  <c r="F416" i="7"/>
  <c r="E416" i="7"/>
  <c r="H416" i="7"/>
  <c r="I282" i="7"/>
  <c r="J282" i="7"/>
  <c r="I416" i="7"/>
  <c r="J416" i="7"/>
  <c r="K282" i="7"/>
  <c r="K416" i="7"/>
  <c r="L282" i="7"/>
  <c r="L416" i="7"/>
  <c r="M282" i="7"/>
  <c r="N282" i="7"/>
  <c r="M416" i="7"/>
  <c r="N416" i="7"/>
  <c r="O282" i="7"/>
  <c r="P282" i="7"/>
  <c r="O416" i="7"/>
  <c r="Q282" i="7"/>
  <c r="P416" i="7"/>
  <c r="R282" i="7"/>
  <c r="Q416" i="7"/>
  <c r="R416" i="7"/>
  <c r="S282" i="7"/>
  <c r="T282" i="7"/>
  <c r="S416" i="7"/>
  <c r="U282" i="7"/>
  <c r="T416" i="7"/>
  <c r="V282" i="7"/>
  <c r="U416" i="7"/>
  <c r="W282" i="7"/>
  <c r="V416" i="7"/>
  <c r="W416" i="7"/>
  <c r="X282" i="7"/>
  <c r="Y282" i="7"/>
  <c r="X416" i="7"/>
  <c r="Z282" i="7"/>
  <c r="Y416" i="7"/>
  <c r="Z416" i="7"/>
  <c r="AA282" i="7"/>
  <c r="AA416" i="7"/>
  <c r="AB282" i="7"/>
  <c r="AC282" i="7"/>
  <c r="AB416" i="7"/>
  <c r="AD282" i="7"/>
  <c r="AC416" i="7"/>
  <c r="AE282" i="7"/>
  <c r="AD416" i="7"/>
  <c r="AE416" i="7"/>
  <c r="AF282" i="7"/>
  <c r="AG282" i="7"/>
  <c r="AF416" i="7"/>
  <c r="AH282" i="7"/>
  <c r="AG416" i="7"/>
  <c r="AH416" i="7"/>
  <c r="AI282" i="7"/>
  <c r="AI416" i="7"/>
  <c r="AJ282" i="7"/>
  <c r="AK282" i="7"/>
  <c r="AJ416" i="7"/>
  <c r="AK416" i="7"/>
  <c r="AL282" i="7"/>
  <c r="AM282" i="7"/>
  <c r="AL416" i="7"/>
  <c r="AN282" i="7"/>
  <c r="AM416" i="7"/>
  <c r="I313" i="7"/>
  <c r="H313" i="7"/>
  <c r="E313" i="7"/>
  <c r="C313" i="7"/>
  <c r="K313" i="7"/>
  <c r="D313" i="7"/>
  <c r="G313" i="7"/>
  <c r="J313" i="7"/>
  <c r="F313" i="7"/>
  <c r="C447" i="7"/>
  <c r="L313" i="7"/>
  <c r="J447" i="7"/>
  <c r="E447" i="7"/>
  <c r="H447" i="7"/>
  <c r="G447" i="7"/>
  <c r="F447" i="7"/>
  <c r="I447" i="7"/>
  <c r="K447" i="7"/>
  <c r="D447" i="7"/>
  <c r="L447" i="7"/>
  <c r="M313" i="7"/>
  <c r="N313" i="7"/>
  <c r="M447" i="7"/>
  <c r="N447" i="7"/>
  <c r="O313" i="7"/>
  <c r="O447" i="7"/>
  <c r="P313" i="7"/>
  <c r="P447" i="7"/>
  <c r="Q313" i="7"/>
  <c r="R313" i="7"/>
  <c r="Q447" i="7"/>
  <c r="R447" i="7"/>
  <c r="S313" i="7"/>
  <c r="T313" i="7"/>
  <c r="S447" i="7"/>
  <c r="U313" i="7"/>
  <c r="T447" i="7"/>
  <c r="U447" i="7"/>
  <c r="V313" i="7"/>
  <c r="V447" i="7"/>
  <c r="W313" i="7"/>
  <c r="X313" i="7"/>
  <c r="W447" i="7"/>
  <c r="Y313" i="7"/>
  <c r="X447" i="7"/>
  <c r="Z313" i="7"/>
  <c r="Y447" i="7"/>
  <c r="AA313" i="7"/>
  <c r="Z447" i="7"/>
  <c r="AA447" i="7"/>
  <c r="AB313" i="7"/>
  <c r="AC313" i="7"/>
  <c r="AB447" i="7"/>
  <c r="AD313" i="7"/>
  <c r="AC447" i="7"/>
  <c r="AE313" i="7"/>
  <c r="AD447" i="7"/>
  <c r="AE447" i="7"/>
  <c r="AF313" i="7"/>
  <c r="AF447" i="7"/>
  <c r="AG313" i="7"/>
  <c r="AH313" i="7"/>
  <c r="AG447" i="7"/>
  <c r="AH447" i="7"/>
  <c r="AI313" i="7"/>
  <c r="AJ313" i="7"/>
  <c r="AI447" i="7"/>
  <c r="AK313" i="7"/>
  <c r="AJ447" i="7"/>
  <c r="AL313" i="7"/>
  <c r="AK447" i="7"/>
  <c r="AL447" i="7"/>
  <c r="AM313" i="7"/>
  <c r="AM447" i="7"/>
  <c r="AN313" i="7"/>
  <c r="C336" i="7"/>
  <c r="E336" i="7"/>
  <c r="F336" i="7"/>
  <c r="H336" i="7"/>
  <c r="D336" i="7"/>
  <c r="G336" i="7"/>
  <c r="F470" i="7"/>
  <c r="G470" i="7"/>
  <c r="D470" i="7"/>
  <c r="E470" i="7"/>
  <c r="C470" i="7"/>
  <c r="I336" i="7"/>
  <c r="H470" i="7"/>
  <c r="I470" i="7"/>
  <c r="J336" i="7"/>
  <c r="K336" i="7"/>
  <c r="J470" i="7"/>
  <c r="K470" i="7"/>
  <c r="L336" i="7"/>
  <c r="L470" i="7"/>
  <c r="M336" i="7"/>
  <c r="N336" i="7"/>
  <c r="M470" i="7"/>
  <c r="O336" i="7"/>
  <c r="N470" i="7"/>
  <c r="O470" i="7"/>
  <c r="P336" i="7"/>
  <c r="Q336" i="7"/>
  <c r="P470" i="7"/>
  <c r="R336" i="7"/>
  <c r="Q470" i="7"/>
  <c r="R470" i="7"/>
  <c r="S336" i="7"/>
  <c r="T336" i="7"/>
  <c r="S470" i="7"/>
  <c r="U336" i="7"/>
  <c r="T470" i="7"/>
  <c r="V336" i="7"/>
  <c r="U470" i="7"/>
  <c r="V470" i="7"/>
  <c r="W336" i="7"/>
  <c r="X336" i="7"/>
  <c r="W470" i="7"/>
  <c r="Y336" i="7"/>
  <c r="X470" i="7"/>
  <c r="Y470" i="7"/>
  <c r="Z336" i="7"/>
  <c r="AA336" i="7"/>
  <c r="Z470" i="7"/>
  <c r="AA470" i="7"/>
  <c r="AB336" i="7"/>
  <c r="AB470" i="7"/>
  <c r="AC336" i="7"/>
  <c r="AC470" i="7"/>
  <c r="AD336" i="7"/>
  <c r="AE336" i="7"/>
  <c r="AD470" i="7"/>
  <c r="AE470" i="7"/>
  <c r="AF336" i="7"/>
  <c r="AG336" i="7"/>
  <c r="AF470" i="7"/>
  <c r="AG470" i="7"/>
  <c r="AH336" i="7"/>
  <c r="AH470" i="7"/>
  <c r="AI336" i="7"/>
  <c r="AJ336" i="7"/>
  <c r="AI470" i="7"/>
  <c r="AK336" i="7"/>
  <c r="AJ470" i="7"/>
  <c r="AL336" i="7"/>
  <c r="AK470" i="7"/>
  <c r="AM336" i="7"/>
  <c r="AL470" i="7"/>
  <c r="AN336" i="7"/>
  <c r="AM470" i="7"/>
  <c r="AO474" i="7"/>
  <c r="AO445" i="7"/>
  <c r="AN473" i="7"/>
  <c r="AN415" i="7"/>
  <c r="AN475" i="7"/>
  <c r="AO312" i="7"/>
  <c r="AO335" i="7"/>
  <c r="E283" i="7"/>
  <c r="C283" i="7"/>
  <c r="D283" i="7"/>
  <c r="F283" i="7"/>
  <c r="G283" i="7"/>
  <c r="G417" i="7"/>
  <c r="E417" i="7"/>
  <c r="F417" i="7"/>
  <c r="C417" i="7"/>
  <c r="H283" i="7"/>
  <c r="D417" i="7"/>
  <c r="I283" i="7"/>
  <c r="H417" i="7"/>
  <c r="J283" i="7"/>
  <c r="I417" i="7"/>
  <c r="K283" i="7"/>
  <c r="J417" i="7"/>
  <c r="L283" i="7"/>
  <c r="K417" i="7"/>
  <c r="L417" i="7"/>
  <c r="M283" i="7"/>
  <c r="N283" i="7"/>
  <c r="M417" i="7"/>
  <c r="O283" i="7"/>
  <c r="N417" i="7"/>
  <c r="P283" i="7"/>
  <c r="O417" i="7"/>
  <c r="P417" i="7"/>
  <c r="Q283" i="7"/>
  <c r="Q417" i="7"/>
  <c r="R283" i="7"/>
  <c r="S283" i="7"/>
  <c r="R417" i="7"/>
  <c r="T283" i="7"/>
  <c r="S417" i="7"/>
  <c r="U283" i="7"/>
  <c r="T417" i="7"/>
  <c r="V283" i="7"/>
  <c r="U417" i="7"/>
  <c r="V417" i="7"/>
  <c r="W283" i="7"/>
  <c r="W417" i="7"/>
  <c r="X283" i="7"/>
  <c r="X417" i="7"/>
  <c r="Y283" i="7"/>
  <c r="Y417" i="7"/>
  <c r="Z283" i="7"/>
  <c r="AA283" i="7"/>
  <c r="Z417" i="7"/>
  <c r="AA417" i="7"/>
  <c r="AB283" i="7"/>
  <c r="AB417" i="7"/>
  <c r="AC283" i="7"/>
  <c r="AC417" i="7"/>
  <c r="AD283" i="7"/>
  <c r="AE283" i="7"/>
  <c r="AD417" i="7"/>
  <c r="AF283" i="7"/>
  <c r="AE417" i="7"/>
  <c r="AF417" i="7"/>
  <c r="AG283" i="7"/>
  <c r="AG417" i="7"/>
  <c r="AH283" i="7"/>
  <c r="AH417" i="7"/>
  <c r="AI283" i="7"/>
  <c r="AJ283" i="7"/>
  <c r="AI417" i="7"/>
  <c r="AJ417" i="7"/>
  <c r="AK283" i="7"/>
  <c r="AK417" i="7"/>
  <c r="AL283" i="7"/>
  <c r="AL417" i="7"/>
  <c r="AM283" i="7"/>
  <c r="AM417" i="7"/>
  <c r="AN283" i="7"/>
  <c r="K314" i="7"/>
  <c r="L314" i="7"/>
  <c r="E314" i="7"/>
  <c r="F314" i="7"/>
  <c r="J314" i="7"/>
  <c r="C314" i="7"/>
  <c r="D314" i="7"/>
  <c r="G314" i="7"/>
  <c r="I314" i="7"/>
  <c r="H314" i="7"/>
  <c r="K448" i="7"/>
  <c r="I448" i="7"/>
  <c r="H448" i="7"/>
  <c r="E448" i="7"/>
  <c r="G448" i="7"/>
  <c r="L448" i="7"/>
  <c r="J448" i="7"/>
  <c r="D448" i="7"/>
  <c r="C448" i="7"/>
  <c r="M314" i="7"/>
  <c r="F448" i="7"/>
  <c r="M448" i="7"/>
  <c r="N314" i="7"/>
  <c r="O314" i="7"/>
  <c r="N448" i="7"/>
  <c r="P314" i="7"/>
  <c r="O448" i="7"/>
  <c r="P448" i="7"/>
  <c r="Q314" i="7"/>
  <c r="R314" i="7"/>
  <c r="Q448" i="7"/>
  <c r="R448" i="7"/>
  <c r="S314" i="7"/>
  <c r="T314" i="7"/>
  <c r="S448" i="7"/>
  <c r="T448" i="7"/>
  <c r="U314" i="7"/>
  <c r="U448" i="7"/>
  <c r="V314" i="7"/>
  <c r="V448" i="7"/>
  <c r="W314" i="7"/>
  <c r="W448" i="7"/>
  <c r="X314" i="7"/>
  <c r="X448" i="7"/>
  <c r="Y314" i="7"/>
  <c r="Y448" i="7"/>
  <c r="Z314" i="7"/>
  <c r="Z448" i="7"/>
  <c r="AA314" i="7"/>
  <c r="AA448" i="7"/>
  <c r="AB314" i="7"/>
  <c r="AB448" i="7"/>
  <c r="AC314" i="7"/>
  <c r="AD314" i="7"/>
  <c r="AC448" i="7"/>
  <c r="AE314" i="7"/>
  <c r="AD448" i="7"/>
  <c r="AF314" i="7"/>
  <c r="AE448" i="7"/>
  <c r="AG314" i="7"/>
  <c r="AF448" i="7"/>
  <c r="AH314" i="7"/>
  <c r="AG448" i="7"/>
  <c r="AI314" i="7"/>
  <c r="AH448" i="7"/>
  <c r="AI448" i="7"/>
  <c r="AJ314" i="7"/>
  <c r="AJ448" i="7"/>
  <c r="AK314" i="7"/>
  <c r="AK448" i="7"/>
  <c r="AL314" i="7"/>
  <c r="AM314" i="7"/>
  <c r="AL448" i="7"/>
  <c r="AM448" i="7"/>
  <c r="AN314" i="7"/>
  <c r="E337" i="7"/>
  <c r="F337" i="7"/>
  <c r="D337" i="7"/>
  <c r="G337" i="7"/>
  <c r="H337" i="7"/>
  <c r="I337" i="7"/>
  <c r="C337" i="7"/>
  <c r="F471" i="7"/>
  <c r="C471" i="7"/>
  <c r="E471" i="7"/>
  <c r="J337" i="7"/>
  <c r="I471" i="7"/>
  <c r="H471" i="7"/>
  <c r="G471" i="7"/>
  <c r="D471" i="7"/>
  <c r="J471" i="7"/>
  <c r="K337" i="7"/>
  <c r="K471" i="7"/>
  <c r="L337" i="7"/>
  <c r="M337" i="7"/>
  <c r="L471" i="7"/>
  <c r="M471" i="7"/>
  <c r="N337" i="7"/>
  <c r="O337" i="7"/>
  <c r="N471" i="7"/>
  <c r="P337" i="7"/>
  <c r="O471" i="7"/>
  <c r="P471" i="7"/>
  <c r="Q337" i="7"/>
  <c r="R337" i="7"/>
  <c r="Q471" i="7"/>
  <c r="R471" i="7"/>
  <c r="S337" i="7"/>
  <c r="S471" i="7"/>
  <c r="T337" i="7"/>
  <c r="T471" i="7"/>
  <c r="U337" i="7"/>
  <c r="V337" i="7"/>
  <c r="U471" i="7"/>
  <c r="V471" i="7"/>
  <c r="W337" i="7"/>
  <c r="X337" i="7"/>
  <c r="W471" i="7"/>
  <c r="Y337" i="7"/>
  <c r="X471" i="7"/>
  <c r="Z337" i="7"/>
  <c r="Y471" i="7"/>
  <c r="Z471" i="7"/>
  <c r="AA337" i="7"/>
  <c r="AB337" i="7"/>
  <c r="AA471" i="7"/>
  <c r="AC337" i="7"/>
  <c r="AB471" i="7"/>
  <c r="AC471" i="7"/>
  <c r="AD337" i="7"/>
  <c r="AE337" i="7"/>
  <c r="AD471" i="7"/>
  <c r="AE471" i="7"/>
  <c r="AF337" i="7"/>
  <c r="AG337" i="7"/>
  <c r="AF471" i="7"/>
  <c r="AG471" i="7"/>
  <c r="AH337" i="7"/>
  <c r="AI337" i="7"/>
  <c r="AH471" i="7"/>
  <c r="AJ337" i="7"/>
  <c r="AI471" i="7"/>
  <c r="AJ471" i="7"/>
  <c r="AK337" i="7"/>
  <c r="AL337" i="7"/>
  <c r="AK471" i="7"/>
  <c r="AL471" i="7"/>
  <c r="AM337" i="7"/>
  <c r="AM471" i="7"/>
  <c r="AN337" i="7"/>
  <c r="AO470" i="7"/>
  <c r="AO441" i="7"/>
  <c r="AO341" i="7"/>
  <c r="AN470" i="7"/>
  <c r="AO337" i="7"/>
  <c r="AO288" i="7"/>
  <c r="AO311" i="7"/>
  <c r="AO310" i="7"/>
  <c r="AN422" i="7"/>
  <c r="C334" i="7"/>
  <c r="F334" i="7"/>
  <c r="C468" i="7"/>
  <c r="E334" i="7"/>
  <c r="D334" i="7"/>
  <c r="D468" i="7"/>
  <c r="E468" i="7"/>
  <c r="F468" i="7"/>
  <c r="G334" i="7"/>
  <c r="G468" i="7"/>
  <c r="H334" i="7"/>
  <c r="I334" i="7"/>
  <c r="H468" i="7"/>
  <c r="I468" i="7"/>
  <c r="J334" i="7"/>
  <c r="J468" i="7"/>
  <c r="K334" i="7"/>
  <c r="L334" i="7"/>
  <c r="K468" i="7"/>
  <c r="M334" i="7"/>
  <c r="L468" i="7"/>
  <c r="M468" i="7"/>
  <c r="N334" i="7"/>
  <c r="N468" i="7"/>
  <c r="O334" i="7"/>
  <c r="P334" i="7"/>
  <c r="O468" i="7"/>
  <c r="Q334" i="7"/>
  <c r="P468" i="7"/>
  <c r="R334" i="7"/>
  <c r="Q468" i="7"/>
  <c r="S334" i="7"/>
  <c r="R468" i="7"/>
  <c r="S468" i="7"/>
  <c r="T334" i="7"/>
  <c r="T468" i="7"/>
  <c r="U334" i="7"/>
  <c r="U468" i="7"/>
  <c r="V334" i="7"/>
  <c r="V468" i="7"/>
  <c r="W334" i="7"/>
  <c r="X334" i="7"/>
  <c r="W468" i="7"/>
  <c r="X468" i="7"/>
  <c r="Y334" i="7"/>
  <c r="Y468" i="7"/>
  <c r="Z334" i="7"/>
  <c r="AA334" i="7"/>
  <c r="Z468" i="7"/>
  <c r="AA468" i="7"/>
  <c r="AB334" i="7"/>
  <c r="AC334" i="7"/>
  <c r="AB468" i="7"/>
  <c r="AD334" i="7"/>
  <c r="AC468" i="7"/>
  <c r="AE334" i="7"/>
  <c r="AD468" i="7"/>
  <c r="AE468" i="7"/>
  <c r="AF334" i="7"/>
  <c r="AG334" i="7"/>
  <c r="AF468" i="7"/>
  <c r="AH334" i="7"/>
  <c r="AG468" i="7"/>
  <c r="AI334" i="7"/>
  <c r="AH468" i="7"/>
  <c r="AJ334" i="7"/>
  <c r="AI468" i="7"/>
  <c r="AK334" i="7"/>
  <c r="AJ468" i="7"/>
  <c r="AL334" i="7"/>
  <c r="AK468" i="7"/>
  <c r="AM334" i="7"/>
  <c r="AL468" i="7"/>
  <c r="AN334" i="7"/>
  <c r="AM468" i="7"/>
  <c r="C284" i="7"/>
  <c r="F284" i="7"/>
  <c r="E284" i="7"/>
  <c r="G284" i="7"/>
  <c r="H284" i="7"/>
  <c r="D284" i="7"/>
  <c r="I284" i="7"/>
  <c r="F418" i="7"/>
  <c r="D418" i="7"/>
  <c r="C418" i="7"/>
  <c r="G418" i="7"/>
  <c r="H418" i="7"/>
  <c r="E418" i="7"/>
  <c r="I418" i="7"/>
  <c r="J284" i="7"/>
  <c r="J418" i="7"/>
  <c r="K284" i="7"/>
  <c r="L284" i="7"/>
  <c r="K418" i="7"/>
  <c r="L418" i="7"/>
  <c r="M284" i="7"/>
  <c r="M418" i="7"/>
  <c r="N284" i="7"/>
  <c r="N418" i="7"/>
  <c r="O284" i="7"/>
  <c r="O418" i="7"/>
  <c r="P284" i="7"/>
  <c r="P418" i="7"/>
  <c r="Q284" i="7"/>
  <c r="R284" i="7"/>
  <c r="Q418" i="7"/>
  <c r="R418" i="7"/>
  <c r="S284" i="7"/>
  <c r="T284" i="7"/>
  <c r="S418" i="7"/>
  <c r="T418" i="7"/>
  <c r="U284" i="7"/>
  <c r="U418" i="7"/>
  <c r="V284" i="7"/>
  <c r="V418" i="7"/>
  <c r="W284" i="7"/>
  <c r="W418" i="7"/>
  <c r="X284" i="7"/>
  <c r="Y284" i="7"/>
  <c r="X418" i="7"/>
  <c r="Y418" i="7"/>
  <c r="Z284" i="7"/>
  <c r="AA284" i="7"/>
  <c r="Z418" i="7"/>
  <c r="AA418" i="7"/>
  <c r="AB284" i="7"/>
  <c r="AC284" i="7"/>
  <c r="AB418" i="7"/>
  <c r="AD284" i="7"/>
  <c r="AC418" i="7"/>
  <c r="AE284" i="7"/>
  <c r="AD418" i="7"/>
  <c r="AF284" i="7"/>
  <c r="AE418" i="7"/>
  <c r="AF418" i="7"/>
  <c r="AG284" i="7"/>
  <c r="AG418" i="7"/>
  <c r="AH284" i="7"/>
  <c r="AI284" i="7"/>
  <c r="AH418" i="7"/>
  <c r="AJ284" i="7"/>
  <c r="AI418" i="7"/>
  <c r="AJ418" i="7"/>
  <c r="AK284" i="7"/>
  <c r="AK418" i="7"/>
  <c r="AL284" i="7"/>
  <c r="AL418" i="7"/>
  <c r="AM284" i="7"/>
  <c r="AM418" i="7"/>
  <c r="AN284" i="7"/>
  <c r="C307" i="7"/>
  <c r="C441" i="7"/>
  <c r="F307" i="7"/>
  <c r="E307" i="7"/>
  <c r="D307" i="7"/>
  <c r="F441" i="7"/>
  <c r="G307" i="7"/>
  <c r="D441" i="7"/>
  <c r="E441" i="7"/>
  <c r="H307" i="7"/>
  <c r="G441" i="7"/>
  <c r="H441" i="7"/>
  <c r="I307" i="7"/>
  <c r="I441" i="7"/>
  <c r="J307" i="7"/>
  <c r="J441" i="7"/>
  <c r="K307" i="7"/>
  <c r="L307" i="7"/>
  <c r="K441" i="7"/>
  <c r="L441" i="7"/>
  <c r="M307" i="7"/>
  <c r="N307" i="7"/>
  <c r="M441" i="7"/>
  <c r="O307" i="7"/>
  <c r="N441" i="7"/>
  <c r="P307" i="7"/>
  <c r="O441" i="7"/>
  <c r="Q307" i="7"/>
  <c r="P441" i="7"/>
  <c r="Q441" i="7"/>
  <c r="R307" i="7"/>
  <c r="R441" i="7"/>
  <c r="S307" i="7"/>
  <c r="S441" i="7"/>
  <c r="T307" i="7"/>
  <c r="T441" i="7"/>
  <c r="U307" i="7"/>
  <c r="U441" i="7"/>
  <c r="V307" i="7"/>
  <c r="V441" i="7"/>
  <c r="W307" i="7"/>
  <c r="X307" i="7"/>
  <c r="W441" i="7"/>
  <c r="Y307" i="7"/>
  <c r="X441" i="7"/>
  <c r="Y441" i="7"/>
  <c r="Z307" i="7"/>
  <c r="Z441" i="7"/>
  <c r="AA307" i="7"/>
  <c r="AA441" i="7"/>
  <c r="AB307" i="7"/>
  <c r="AB441" i="7"/>
  <c r="AC307" i="7"/>
  <c r="AC441" i="7"/>
  <c r="AD307" i="7"/>
  <c r="AD441" i="7"/>
  <c r="AE307" i="7"/>
  <c r="AF307" i="7"/>
  <c r="AE441" i="7"/>
  <c r="AG307" i="7"/>
  <c r="AF441" i="7"/>
  <c r="AH307" i="7"/>
  <c r="AG441" i="7"/>
  <c r="AI307" i="7"/>
  <c r="AH441" i="7"/>
  <c r="AJ307" i="7"/>
  <c r="AI441" i="7"/>
  <c r="AK307" i="7"/>
  <c r="AJ441" i="7"/>
  <c r="AK441" i="7"/>
  <c r="AL307" i="7"/>
  <c r="AM307" i="7"/>
  <c r="AL441" i="7"/>
  <c r="AM441" i="7"/>
  <c r="AN307" i="7"/>
  <c r="C315" i="7"/>
  <c r="M315" i="7"/>
  <c r="G315" i="7"/>
  <c r="D315" i="7"/>
  <c r="F315" i="7"/>
  <c r="L315" i="7"/>
  <c r="I315" i="7"/>
  <c r="J315" i="7"/>
  <c r="H315" i="7"/>
  <c r="E315" i="7"/>
  <c r="K315" i="7"/>
  <c r="J449" i="7"/>
  <c r="M449" i="7"/>
  <c r="C449" i="7"/>
  <c r="K449" i="7"/>
  <c r="I449" i="7"/>
  <c r="L449" i="7"/>
  <c r="N315" i="7"/>
  <c r="E449" i="7"/>
  <c r="F449" i="7"/>
  <c r="D449" i="7"/>
  <c r="H449" i="7"/>
  <c r="G449" i="7"/>
  <c r="O315" i="7"/>
  <c r="N449" i="7"/>
  <c r="O449" i="7"/>
  <c r="P315" i="7"/>
  <c r="P449" i="7"/>
  <c r="Q315" i="7"/>
  <c r="Q449" i="7"/>
  <c r="R315" i="7"/>
  <c r="S315" i="7"/>
  <c r="R449" i="7"/>
  <c r="T315" i="7"/>
  <c r="S449" i="7"/>
  <c r="T449" i="7"/>
  <c r="U315" i="7"/>
  <c r="U449" i="7"/>
  <c r="V315" i="7"/>
  <c r="W315" i="7"/>
  <c r="V449" i="7"/>
  <c r="W449" i="7"/>
  <c r="X315" i="7"/>
  <c r="Y315" i="7"/>
  <c r="X449" i="7"/>
  <c r="Y449" i="7"/>
  <c r="Z315" i="7"/>
  <c r="Z449" i="7"/>
  <c r="AA315" i="7"/>
  <c r="AA449" i="7"/>
  <c r="AB315" i="7"/>
  <c r="AC315" i="7"/>
  <c r="AB449" i="7"/>
  <c r="AD315" i="7"/>
  <c r="AC449" i="7"/>
  <c r="AD449" i="7"/>
  <c r="AE315" i="7"/>
  <c r="AF315" i="7"/>
  <c r="AE449" i="7"/>
  <c r="AG315" i="7"/>
  <c r="AF449" i="7"/>
  <c r="AG449" i="7"/>
  <c r="AH315" i="7"/>
  <c r="AH449" i="7"/>
  <c r="AI315" i="7"/>
  <c r="AI449" i="7"/>
  <c r="AJ315" i="7"/>
  <c r="AK315" i="7"/>
  <c r="AJ449" i="7"/>
  <c r="AL315" i="7"/>
  <c r="AK449" i="7"/>
  <c r="AM315" i="7"/>
  <c r="AL449" i="7"/>
  <c r="AM449" i="7"/>
  <c r="AN315" i="7"/>
  <c r="J338" i="7"/>
  <c r="F338" i="7"/>
  <c r="H338" i="7"/>
  <c r="D338" i="7"/>
  <c r="G338" i="7"/>
  <c r="C338" i="7"/>
  <c r="E338" i="7"/>
  <c r="I338" i="7"/>
  <c r="J472" i="7"/>
  <c r="C472" i="7"/>
  <c r="G472" i="7"/>
  <c r="F472" i="7"/>
  <c r="D472" i="7"/>
  <c r="I472" i="7"/>
  <c r="K338" i="7"/>
  <c r="E472" i="7"/>
  <c r="H472" i="7"/>
  <c r="L338" i="7"/>
  <c r="K472" i="7"/>
  <c r="L472" i="7"/>
  <c r="M338" i="7"/>
  <c r="M472" i="7"/>
  <c r="N338" i="7"/>
  <c r="O338" i="7"/>
  <c r="N472" i="7"/>
  <c r="P338" i="7"/>
  <c r="O472" i="7"/>
  <c r="P472" i="7"/>
  <c r="Q338" i="7"/>
  <c r="Q472" i="7"/>
  <c r="R338" i="7"/>
  <c r="S338" i="7"/>
  <c r="R472" i="7"/>
  <c r="T338" i="7"/>
  <c r="S472" i="7"/>
  <c r="U338" i="7"/>
  <c r="T472" i="7"/>
  <c r="V338" i="7"/>
  <c r="U472" i="7"/>
  <c r="W338" i="7"/>
  <c r="V472" i="7"/>
  <c r="X338" i="7"/>
  <c r="W472" i="7"/>
  <c r="X472" i="7"/>
  <c r="Y338" i="7"/>
  <c r="Y472" i="7"/>
  <c r="Z338" i="7"/>
  <c r="AA338" i="7"/>
  <c r="Z472" i="7"/>
  <c r="AB338" i="7"/>
  <c r="AA472" i="7"/>
  <c r="AC338" i="7"/>
  <c r="AB472" i="7"/>
  <c r="AC472" i="7"/>
  <c r="AD338" i="7"/>
  <c r="AE338" i="7"/>
  <c r="AD472" i="7"/>
  <c r="AF338" i="7"/>
  <c r="AE472" i="7"/>
  <c r="AG338" i="7"/>
  <c r="AF472" i="7"/>
  <c r="AH338" i="7"/>
  <c r="AG472" i="7"/>
  <c r="AI338" i="7"/>
  <c r="AH472" i="7"/>
  <c r="AJ338" i="7"/>
  <c r="AI472" i="7"/>
  <c r="AJ472" i="7"/>
  <c r="AK338" i="7"/>
  <c r="AL338" i="7"/>
  <c r="AK472" i="7"/>
  <c r="AM338" i="7"/>
  <c r="AL472" i="7"/>
  <c r="AM472" i="7"/>
  <c r="AN338" i="7"/>
  <c r="AO421" i="7"/>
  <c r="AO333" i="7"/>
  <c r="AN419" i="7"/>
  <c r="AN447" i="7"/>
  <c r="AO313" i="7"/>
  <c r="AO283" i="7"/>
  <c r="AO287" i="7"/>
  <c r="AO286" i="7"/>
  <c r="AN467" i="7"/>
  <c r="AN89" i="7"/>
  <c r="AN90" i="7" s="1"/>
  <c r="B246" i="7" a="1"/>
  <c r="B246" i="7" s="1"/>
  <c r="B248" i="7" a="1"/>
  <c r="B248" i="7" s="1"/>
  <c r="B250" i="7" a="1"/>
  <c r="B250" i="7" s="1"/>
  <c r="B380" i="7" a="1"/>
  <c r="B380" i="7" s="1"/>
  <c r="B382" i="7" a="1"/>
  <c r="B382" i="7" s="1"/>
  <c r="B384" i="7" a="1"/>
  <c r="B384" i="7" s="1"/>
  <c r="B247" i="7" a="1"/>
  <c r="B247" i="7" s="1"/>
  <c r="B249" i="7" a="1"/>
  <c r="B249" i="7" s="1"/>
  <c r="B251" i="7" a="1"/>
  <c r="B251" i="7" s="1"/>
  <c r="B379" i="7" a="1"/>
  <c r="B379" i="7" s="1"/>
  <c r="B381" i="7" a="1"/>
  <c r="B381" i="7" s="1"/>
  <c r="B383" i="7" a="1"/>
  <c r="B383" i="7" s="1"/>
  <c r="AP543" i="7"/>
  <c r="AP545" i="7" s="1"/>
  <c r="R657" i="7"/>
  <c r="S657" i="7"/>
  <c r="T657" i="7"/>
  <c r="U657" i="7"/>
  <c r="V657" i="7"/>
  <c r="AL661" i="7"/>
  <c r="AM661" i="7"/>
  <c r="AN661" i="7"/>
  <c r="AO661" i="7"/>
  <c r="W658" i="7"/>
  <c r="X658" i="7"/>
  <c r="Y658" i="7"/>
  <c r="Z658" i="7"/>
  <c r="AA658" i="7"/>
  <c r="AP661" i="7"/>
  <c r="I655" i="7"/>
  <c r="J655" i="7"/>
  <c r="K655" i="7"/>
  <c r="L655" i="7"/>
  <c r="AB659" i="7"/>
  <c r="AC659" i="7"/>
  <c r="AD659" i="7"/>
  <c r="AE659" i="7"/>
  <c r="AF659" i="7"/>
  <c r="M656" i="7"/>
  <c r="N656" i="7"/>
  <c r="O656" i="7"/>
  <c r="P656" i="7"/>
  <c r="Q656" i="7"/>
  <c r="AG660" i="7"/>
  <c r="AH660" i="7"/>
  <c r="AI660" i="7"/>
  <c r="AJ660" i="7"/>
  <c r="AK660" i="7"/>
  <c r="AP272" i="7"/>
  <c r="AP283" i="7" s="1"/>
  <c r="AP322" i="7"/>
  <c r="AP334" i="7" s="1"/>
  <c r="AP324" i="7"/>
  <c r="AP328" i="7"/>
  <c r="AP277" i="7"/>
  <c r="AP288" i="7" s="1"/>
  <c r="AP326" i="7"/>
  <c r="AP295" i="7"/>
  <c r="AP307" i="7" s="1"/>
  <c r="AP297" i="7"/>
  <c r="AP299" i="7"/>
  <c r="AP311" i="7" s="1"/>
  <c r="AP275" i="7"/>
  <c r="AP273" i="7"/>
  <c r="AP301" i="7"/>
  <c r="AP313" i="7" s="1"/>
  <c r="AP271" i="7"/>
  <c r="AP300" i="7"/>
  <c r="AP278" i="7"/>
  <c r="AP325" i="7"/>
  <c r="AP270" i="7"/>
  <c r="AP281" i="7" s="1"/>
  <c r="AP296" i="7"/>
  <c r="AP321" i="7"/>
  <c r="AP329" i="7"/>
  <c r="AP276" i="7"/>
  <c r="AP274" i="7"/>
  <c r="AP298" i="7"/>
  <c r="AP310" i="7" s="1"/>
  <c r="AP302" i="7"/>
  <c r="AP323" i="7"/>
  <c r="AP327" i="7"/>
  <c r="AP339" i="7" s="1"/>
  <c r="AP174" i="7"/>
  <c r="AP138" i="7"/>
  <c r="AP55" i="7"/>
  <c r="AP655" i="7"/>
  <c r="F655" i="7"/>
  <c r="G655" i="7"/>
  <c r="H655" i="7"/>
  <c r="L657" i="7"/>
  <c r="M657" i="7"/>
  <c r="N657" i="7"/>
  <c r="R659" i="7"/>
  <c r="S659" i="7"/>
  <c r="T659" i="7"/>
  <c r="X661" i="7"/>
  <c r="Y661" i="7"/>
  <c r="Z661" i="7"/>
  <c r="AD663" i="7"/>
  <c r="AE663" i="7"/>
  <c r="AF663" i="7"/>
  <c r="I656" i="7"/>
  <c r="J656" i="7"/>
  <c r="K656" i="7"/>
  <c r="O658" i="7"/>
  <c r="P658" i="7"/>
  <c r="Q658" i="7"/>
  <c r="U660" i="7"/>
  <c r="V660" i="7"/>
  <c r="W660" i="7"/>
  <c r="AA662" i="7"/>
  <c r="AB662" i="7"/>
  <c r="AC662" i="7"/>
  <c r="AP30" i="7"/>
  <c r="AO79" i="7"/>
  <c r="AP69" i="7"/>
  <c r="AP428" i="7"/>
  <c r="AP398" i="7"/>
  <c r="AP437" i="7"/>
  <c r="AP449" i="7" s="1"/>
  <c r="O591" i="7"/>
  <c r="O600" i="7" s="1"/>
  <c r="O572" i="7" s="1"/>
  <c r="P591" i="7"/>
  <c r="P600" i="7" s="1"/>
  <c r="P572" i="7" s="1"/>
  <c r="Q591" i="7"/>
  <c r="Q600" i="7" s="1"/>
  <c r="Q572" i="7" s="1"/>
  <c r="R591" i="7"/>
  <c r="R600" i="7" s="1"/>
  <c r="R572" i="7" s="1"/>
  <c r="S591" i="7"/>
  <c r="S600" i="7" s="1"/>
  <c r="S572" i="7" s="1"/>
  <c r="T591" i="7"/>
  <c r="T600" i="7" s="1"/>
  <c r="T572" i="7" s="1"/>
  <c r="U591" i="7"/>
  <c r="U600" i="7" s="1"/>
  <c r="U572" i="7" s="1"/>
  <c r="V591" i="7"/>
  <c r="V600" i="7" s="1"/>
  <c r="V572" i="7" s="1"/>
  <c r="W591" i="7"/>
  <c r="W600" i="7" s="1"/>
  <c r="W572" i="7" s="1"/>
  <c r="W71" i="7" s="1"/>
  <c r="X591" i="7"/>
  <c r="X600" i="7" s="1"/>
  <c r="X572" i="7" s="1"/>
  <c r="X71" i="7" s="1"/>
  <c r="Y591" i="7"/>
  <c r="Y600" i="7" s="1"/>
  <c r="Y572" i="7" s="1"/>
  <c r="Y71" i="7" s="1"/>
  <c r="Z591" i="7"/>
  <c r="Z600" i="7" s="1"/>
  <c r="Z572" i="7" s="1"/>
  <c r="Z71" i="7" s="1"/>
  <c r="AM593" i="7"/>
  <c r="AM600" i="7" s="1"/>
  <c r="AM572" i="7" s="1"/>
  <c r="AM71" i="7" s="1"/>
  <c r="AN593" i="7"/>
  <c r="AN600" i="7" s="1"/>
  <c r="AN572" i="7" s="1"/>
  <c r="AN71" i="7" s="1"/>
  <c r="AO593" i="7"/>
  <c r="AO600" i="7" s="1"/>
  <c r="AO572" i="7" s="1"/>
  <c r="AO71" i="7" s="1"/>
  <c r="R623" i="7"/>
  <c r="R632" i="7" s="1"/>
  <c r="R604" i="7" s="1"/>
  <c r="R72" i="7" s="1"/>
  <c r="S623" i="7"/>
  <c r="S632" i="7" s="1"/>
  <c r="S604" i="7" s="1"/>
  <c r="S72" i="7" s="1"/>
  <c r="T623" i="7"/>
  <c r="T632" i="7" s="1"/>
  <c r="T604" i="7" s="1"/>
  <c r="T72" i="7" s="1"/>
  <c r="U623" i="7"/>
  <c r="U632" i="7" s="1"/>
  <c r="U604" i="7" s="1"/>
  <c r="U72" i="7" s="1"/>
  <c r="V623" i="7"/>
  <c r="V632" i="7" s="1"/>
  <c r="V604" i="7" s="1"/>
  <c r="V72" i="7" s="1"/>
  <c r="W623" i="7"/>
  <c r="W632" i="7" s="1"/>
  <c r="W604" i="7" s="1"/>
  <c r="W72" i="7" s="1"/>
  <c r="X623" i="7"/>
  <c r="X632" i="7" s="1"/>
  <c r="X604" i="7" s="1"/>
  <c r="X72" i="7" s="1"/>
  <c r="Y623" i="7"/>
  <c r="Y632" i="7" s="1"/>
  <c r="Y604" i="7" s="1"/>
  <c r="Y72" i="7" s="1"/>
  <c r="Z623" i="7"/>
  <c r="Z632" i="7" s="1"/>
  <c r="Z604" i="7" s="1"/>
  <c r="Z72" i="7" s="1"/>
  <c r="AA623" i="7"/>
  <c r="AA632" i="7" s="1"/>
  <c r="AA604" i="7" s="1"/>
  <c r="AA72" i="7" s="1"/>
  <c r="AB623" i="7"/>
  <c r="AB632" i="7" s="1"/>
  <c r="AB604" i="7" s="1"/>
  <c r="AB72" i="7" s="1"/>
  <c r="AC623" i="7"/>
  <c r="AC632" i="7" s="1"/>
  <c r="AC604" i="7" s="1"/>
  <c r="AC72" i="7" s="1"/>
  <c r="AD623" i="7"/>
  <c r="AD632" i="7" s="1"/>
  <c r="AD604" i="7" s="1"/>
  <c r="AD72" i="7" s="1"/>
  <c r="AE623" i="7"/>
  <c r="AE632" i="7" s="1"/>
  <c r="AE604" i="7" s="1"/>
  <c r="AE72" i="7" s="1"/>
  <c r="AF623" i="7"/>
  <c r="AF632" i="7" s="1"/>
  <c r="AF604" i="7" s="1"/>
  <c r="AF72" i="7" s="1"/>
  <c r="W655" i="7"/>
  <c r="X655" i="7"/>
  <c r="Y655" i="7"/>
  <c r="Z655" i="7"/>
  <c r="AA655" i="7"/>
  <c r="AB655" i="7"/>
  <c r="AC655" i="7"/>
  <c r="AD655" i="7"/>
  <c r="AE655" i="7"/>
  <c r="AF655" i="7"/>
  <c r="AG655" i="7"/>
  <c r="AH655" i="7"/>
  <c r="AI655" i="7"/>
  <c r="AJ655" i="7"/>
  <c r="AK655" i="7"/>
  <c r="AL655" i="7"/>
  <c r="AM655" i="7"/>
  <c r="AN655" i="7"/>
  <c r="AO655" i="7"/>
  <c r="AP593" i="7"/>
  <c r="AP600" i="7" s="1"/>
  <c r="AP572" i="7" s="1"/>
  <c r="AP265" i="7"/>
  <c r="AP402" i="7"/>
  <c r="AP454" i="7"/>
  <c r="AP588" i="7"/>
  <c r="AP573" i="7" s="1"/>
  <c r="AP76" i="7" s="1"/>
  <c r="B578" i="7"/>
  <c r="AA592" i="7"/>
  <c r="AA600" i="7" s="1"/>
  <c r="AA572" i="7" s="1"/>
  <c r="AA71" i="7" s="1"/>
  <c r="AB592" i="7"/>
  <c r="AB600" i="7" s="1"/>
  <c r="AB572" i="7" s="1"/>
  <c r="AB71" i="7" s="1"/>
  <c r="AC592" i="7"/>
  <c r="AC600" i="7" s="1"/>
  <c r="AC572" i="7" s="1"/>
  <c r="AC71" i="7" s="1"/>
  <c r="AD592" i="7"/>
  <c r="AD600" i="7" s="1"/>
  <c r="AD572" i="7" s="1"/>
  <c r="AD71" i="7" s="1"/>
  <c r="AE592" i="7"/>
  <c r="AE600" i="7" s="1"/>
  <c r="AE572" i="7" s="1"/>
  <c r="AE71" i="7" s="1"/>
  <c r="AF592" i="7"/>
  <c r="AF600" i="7" s="1"/>
  <c r="AF572" i="7" s="1"/>
  <c r="AF71" i="7" s="1"/>
  <c r="AG592" i="7"/>
  <c r="AG600" i="7" s="1"/>
  <c r="AG572" i="7" s="1"/>
  <c r="AG71" i="7" s="1"/>
  <c r="AH592" i="7"/>
  <c r="AH600" i="7" s="1"/>
  <c r="AH572" i="7" s="1"/>
  <c r="AH71" i="7" s="1"/>
  <c r="AI592" i="7"/>
  <c r="AI600" i="7" s="1"/>
  <c r="AI572" i="7" s="1"/>
  <c r="AI71" i="7" s="1"/>
  <c r="AJ592" i="7"/>
  <c r="AJ600" i="7" s="1"/>
  <c r="AJ572" i="7" s="1"/>
  <c r="AJ71" i="7" s="1"/>
  <c r="AK592" i="7"/>
  <c r="AK600" i="7" s="1"/>
  <c r="AK572" i="7" s="1"/>
  <c r="AK71" i="7" s="1"/>
  <c r="AL592" i="7"/>
  <c r="AL600" i="7" s="1"/>
  <c r="AL572" i="7" s="1"/>
  <c r="AL71" i="7" s="1"/>
  <c r="AP620" i="7"/>
  <c r="AP605" i="7" s="1"/>
  <c r="AP77" i="7" s="1"/>
  <c r="B610" i="7"/>
  <c r="AP306" i="7" s="1"/>
  <c r="AG624" i="7"/>
  <c r="AG632" i="7" s="1"/>
  <c r="AG604" i="7" s="1"/>
  <c r="AG72" i="7" s="1"/>
  <c r="AH624" i="7"/>
  <c r="AH632" i="7" s="1"/>
  <c r="AH604" i="7" s="1"/>
  <c r="AH72" i="7" s="1"/>
  <c r="AI624" i="7"/>
  <c r="AI632" i="7" s="1"/>
  <c r="AI604" i="7" s="1"/>
  <c r="AI72" i="7" s="1"/>
  <c r="AJ624" i="7"/>
  <c r="AJ632" i="7" s="1"/>
  <c r="AJ604" i="7" s="1"/>
  <c r="AJ72" i="7" s="1"/>
  <c r="AK624" i="7"/>
  <c r="AK632" i="7" s="1"/>
  <c r="AK604" i="7" s="1"/>
  <c r="AK72" i="7" s="1"/>
  <c r="AL624" i="7"/>
  <c r="AL632" i="7" s="1"/>
  <c r="AL604" i="7" s="1"/>
  <c r="AL72" i="7" s="1"/>
  <c r="AM624" i="7"/>
  <c r="AM632" i="7" s="1"/>
  <c r="AM604" i="7" s="1"/>
  <c r="AM72" i="7" s="1"/>
  <c r="AN624" i="7"/>
  <c r="AN632" i="7" s="1"/>
  <c r="AN604" i="7" s="1"/>
  <c r="AN72" i="7" s="1"/>
  <c r="AO624" i="7"/>
  <c r="AO632" i="7" s="1"/>
  <c r="AO604" i="7" s="1"/>
  <c r="AO72" i="7" s="1"/>
  <c r="AP652" i="7"/>
  <c r="AP637" i="7" s="1"/>
  <c r="AP78" i="7" s="1"/>
  <c r="B642" i="7"/>
  <c r="AP624" i="7"/>
  <c r="U71" i="7" l="1"/>
  <c r="V71" i="7"/>
  <c r="AP440" i="7"/>
  <c r="AP414" i="7"/>
  <c r="AP457" i="7"/>
  <c r="AP469" i="7" s="1"/>
  <c r="B469" i="7" s="1"/>
  <c r="AP335" i="7"/>
  <c r="AP436" i="7"/>
  <c r="AP448" i="7" s="1"/>
  <c r="B448" i="7" s="1"/>
  <c r="AP314" i="7"/>
  <c r="B314" i="7" s="1"/>
  <c r="AP459" i="7"/>
  <c r="AP471" i="7" s="1"/>
  <c r="AP337" i="7"/>
  <c r="B337" i="7" s="1"/>
  <c r="AP431" i="7"/>
  <c r="AP443" i="7" s="1"/>
  <c r="B443" i="7" s="1"/>
  <c r="AP309" i="7"/>
  <c r="B309" i="7" s="1"/>
  <c r="C332" i="7"/>
  <c r="D332" i="7"/>
  <c r="C466" i="7"/>
  <c r="F332" i="7"/>
  <c r="F342" i="7" s="1"/>
  <c r="D466" i="7"/>
  <c r="D476" i="7" s="1"/>
  <c r="E332" i="7"/>
  <c r="G332" i="7"/>
  <c r="G342" i="7" s="1"/>
  <c r="E466" i="7"/>
  <c r="E476" i="7" s="1"/>
  <c r="F466" i="7"/>
  <c r="F476" i="7" s="1"/>
  <c r="H332" i="7"/>
  <c r="G466" i="7"/>
  <c r="G476" i="7" s="1"/>
  <c r="H466" i="7"/>
  <c r="H476" i="7" s="1"/>
  <c r="I332" i="7"/>
  <c r="I342" i="7" s="1"/>
  <c r="I466" i="7"/>
  <c r="J332" i="7"/>
  <c r="J342" i="7" s="1"/>
  <c r="J466" i="7"/>
  <c r="J476" i="7" s="1"/>
  <c r="K332" i="7"/>
  <c r="K342" i="7" s="1"/>
  <c r="K466" i="7"/>
  <c r="L332" i="7"/>
  <c r="L342" i="7" s="1"/>
  <c r="M332" i="7"/>
  <c r="M342" i="7" s="1"/>
  <c r="N332" i="7"/>
  <c r="N342" i="7" s="1"/>
  <c r="L466" i="7"/>
  <c r="N466" i="7"/>
  <c r="N476" i="7" s="1"/>
  <c r="M466" i="7"/>
  <c r="M476" i="7" s="1"/>
  <c r="O332" i="7"/>
  <c r="O466" i="7"/>
  <c r="P332" i="7"/>
  <c r="P342" i="7" s="1"/>
  <c r="Q332" i="7"/>
  <c r="Q342" i="7" s="1"/>
  <c r="P466" i="7"/>
  <c r="R332" i="7"/>
  <c r="Q466" i="7"/>
  <c r="Q476" i="7" s="1"/>
  <c r="S332" i="7"/>
  <c r="S342" i="7" s="1"/>
  <c r="R466" i="7"/>
  <c r="R476" i="7" s="1"/>
  <c r="S466" i="7"/>
  <c r="T332" i="7"/>
  <c r="T342" i="7" s="1"/>
  <c r="T466" i="7"/>
  <c r="T476" i="7" s="1"/>
  <c r="U332" i="7"/>
  <c r="U342" i="7" s="1"/>
  <c r="V332" i="7"/>
  <c r="U466" i="7"/>
  <c r="U476" i="7" s="1"/>
  <c r="V466" i="7"/>
  <c r="V476" i="7" s="1"/>
  <c r="W332" i="7"/>
  <c r="W342" i="7" s="1"/>
  <c r="X332" i="7"/>
  <c r="W466" i="7"/>
  <c r="W476" i="7" s="1"/>
  <c r="Y332" i="7"/>
  <c r="Y342" i="7" s="1"/>
  <c r="X466" i="7"/>
  <c r="X476" i="7" s="1"/>
  <c r="Y466" i="7"/>
  <c r="Z332" i="7"/>
  <c r="Z342" i="7" s="1"/>
  <c r="AA332" i="7"/>
  <c r="AA342" i="7" s="1"/>
  <c r="Z466" i="7"/>
  <c r="AA466" i="7"/>
  <c r="AB332" i="7"/>
  <c r="AB342" i="7" s="1"/>
  <c r="AC332" i="7"/>
  <c r="AC342" i="7" s="1"/>
  <c r="AB466" i="7"/>
  <c r="AB476" i="7" s="1"/>
  <c r="AD332" i="7"/>
  <c r="AC466" i="7"/>
  <c r="AC476" i="7" s="1"/>
  <c r="AD466" i="7"/>
  <c r="AD476" i="7" s="1"/>
  <c r="AE332" i="7"/>
  <c r="AE342" i="7" s="1"/>
  <c r="AF332" i="7"/>
  <c r="AE466" i="7"/>
  <c r="AE476" i="7" s="1"/>
  <c r="AG332" i="7"/>
  <c r="AG342" i="7" s="1"/>
  <c r="AF466" i="7"/>
  <c r="AF476" i="7" s="1"/>
  <c r="AH332" i="7"/>
  <c r="AG466" i="7"/>
  <c r="AG476" i="7" s="1"/>
  <c r="AH466" i="7"/>
  <c r="AH476" i="7" s="1"/>
  <c r="AI332" i="7"/>
  <c r="AI466" i="7"/>
  <c r="AJ332" i="7"/>
  <c r="AJ342" i="7" s="1"/>
  <c r="AJ466" i="7"/>
  <c r="AJ476" i="7" s="1"/>
  <c r="AK332" i="7"/>
  <c r="AK342" i="7" s="1"/>
  <c r="AL332" i="7"/>
  <c r="AK466" i="7"/>
  <c r="AK476" i="7" s="1"/>
  <c r="AL466" i="7"/>
  <c r="AL476" i="7" s="1"/>
  <c r="AM332" i="7"/>
  <c r="AM342" i="7" s="1"/>
  <c r="AM466" i="7"/>
  <c r="AN332" i="7"/>
  <c r="AN342" i="7" s="1"/>
  <c r="AN466" i="7"/>
  <c r="AN476" i="7" s="1"/>
  <c r="AO332" i="7"/>
  <c r="AO342" i="7" s="1"/>
  <c r="AP411" i="7"/>
  <c r="AP423" i="7" s="1"/>
  <c r="B423" i="7" s="1"/>
  <c r="AP289" i="7"/>
  <c r="B289" i="7" s="1"/>
  <c r="C280" i="7"/>
  <c r="D280" i="7"/>
  <c r="D290" i="7" s="1"/>
  <c r="C414" i="7"/>
  <c r="F280" i="7"/>
  <c r="F290" i="7" s="1"/>
  <c r="D414" i="7"/>
  <c r="D424" i="7" s="1"/>
  <c r="E280" i="7"/>
  <c r="E290" i="7" s="1"/>
  <c r="F414" i="7"/>
  <c r="F424" i="7" s="1"/>
  <c r="E414" i="7"/>
  <c r="E424" i="7" s="1"/>
  <c r="G280" i="7"/>
  <c r="G290" i="7" s="1"/>
  <c r="G414" i="7"/>
  <c r="G424" i="7" s="1"/>
  <c r="H280" i="7"/>
  <c r="H290" i="7" s="1"/>
  <c r="I280" i="7"/>
  <c r="I290" i="7" s="1"/>
  <c r="H414" i="7"/>
  <c r="H424" i="7" s="1"/>
  <c r="I414" i="7"/>
  <c r="I424" i="7" s="1"/>
  <c r="J280" i="7"/>
  <c r="J290" i="7" s="1"/>
  <c r="J414" i="7"/>
  <c r="J424" i="7" s="1"/>
  <c r="K280" i="7"/>
  <c r="K290" i="7" s="1"/>
  <c r="M280" i="7"/>
  <c r="M290" i="7" s="1"/>
  <c r="L280" i="7"/>
  <c r="K414" i="7"/>
  <c r="K424" i="7" s="1"/>
  <c r="N280" i="7"/>
  <c r="N290" i="7" s="1"/>
  <c r="L414" i="7"/>
  <c r="L424" i="7" s="1"/>
  <c r="M414" i="7"/>
  <c r="M424" i="7" s="1"/>
  <c r="N414" i="7"/>
  <c r="N424" i="7" s="1"/>
  <c r="O280" i="7"/>
  <c r="O290" i="7" s="1"/>
  <c r="O414" i="7"/>
  <c r="O424" i="7" s="1"/>
  <c r="P280" i="7"/>
  <c r="P290" i="7" s="1"/>
  <c r="Q280" i="7"/>
  <c r="Q290" i="7" s="1"/>
  <c r="P414" i="7"/>
  <c r="P424" i="7" s="1"/>
  <c r="R280" i="7"/>
  <c r="R290" i="7" s="1"/>
  <c r="Q414" i="7"/>
  <c r="Q424" i="7" s="1"/>
  <c r="S280" i="7"/>
  <c r="S290" i="7" s="1"/>
  <c r="R414" i="7"/>
  <c r="R424" i="7" s="1"/>
  <c r="S414" i="7"/>
  <c r="S424" i="7" s="1"/>
  <c r="T280" i="7"/>
  <c r="T290" i="7" s="1"/>
  <c r="U280" i="7"/>
  <c r="U290" i="7" s="1"/>
  <c r="T414" i="7"/>
  <c r="T424" i="7" s="1"/>
  <c r="V280" i="7"/>
  <c r="V290" i="7" s="1"/>
  <c r="U414" i="7"/>
  <c r="U424" i="7" s="1"/>
  <c r="W280" i="7"/>
  <c r="W290" i="7" s="1"/>
  <c r="V414" i="7"/>
  <c r="V424" i="7" s="1"/>
  <c r="X280" i="7"/>
  <c r="X290" i="7" s="1"/>
  <c r="W414" i="7"/>
  <c r="W424" i="7" s="1"/>
  <c r="X414" i="7"/>
  <c r="X424" i="7" s="1"/>
  <c r="Y280" i="7"/>
  <c r="Y290" i="7" s="1"/>
  <c r="Z280" i="7"/>
  <c r="Z290" i="7" s="1"/>
  <c r="Y414" i="7"/>
  <c r="Y424" i="7" s="1"/>
  <c r="AA280" i="7"/>
  <c r="AA290" i="7" s="1"/>
  <c r="AB280" i="7"/>
  <c r="AB290" i="7" s="1"/>
  <c r="Z414" i="7"/>
  <c r="Z424" i="7" s="1"/>
  <c r="AC280" i="7"/>
  <c r="AC290" i="7" s="1"/>
  <c r="AA414" i="7"/>
  <c r="AA424" i="7" s="1"/>
  <c r="AB414" i="7"/>
  <c r="AC414" i="7"/>
  <c r="AC424" i="7" s="1"/>
  <c r="AD280" i="7"/>
  <c r="AD290" i="7" s="1"/>
  <c r="AE280" i="7"/>
  <c r="AE290" i="7" s="1"/>
  <c r="AD414" i="7"/>
  <c r="AD424" i="7" s="1"/>
  <c r="AF280" i="7"/>
  <c r="AF290" i="7" s="1"/>
  <c r="AE414" i="7"/>
  <c r="AE424" i="7" s="1"/>
  <c r="AG280" i="7"/>
  <c r="AG290" i="7" s="1"/>
  <c r="AF414" i="7"/>
  <c r="AF424" i="7" s="1"/>
  <c r="AG414" i="7"/>
  <c r="AG424" i="7" s="1"/>
  <c r="AH280" i="7"/>
  <c r="AH290" i="7" s="1"/>
  <c r="AI280" i="7"/>
  <c r="AI290" i="7" s="1"/>
  <c r="AH414" i="7"/>
  <c r="AH424" i="7" s="1"/>
  <c r="AJ280" i="7"/>
  <c r="AJ290" i="7" s="1"/>
  <c r="AI414" i="7"/>
  <c r="AI424" i="7" s="1"/>
  <c r="AJ414" i="7"/>
  <c r="AJ424" i="7" s="1"/>
  <c r="AK280" i="7"/>
  <c r="AK290" i="7" s="1"/>
  <c r="AK414" i="7"/>
  <c r="AK424" i="7" s="1"/>
  <c r="AL280" i="7"/>
  <c r="AL290" i="7" s="1"/>
  <c r="AL414" i="7"/>
  <c r="AL424" i="7" s="1"/>
  <c r="AM280" i="7"/>
  <c r="AM290" i="7" s="1"/>
  <c r="AM414" i="7"/>
  <c r="AM424" i="7" s="1"/>
  <c r="AN280" i="7"/>
  <c r="AN290" i="7" s="1"/>
  <c r="AO280" i="7"/>
  <c r="AO290" i="7" s="1"/>
  <c r="AN414" i="7"/>
  <c r="AN424" i="7" s="1"/>
  <c r="AM664" i="7"/>
  <c r="AM636" i="7" s="1"/>
  <c r="AM73" i="7" s="1"/>
  <c r="AP407" i="7"/>
  <c r="AP419" i="7" s="1"/>
  <c r="B419" i="7" s="1"/>
  <c r="AP285" i="7"/>
  <c r="B285" i="7" s="1"/>
  <c r="AP434" i="7"/>
  <c r="AP446" i="7" s="1"/>
  <c r="B446" i="7" s="1"/>
  <c r="AP312" i="7"/>
  <c r="AP460" i="7"/>
  <c r="AP472" i="7" s="1"/>
  <c r="B472" i="7" s="1"/>
  <c r="AP338" i="7"/>
  <c r="B338" i="7" s="1"/>
  <c r="AO466" i="7"/>
  <c r="AO476" i="7" s="1"/>
  <c r="AP332" i="7"/>
  <c r="AP404" i="7"/>
  <c r="AP416" i="7" s="1"/>
  <c r="B416" i="7" s="1"/>
  <c r="AP282" i="7"/>
  <c r="B282" i="7" s="1"/>
  <c r="C306" i="7"/>
  <c r="D306" i="7"/>
  <c r="D316" i="7" s="1"/>
  <c r="F306" i="7"/>
  <c r="C440" i="7"/>
  <c r="D440" i="7"/>
  <c r="D450" i="7" s="1"/>
  <c r="E306" i="7"/>
  <c r="E316" i="7" s="1"/>
  <c r="F440" i="7"/>
  <c r="G306" i="7"/>
  <c r="G316" i="7" s="1"/>
  <c r="H306" i="7"/>
  <c r="H316" i="7" s="1"/>
  <c r="G440" i="7"/>
  <c r="G450" i="7" s="1"/>
  <c r="E440" i="7"/>
  <c r="I306" i="7"/>
  <c r="I316" i="7" s="1"/>
  <c r="H440" i="7"/>
  <c r="H450" i="7" s="1"/>
  <c r="I440" i="7"/>
  <c r="I450" i="7" s="1"/>
  <c r="J306" i="7"/>
  <c r="K306" i="7"/>
  <c r="K316" i="7" s="1"/>
  <c r="J440" i="7"/>
  <c r="K440" i="7"/>
  <c r="K450" i="7" s="1"/>
  <c r="L306" i="7"/>
  <c r="L440" i="7"/>
  <c r="L450" i="7" s="1"/>
  <c r="M306" i="7"/>
  <c r="M316" i="7" s="1"/>
  <c r="M440" i="7"/>
  <c r="M450" i="7" s="1"/>
  <c r="N306" i="7"/>
  <c r="N440" i="7"/>
  <c r="N450" i="7" s="1"/>
  <c r="O306" i="7"/>
  <c r="O316" i="7" s="1"/>
  <c r="P306" i="7"/>
  <c r="P316" i="7" s="1"/>
  <c r="O440" i="7"/>
  <c r="P440" i="7"/>
  <c r="P450" i="7" s="1"/>
  <c r="Q306" i="7"/>
  <c r="Q316" i="7" s="1"/>
  <c r="R306" i="7"/>
  <c r="R316" i="7" s="1"/>
  <c r="Q440" i="7"/>
  <c r="S306" i="7"/>
  <c r="S316" i="7" s="1"/>
  <c r="R440" i="7"/>
  <c r="R450" i="7" s="1"/>
  <c r="S440" i="7"/>
  <c r="S450" i="7" s="1"/>
  <c r="T306" i="7"/>
  <c r="T440" i="7"/>
  <c r="T450" i="7" s="1"/>
  <c r="U306" i="7"/>
  <c r="U316" i="7" s="1"/>
  <c r="U440" i="7"/>
  <c r="U450" i="7" s="1"/>
  <c r="V306" i="7"/>
  <c r="V440" i="7"/>
  <c r="V450" i="7" s="1"/>
  <c r="W306" i="7"/>
  <c r="W316" i="7" s="1"/>
  <c r="W440" i="7"/>
  <c r="W450" i="7" s="1"/>
  <c r="X306" i="7"/>
  <c r="X440" i="7"/>
  <c r="X450" i="7" s="1"/>
  <c r="Y306" i="7"/>
  <c r="Y316" i="7" s="1"/>
  <c r="Y440" i="7"/>
  <c r="Y450" i="7" s="1"/>
  <c r="Z306" i="7"/>
  <c r="Z440" i="7"/>
  <c r="Z450" i="7" s="1"/>
  <c r="AA306" i="7"/>
  <c r="AA316" i="7" s="1"/>
  <c r="AB306" i="7"/>
  <c r="AB316" i="7" s="1"/>
  <c r="AA440" i="7"/>
  <c r="AC306" i="7"/>
  <c r="AC316" i="7" s="1"/>
  <c r="AB440" i="7"/>
  <c r="AB450" i="7" s="1"/>
  <c r="AC440" i="7"/>
  <c r="AC450" i="7" s="1"/>
  <c r="AD306" i="7"/>
  <c r="AE306" i="7"/>
  <c r="AE316" i="7" s="1"/>
  <c r="AD440" i="7"/>
  <c r="AD450" i="7" s="1"/>
  <c r="AF306" i="7"/>
  <c r="AF316" i="7" s="1"/>
  <c r="AE440" i="7"/>
  <c r="AG306" i="7"/>
  <c r="AG316" i="7" s="1"/>
  <c r="AF440" i="7"/>
  <c r="AF450" i="7" s="1"/>
  <c r="AG440" i="7"/>
  <c r="AG450" i="7" s="1"/>
  <c r="AH306" i="7"/>
  <c r="AH440" i="7"/>
  <c r="AH450" i="7" s="1"/>
  <c r="AI306" i="7"/>
  <c r="AI316" i="7" s="1"/>
  <c r="AJ306" i="7"/>
  <c r="AJ316" i="7" s="1"/>
  <c r="AI440" i="7"/>
  <c r="AK306" i="7"/>
  <c r="AK316" i="7" s="1"/>
  <c r="AJ440" i="7"/>
  <c r="AK440" i="7"/>
  <c r="AK450" i="7" s="1"/>
  <c r="AL306" i="7"/>
  <c r="AM306" i="7"/>
  <c r="AM316" i="7" s="1"/>
  <c r="AL440" i="7"/>
  <c r="AL450" i="7" s="1"/>
  <c r="AM440" i="7"/>
  <c r="AM450" i="7" s="1"/>
  <c r="AN306" i="7"/>
  <c r="AO306" i="7"/>
  <c r="AO316" i="7" s="1"/>
  <c r="AN440" i="7"/>
  <c r="AN450" i="7" s="1"/>
  <c r="AP466" i="7"/>
  <c r="AP463" i="7"/>
  <c r="AP475" i="7" s="1"/>
  <c r="B475" i="7" s="1"/>
  <c r="AP341" i="7"/>
  <c r="B341" i="7" s="1"/>
  <c r="AP462" i="7"/>
  <c r="AP474" i="7" s="1"/>
  <c r="B474" i="7" s="1"/>
  <c r="AP340" i="7"/>
  <c r="B340" i="7" s="1"/>
  <c r="AP280" i="7"/>
  <c r="AP455" i="7"/>
  <c r="AP467" i="7" s="1"/>
  <c r="B467" i="7" s="1"/>
  <c r="AP333" i="7"/>
  <c r="B333" i="7" s="1"/>
  <c r="AP406" i="7"/>
  <c r="AP418" i="7" s="1"/>
  <c r="B418" i="7" s="1"/>
  <c r="AP284" i="7"/>
  <c r="B284" i="7" s="1"/>
  <c r="AP458" i="7"/>
  <c r="AP470" i="7" s="1"/>
  <c r="B470" i="7" s="1"/>
  <c r="AP336" i="7"/>
  <c r="B336" i="7" s="1"/>
  <c r="AO440" i="7"/>
  <c r="AO450" i="7" s="1"/>
  <c r="AP409" i="7"/>
  <c r="AP421" i="7" s="1"/>
  <c r="B421" i="7" s="1"/>
  <c r="AP287" i="7"/>
  <c r="B287" i="7" s="1"/>
  <c r="AP430" i="7"/>
  <c r="AP442" i="7" s="1"/>
  <c r="B442" i="7" s="1"/>
  <c r="AP308" i="7"/>
  <c r="B308" i="7" s="1"/>
  <c r="AP408" i="7"/>
  <c r="AP420" i="7" s="1"/>
  <c r="B420" i="7" s="1"/>
  <c r="AP286" i="7"/>
  <c r="AO414" i="7"/>
  <c r="AO424" i="7" s="1"/>
  <c r="AO664" i="7"/>
  <c r="AO636" i="7" s="1"/>
  <c r="AO73" i="7" s="1"/>
  <c r="AO89" i="7"/>
  <c r="AO90" i="7" s="1"/>
  <c r="Q71" i="7"/>
  <c r="T71" i="7"/>
  <c r="P71" i="7"/>
  <c r="S71" i="7"/>
  <c r="R71" i="7"/>
  <c r="AP435" i="7"/>
  <c r="AP447" i="7" s="1"/>
  <c r="B447" i="7" s="1"/>
  <c r="AP410" i="7"/>
  <c r="AP422" i="7" s="1"/>
  <c r="B422" i="7" s="1"/>
  <c r="AP405" i="7"/>
  <c r="AP664" i="7"/>
  <c r="AP636" i="7" s="1"/>
  <c r="AP73" i="7" s="1"/>
  <c r="AJ664" i="7"/>
  <c r="AJ636" i="7" s="1"/>
  <c r="AJ73" i="7" s="1"/>
  <c r="AH664" i="7"/>
  <c r="AH636" i="7" s="1"/>
  <c r="AH73" i="7" s="1"/>
  <c r="AK664" i="7"/>
  <c r="AK636" i="7" s="1"/>
  <c r="AK73" i="7" s="1"/>
  <c r="AL664" i="7"/>
  <c r="AL636" i="7" s="1"/>
  <c r="AL73" i="7" s="1"/>
  <c r="AG664" i="7"/>
  <c r="AG636" i="7" s="1"/>
  <c r="AG73" i="7" s="1"/>
  <c r="AA664" i="7"/>
  <c r="AA636" i="7" s="1"/>
  <c r="AA73" i="7" s="1"/>
  <c r="AN664" i="7"/>
  <c r="AN636" i="7" s="1"/>
  <c r="AN73" i="7" s="1"/>
  <c r="AI664" i="7"/>
  <c r="AI636" i="7" s="1"/>
  <c r="AI73" i="7" s="1"/>
  <c r="AP456" i="7"/>
  <c r="AF664" i="7"/>
  <c r="AF636" i="7" s="1"/>
  <c r="AF73" i="7" s="1"/>
  <c r="AC664" i="7"/>
  <c r="AC636" i="7" s="1"/>
  <c r="AC73" i="7" s="1"/>
  <c r="Z664" i="7"/>
  <c r="Z636" i="7" s="1"/>
  <c r="Z73" i="7" s="1"/>
  <c r="W664" i="7"/>
  <c r="W636" i="7" s="1"/>
  <c r="W73" i="7" s="1"/>
  <c r="AP433" i="7"/>
  <c r="AP429" i="7"/>
  <c r="AP461" i="7"/>
  <c r="X664" i="7"/>
  <c r="X636" i="7" s="1"/>
  <c r="X73" i="7" s="1"/>
  <c r="AD664" i="7"/>
  <c r="AD636" i="7" s="1"/>
  <c r="AD73" i="7" s="1"/>
  <c r="AP403" i="7"/>
  <c r="AB664" i="7"/>
  <c r="AB636" i="7" s="1"/>
  <c r="AB73" i="7" s="1"/>
  <c r="B335" i="7"/>
  <c r="AP432" i="7"/>
  <c r="AE664" i="7"/>
  <c r="AE636" i="7" s="1"/>
  <c r="AE73" i="7" s="1"/>
  <c r="Y664" i="7"/>
  <c r="Y636" i="7" s="1"/>
  <c r="Y73" i="7" s="1"/>
  <c r="O71" i="7"/>
  <c r="B659" i="7"/>
  <c r="B591" i="7"/>
  <c r="B658" i="7"/>
  <c r="B663" i="7"/>
  <c r="B662" i="7"/>
  <c r="B656" i="7"/>
  <c r="B661" i="7"/>
  <c r="B657" i="7"/>
  <c r="B660" i="7"/>
  <c r="B655" i="7"/>
  <c r="B592" i="7"/>
  <c r="B623" i="7"/>
  <c r="B624" i="7"/>
  <c r="AP71" i="7"/>
  <c r="B593" i="7"/>
  <c r="D654" i="7"/>
  <c r="D664" i="7" s="1"/>
  <c r="D636" i="7" s="1"/>
  <c r="D73" i="7" s="1"/>
  <c r="C654" i="7"/>
  <c r="E654" i="7"/>
  <c r="E664" i="7" s="1"/>
  <c r="E636" i="7" s="1"/>
  <c r="E73" i="7" s="1"/>
  <c r="F654" i="7"/>
  <c r="F664" i="7" s="1"/>
  <c r="F636" i="7" s="1"/>
  <c r="F73" i="7" s="1"/>
  <c r="G654" i="7"/>
  <c r="G664" i="7" s="1"/>
  <c r="G636" i="7" s="1"/>
  <c r="G73" i="7" s="1"/>
  <c r="H654" i="7"/>
  <c r="H664" i="7" s="1"/>
  <c r="H636" i="7" s="1"/>
  <c r="H73" i="7" s="1"/>
  <c r="I654" i="7"/>
  <c r="I664" i="7" s="1"/>
  <c r="I636" i="7" s="1"/>
  <c r="I73" i="7" s="1"/>
  <c r="J654" i="7"/>
  <c r="J664" i="7" s="1"/>
  <c r="J636" i="7" s="1"/>
  <c r="J73" i="7" s="1"/>
  <c r="K654" i="7"/>
  <c r="K664" i="7" s="1"/>
  <c r="K636" i="7" s="1"/>
  <c r="K73" i="7" s="1"/>
  <c r="L654" i="7"/>
  <c r="L664" i="7" s="1"/>
  <c r="L636" i="7" s="1"/>
  <c r="L73" i="7" s="1"/>
  <c r="M654" i="7"/>
  <c r="M664" i="7" s="1"/>
  <c r="M636" i="7" s="1"/>
  <c r="M73" i="7" s="1"/>
  <c r="N654" i="7"/>
  <c r="N664" i="7" s="1"/>
  <c r="N636" i="7" s="1"/>
  <c r="N73" i="7" s="1"/>
  <c r="O654" i="7"/>
  <c r="O664" i="7" s="1"/>
  <c r="O636" i="7" s="1"/>
  <c r="O73" i="7" s="1"/>
  <c r="P654" i="7"/>
  <c r="P664" i="7" s="1"/>
  <c r="P636" i="7" s="1"/>
  <c r="P73" i="7" s="1"/>
  <c r="Q654" i="7"/>
  <c r="Q664" i="7" s="1"/>
  <c r="Q636" i="7" s="1"/>
  <c r="Q73" i="7" s="1"/>
  <c r="R654" i="7"/>
  <c r="R664" i="7" s="1"/>
  <c r="R636" i="7" s="1"/>
  <c r="R73" i="7" s="1"/>
  <c r="S654" i="7"/>
  <c r="S664" i="7" s="1"/>
  <c r="S636" i="7" s="1"/>
  <c r="S73" i="7" s="1"/>
  <c r="T654" i="7"/>
  <c r="T664" i="7" s="1"/>
  <c r="T636" i="7" s="1"/>
  <c r="T73" i="7" s="1"/>
  <c r="U654" i="7"/>
  <c r="U664" i="7" s="1"/>
  <c r="U636" i="7" s="1"/>
  <c r="U73" i="7" s="1"/>
  <c r="V654" i="7"/>
  <c r="V664" i="7" s="1"/>
  <c r="V636" i="7" s="1"/>
  <c r="V73" i="7" s="1"/>
  <c r="I476" i="7"/>
  <c r="O476" i="7"/>
  <c r="D342" i="7"/>
  <c r="E342" i="7"/>
  <c r="O342" i="7"/>
  <c r="K476" i="7"/>
  <c r="L476" i="7"/>
  <c r="P476" i="7"/>
  <c r="S476" i="7"/>
  <c r="H342" i="7"/>
  <c r="R342" i="7"/>
  <c r="V342" i="7"/>
  <c r="X342" i="7"/>
  <c r="Y476" i="7"/>
  <c r="Z476" i="7"/>
  <c r="AA476" i="7"/>
  <c r="AD342" i="7"/>
  <c r="AF342" i="7"/>
  <c r="AH342" i="7"/>
  <c r="AI342" i="7"/>
  <c r="AI476" i="7"/>
  <c r="AL342" i="7"/>
  <c r="AM476" i="7"/>
  <c r="AP632" i="7"/>
  <c r="AP604" i="7" s="1"/>
  <c r="AP72" i="7" s="1"/>
  <c r="B334" i="7"/>
  <c r="B288" i="7"/>
  <c r="AP79" i="7"/>
  <c r="B315" i="7"/>
  <c r="B449" i="7"/>
  <c r="B313" i="7"/>
  <c r="B307" i="7"/>
  <c r="D622" i="7"/>
  <c r="D632" i="7" s="1"/>
  <c r="D604" i="7" s="1"/>
  <c r="D72" i="7" s="1"/>
  <c r="C622" i="7"/>
  <c r="E622" i="7"/>
  <c r="E632" i="7" s="1"/>
  <c r="E604" i="7" s="1"/>
  <c r="E72" i="7" s="1"/>
  <c r="F622" i="7"/>
  <c r="F632" i="7" s="1"/>
  <c r="F604" i="7" s="1"/>
  <c r="F72" i="7" s="1"/>
  <c r="G622" i="7"/>
  <c r="G632" i="7" s="1"/>
  <c r="G604" i="7" s="1"/>
  <c r="G72" i="7" s="1"/>
  <c r="H622" i="7"/>
  <c r="H632" i="7" s="1"/>
  <c r="H604" i="7" s="1"/>
  <c r="H72" i="7" s="1"/>
  <c r="I622" i="7"/>
  <c r="I632" i="7" s="1"/>
  <c r="I604" i="7" s="1"/>
  <c r="I72" i="7" s="1"/>
  <c r="J622" i="7"/>
  <c r="J632" i="7" s="1"/>
  <c r="J604" i="7" s="1"/>
  <c r="J72" i="7" s="1"/>
  <c r="K622" i="7"/>
  <c r="K632" i="7" s="1"/>
  <c r="K604" i="7" s="1"/>
  <c r="K72" i="7" s="1"/>
  <c r="L622" i="7"/>
  <c r="L632" i="7" s="1"/>
  <c r="L604" i="7" s="1"/>
  <c r="L72" i="7" s="1"/>
  <c r="M622" i="7"/>
  <c r="M632" i="7" s="1"/>
  <c r="M604" i="7" s="1"/>
  <c r="N622" i="7"/>
  <c r="N632" i="7" s="1"/>
  <c r="N604" i="7" s="1"/>
  <c r="O622" i="7"/>
  <c r="O632" i="7" s="1"/>
  <c r="O604" i="7" s="1"/>
  <c r="P622" i="7"/>
  <c r="P632" i="7" s="1"/>
  <c r="P604" i="7" s="1"/>
  <c r="Q622" i="7"/>
  <c r="Q632" i="7" s="1"/>
  <c r="Q604" i="7" s="1"/>
  <c r="V316" i="7"/>
  <c r="E450" i="7"/>
  <c r="F450" i="7"/>
  <c r="O450" i="7"/>
  <c r="L316" i="7"/>
  <c r="N316" i="7"/>
  <c r="J450" i="7"/>
  <c r="Q450" i="7"/>
  <c r="F316" i="7"/>
  <c r="J316" i="7"/>
  <c r="T316" i="7"/>
  <c r="X316" i="7"/>
  <c r="Z316" i="7"/>
  <c r="AA450" i="7"/>
  <c r="AD316" i="7"/>
  <c r="AE450" i="7"/>
  <c r="AH316" i="7"/>
  <c r="AI450" i="7"/>
  <c r="AJ450" i="7"/>
  <c r="AL316" i="7"/>
  <c r="AN316" i="7"/>
  <c r="D590" i="7"/>
  <c r="D600" i="7" s="1"/>
  <c r="D572" i="7" s="1"/>
  <c r="C590" i="7"/>
  <c r="E590" i="7"/>
  <c r="E600" i="7" s="1"/>
  <c r="E572" i="7" s="1"/>
  <c r="F590" i="7"/>
  <c r="F600" i="7" s="1"/>
  <c r="F572" i="7" s="1"/>
  <c r="G590" i="7"/>
  <c r="G600" i="7" s="1"/>
  <c r="G572" i="7" s="1"/>
  <c r="H590" i="7"/>
  <c r="H600" i="7" s="1"/>
  <c r="H572" i="7" s="1"/>
  <c r="I590" i="7"/>
  <c r="I600" i="7" s="1"/>
  <c r="I572" i="7" s="1"/>
  <c r="J590" i="7"/>
  <c r="J600" i="7" s="1"/>
  <c r="J572" i="7" s="1"/>
  <c r="K590" i="7"/>
  <c r="K600" i="7" s="1"/>
  <c r="K572" i="7" s="1"/>
  <c r="L590" i="7"/>
  <c r="L600" i="7" s="1"/>
  <c r="L572" i="7" s="1"/>
  <c r="M590" i="7"/>
  <c r="M600" i="7" s="1"/>
  <c r="M572" i="7" s="1"/>
  <c r="N590" i="7"/>
  <c r="N600" i="7" s="1"/>
  <c r="N572" i="7" s="1"/>
  <c r="L290" i="7"/>
  <c r="AB424" i="7"/>
  <c r="B310" i="7"/>
  <c r="B339" i="7"/>
  <c r="B471" i="7"/>
  <c r="B311" i="7"/>
  <c r="B283" i="7"/>
  <c r="B281" i="7"/>
  <c r="P542" i="7" l="1"/>
  <c r="V542" i="7"/>
  <c r="U542" i="7"/>
  <c r="Q542" i="7"/>
  <c r="AP444" i="7"/>
  <c r="B444" i="7" s="1"/>
  <c r="AP445" i="7"/>
  <c r="B445" i="7" s="1"/>
  <c r="AP417" i="7"/>
  <c r="B417" i="7" s="1"/>
  <c r="AP473" i="7"/>
  <c r="B473" i="7" s="1"/>
  <c r="AP468" i="7"/>
  <c r="B468" i="7" s="1"/>
  <c r="AP441" i="7"/>
  <c r="B441" i="7" s="1"/>
  <c r="AP415" i="7"/>
  <c r="B415" i="7" s="1"/>
  <c r="AP89" i="7"/>
  <c r="AP90" i="7" s="1"/>
  <c r="S542" i="7"/>
  <c r="T542" i="7"/>
  <c r="R542" i="7"/>
  <c r="AP316" i="7"/>
  <c r="AP342" i="7"/>
  <c r="B312" i="7"/>
  <c r="AP290" i="7"/>
  <c r="B286" i="7"/>
  <c r="O542" i="7"/>
  <c r="L542" i="7"/>
  <c r="J542" i="7"/>
  <c r="H542" i="7"/>
  <c r="F542" i="7"/>
  <c r="N71" i="7"/>
  <c r="N542" i="7"/>
  <c r="M71" i="7"/>
  <c r="M542" i="7"/>
  <c r="K542" i="7"/>
  <c r="I542" i="7"/>
  <c r="G542" i="7"/>
  <c r="E542" i="7"/>
  <c r="D542" i="7"/>
  <c r="P72" i="7"/>
  <c r="N72" i="7"/>
  <c r="Q72" i="7"/>
  <c r="O72" i="7"/>
  <c r="M72" i="7"/>
  <c r="K71" i="7"/>
  <c r="I71" i="7"/>
  <c r="G71" i="7"/>
  <c r="E71" i="7"/>
  <c r="D71" i="7"/>
  <c r="L71" i="7"/>
  <c r="J71" i="7"/>
  <c r="H71" i="7"/>
  <c r="F71" i="7"/>
  <c r="B590" i="7"/>
  <c r="C600" i="7"/>
  <c r="C572" i="7" s="1"/>
  <c r="B440" i="7"/>
  <c r="C450" i="7"/>
  <c r="B622" i="7"/>
  <c r="C632" i="7"/>
  <c r="C604" i="7" s="1"/>
  <c r="C664" i="7"/>
  <c r="C636" i="7" s="1"/>
  <c r="B654" i="7"/>
  <c r="C290" i="7"/>
  <c r="B280" i="7"/>
  <c r="C424" i="7"/>
  <c r="B414" i="7"/>
  <c r="C316" i="7"/>
  <c r="B306" i="7"/>
  <c r="C342" i="7"/>
  <c r="B332" i="7"/>
  <c r="B466" i="7"/>
  <c r="C476" i="7"/>
  <c r="C542" i="7" l="1"/>
  <c r="AP450" i="7"/>
  <c r="AP424" i="7"/>
  <c r="AP476" i="7"/>
  <c r="C73" i="7"/>
  <c r="C638" i="7"/>
  <c r="D635" i="7" s="1"/>
  <c r="D638" i="7" s="1"/>
  <c r="E635" i="7" s="1"/>
  <c r="E638" i="7" s="1"/>
  <c r="F635" i="7" s="1"/>
  <c r="F638" i="7" s="1"/>
  <c r="G635" i="7" s="1"/>
  <c r="G638" i="7" s="1"/>
  <c r="H635" i="7" s="1"/>
  <c r="H638" i="7" s="1"/>
  <c r="I635" i="7" s="1"/>
  <c r="I638" i="7" s="1"/>
  <c r="J635" i="7" s="1"/>
  <c r="J638" i="7" s="1"/>
  <c r="K635" i="7" s="1"/>
  <c r="K638" i="7" s="1"/>
  <c r="L635" i="7" s="1"/>
  <c r="L638" i="7" s="1"/>
  <c r="M635" i="7" s="1"/>
  <c r="M638" i="7" s="1"/>
  <c r="N635" i="7" s="1"/>
  <c r="N638" i="7" s="1"/>
  <c r="O635" i="7" s="1"/>
  <c r="O638" i="7" s="1"/>
  <c r="P635" i="7" s="1"/>
  <c r="P638" i="7" s="1"/>
  <c r="Q635" i="7" s="1"/>
  <c r="Q638" i="7" s="1"/>
  <c r="R635" i="7" s="1"/>
  <c r="R638" i="7" s="1"/>
  <c r="S635" i="7" s="1"/>
  <c r="S638" i="7" s="1"/>
  <c r="T635" i="7" s="1"/>
  <c r="T638" i="7" s="1"/>
  <c r="U635" i="7" s="1"/>
  <c r="U638" i="7" s="1"/>
  <c r="V635" i="7" s="1"/>
  <c r="V638" i="7" s="1"/>
  <c r="W635" i="7" s="1"/>
  <c r="W638" i="7" s="1"/>
  <c r="X635" i="7" s="1"/>
  <c r="X638" i="7" s="1"/>
  <c r="Y635" i="7" s="1"/>
  <c r="Y638" i="7" s="1"/>
  <c r="Z635" i="7" s="1"/>
  <c r="Z638" i="7" s="1"/>
  <c r="AA635" i="7" s="1"/>
  <c r="AA638" i="7" s="1"/>
  <c r="AB635" i="7" s="1"/>
  <c r="AB638" i="7" s="1"/>
  <c r="AC635" i="7" s="1"/>
  <c r="AC638" i="7" s="1"/>
  <c r="AD635" i="7" s="1"/>
  <c r="AD638" i="7" s="1"/>
  <c r="AE635" i="7" s="1"/>
  <c r="AE638" i="7" s="1"/>
  <c r="AF635" i="7" s="1"/>
  <c r="AF638" i="7" s="1"/>
  <c r="AG635" i="7" s="1"/>
  <c r="AG638" i="7" s="1"/>
  <c r="AH635" i="7" s="1"/>
  <c r="AH638" i="7" s="1"/>
  <c r="AI635" i="7" s="1"/>
  <c r="AI638" i="7" s="1"/>
  <c r="AJ635" i="7" s="1"/>
  <c r="AJ638" i="7" s="1"/>
  <c r="AK635" i="7" s="1"/>
  <c r="AK638" i="7" s="1"/>
  <c r="AL635" i="7" s="1"/>
  <c r="AL638" i="7" s="1"/>
  <c r="AM635" i="7" s="1"/>
  <c r="AM638" i="7" s="1"/>
  <c r="AN635" i="7" s="1"/>
  <c r="AN638" i="7" s="1"/>
  <c r="AO635" i="7" s="1"/>
  <c r="AO638" i="7" s="1"/>
  <c r="AP635" i="7" s="1"/>
  <c r="AP638" i="7" s="1"/>
  <c r="C72" i="7"/>
  <c r="C606" i="7"/>
  <c r="D603" i="7" s="1"/>
  <c r="D606" i="7" s="1"/>
  <c r="E603" i="7" s="1"/>
  <c r="E606" i="7" s="1"/>
  <c r="F603" i="7" s="1"/>
  <c r="F606" i="7" s="1"/>
  <c r="G603" i="7" s="1"/>
  <c r="G606" i="7" s="1"/>
  <c r="H603" i="7" s="1"/>
  <c r="H606" i="7" s="1"/>
  <c r="I603" i="7" s="1"/>
  <c r="I606" i="7" s="1"/>
  <c r="J603" i="7" s="1"/>
  <c r="J606" i="7" s="1"/>
  <c r="K603" i="7" s="1"/>
  <c r="K606" i="7" s="1"/>
  <c r="L603" i="7" s="1"/>
  <c r="L606" i="7" s="1"/>
  <c r="M603" i="7" s="1"/>
  <c r="M606" i="7" s="1"/>
  <c r="N603" i="7" s="1"/>
  <c r="N606" i="7" s="1"/>
  <c r="O603" i="7" s="1"/>
  <c r="O606" i="7" s="1"/>
  <c r="P603" i="7" s="1"/>
  <c r="P606" i="7" s="1"/>
  <c r="Q603" i="7" s="1"/>
  <c r="Q606" i="7" s="1"/>
  <c r="R603" i="7" s="1"/>
  <c r="R606" i="7" s="1"/>
  <c r="S603" i="7" s="1"/>
  <c r="S606" i="7" s="1"/>
  <c r="T603" i="7" s="1"/>
  <c r="T606" i="7" s="1"/>
  <c r="U603" i="7" s="1"/>
  <c r="U606" i="7" s="1"/>
  <c r="V603" i="7" s="1"/>
  <c r="V606" i="7" s="1"/>
  <c r="W603" i="7" s="1"/>
  <c r="W606" i="7" s="1"/>
  <c r="X603" i="7" s="1"/>
  <c r="X606" i="7" s="1"/>
  <c r="Y603" i="7" s="1"/>
  <c r="Y606" i="7" s="1"/>
  <c r="Z603" i="7" s="1"/>
  <c r="Z606" i="7" s="1"/>
  <c r="AA603" i="7" s="1"/>
  <c r="AA606" i="7" s="1"/>
  <c r="AB603" i="7" s="1"/>
  <c r="AB606" i="7" s="1"/>
  <c r="AC603" i="7" s="1"/>
  <c r="AC606" i="7" s="1"/>
  <c r="AD603" i="7" s="1"/>
  <c r="AD606" i="7" s="1"/>
  <c r="AE603" i="7" s="1"/>
  <c r="AE606" i="7" s="1"/>
  <c r="AF603" i="7" s="1"/>
  <c r="AF606" i="7" s="1"/>
  <c r="AG603" i="7" s="1"/>
  <c r="AG606" i="7" s="1"/>
  <c r="AH603" i="7" s="1"/>
  <c r="AH606" i="7" s="1"/>
  <c r="AI603" i="7" s="1"/>
  <c r="AI606" i="7" s="1"/>
  <c r="AJ603" i="7" s="1"/>
  <c r="AJ606" i="7" s="1"/>
  <c r="AK603" i="7" s="1"/>
  <c r="AK606" i="7" s="1"/>
  <c r="AL603" i="7" s="1"/>
  <c r="AL606" i="7" s="1"/>
  <c r="AM603" i="7" s="1"/>
  <c r="AM606" i="7" s="1"/>
  <c r="AN603" i="7" s="1"/>
  <c r="AN606" i="7" s="1"/>
  <c r="AO603" i="7" s="1"/>
  <c r="AO606" i="7" s="1"/>
  <c r="AP603" i="7" s="1"/>
  <c r="AP606" i="7" s="1"/>
  <c r="C71" i="7"/>
  <c r="C574" i="7"/>
  <c r="D571" i="7" s="1"/>
  <c r="D574" i="7" s="1"/>
  <c r="E571" i="7" s="1"/>
  <c r="E574" i="7" s="1"/>
  <c r="F571" i="7" s="1"/>
  <c r="F574" i="7" s="1"/>
  <c r="G571" i="7" s="1"/>
  <c r="G574" i="7" s="1"/>
  <c r="H571" i="7" s="1"/>
  <c r="H574" i="7" s="1"/>
  <c r="I571" i="7" s="1"/>
  <c r="I574" i="7" s="1"/>
  <c r="J571" i="7" s="1"/>
  <c r="J574" i="7" s="1"/>
  <c r="K571" i="7" s="1"/>
  <c r="K574" i="7" s="1"/>
  <c r="L571" i="7" s="1"/>
  <c r="L574" i="7" s="1"/>
  <c r="M571" i="7" l="1"/>
  <c r="M574" i="7" s="1"/>
  <c r="N571" i="7" l="1"/>
  <c r="N574" i="7" s="1"/>
  <c r="AO528" i="7" l="1"/>
  <c r="AO529" i="7" s="1"/>
  <c r="AO17" i="7" s="1"/>
  <c r="AO524" i="7"/>
  <c r="AO525" i="7" s="1"/>
  <c r="AO489" i="7"/>
  <c r="AO490" i="7" s="1"/>
  <c r="AO105" i="7" s="1"/>
  <c r="AO520" i="7"/>
  <c r="AO521" i="7" s="1"/>
  <c r="AO516" i="7"/>
  <c r="AO517" i="7" s="1"/>
  <c r="AO483" i="7"/>
  <c r="AO484" i="7" s="1"/>
  <c r="AO104" i="7" s="1"/>
  <c r="AO32" i="7"/>
  <c r="AO34" i="7" s="1"/>
  <c r="AO41" i="7" s="1"/>
  <c r="AN524" i="7"/>
  <c r="AN525" i="7" s="1"/>
  <c r="AN489" i="7"/>
  <c r="AN490" i="7" s="1"/>
  <c r="AN105" i="7" s="1"/>
  <c r="AN528" i="7"/>
  <c r="AN529" i="7" s="1"/>
  <c r="AN17" i="7" s="1"/>
  <c r="AN516" i="7"/>
  <c r="AN517" i="7" s="1"/>
  <c r="AN483" i="7"/>
  <c r="AN484" i="7" s="1"/>
  <c r="AN104" i="7" s="1"/>
  <c r="AN520" i="7"/>
  <c r="AN521" i="7" s="1"/>
  <c r="AN32" i="7"/>
  <c r="AN34" i="7" s="1"/>
  <c r="AN41" i="7" s="1"/>
  <c r="AM520" i="7"/>
  <c r="AM521" i="7" s="1"/>
  <c r="AM516" i="7"/>
  <c r="AM517" i="7" s="1"/>
  <c r="AM483" i="7"/>
  <c r="AM484" i="7" s="1"/>
  <c r="AM104" i="7" s="1"/>
  <c r="AM32" i="7"/>
  <c r="AM34" i="7" s="1"/>
  <c r="AM41" i="7" s="1"/>
  <c r="AM528" i="7"/>
  <c r="AM529" i="7" s="1"/>
  <c r="AM17" i="7" s="1"/>
  <c r="AM524" i="7"/>
  <c r="AM525" i="7" s="1"/>
  <c r="AM489" i="7"/>
  <c r="AM490" i="7" s="1"/>
  <c r="AM105" i="7" s="1"/>
  <c r="AL524" i="7"/>
  <c r="AL525" i="7" s="1"/>
  <c r="AL489" i="7"/>
  <c r="AL490" i="7" s="1"/>
  <c r="AL105" i="7" s="1"/>
  <c r="AL528" i="7"/>
  <c r="AL529" i="7" s="1"/>
  <c r="AL17" i="7" s="1"/>
  <c r="AL516" i="7"/>
  <c r="AL517" i="7" s="1"/>
  <c r="AL483" i="7"/>
  <c r="AL484" i="7" s="1"/>
  <c r="AL104" i="7" s="1"/>
  <c r="AL520" i="7"/>
  <c r="AL521" i="7" s="1"/>
  <c r="AL32" i="7"/>
  <c r="AL34" i="7" s="1"/>
  <c r="AL41" i="7" s="1"/>
  <c r="AK528" i="7"/>
  <c r="AK529" i="7" s="1"/>
  <c r="AK17" i="7" s="1"/>
  <c r="AK524" i="7"/>
  <c r="AK525" i="7" s="1"/>
  <c r="AK520" i="7"/>
  <c r="AK521" i="7" s="1"/>
  <c r="AK516" i="7"/>
  <c r="AK517" i="7" s="1"/>
  <c r="AK483" i="7"/>
  <c r="AK484" i="7" s="1"/>
  <c r="AK104" i="7" s="1"/>
  <c r="AK32" i="7"/>
  <c r="AK34" i="7" s="1"/>
  <c r="AK41" i="7" s="1"/>
  <c r="AK489" i="7"/>
  <c r="AK490" i="7" s="1"/>
  <c r="AK105" i="7" s="1"/>
  <c r="AJ516" i="7"/>
  <c r="AJ517" i="7" s="1"/>
  <c r="AJ483" i="7"/>
  <c r="AJ484" i="7" s="1"/>
  <c r="AJ104" i="7" s="1"/>
  <c r="AJ520" i="7"/>
  <c r="AJ521" i="7" s="1"/>
  <c r="AJ32" i="7"/>
  <c r="AJ34" i="7" s="1"/>
  <c r="AJ41" i="7" s="1"/>
  <c r="AJ524" i="7"/>
  <c r="AJ525" i="7" s="1"/>
  <c r="AJ489" i="7"/>
  <c r="AJ490" i="7" s="1"/>
  <c r="AJ105" i="7" s="1"/>
  <c r="AJ528" i="7"/>
  <c r="AJ529" i="7" s="1"/>
  <c r="AJ17" i="7" s="1"/>
  <c r="AH516" i="7"/>
  <c r="AH517" i="7" s="1"/>
  <c r="AH483" i="7"/>
  <c r="AH484" i="7" s="1"/>
  <c r="AH104" i="7" s="1"/>
  <c r="AH520" i="7"/>
  <c r="AH521" i="7" s="1"/>
  <c r="AH32" i="7"/>
  <c r="AH34" i="7" s="1"/>
  <c r="AH41" i="7" s="1"/>
  <c r="AH524" i="7"/>
  <c r="AH525" i="7" s="1"/>
  <c r="AH489" i="7"/>
  <c r="AH490" i="7" s="1"/>
  <c r="AH105" i="7" s="1"/>
  <c r="AH528" i="7"/>
  <c r="AH529" i="7" s="1"/>
  <c r="AH17" i="7" s="1"/>
  <c r="AG520" i="7"/>
  <c r="AG521" i="7" s="1"/>
  <c r="AG516" i="7"/>
  <c r="AG517" i="7" s="1"/>
  <c r="AG483" i="7"/>
  <c r="AG484" i="7" s="1"/>
  <c r="AG104" i="7" s="1"/>
  <c r="AG32" i="7"/>
  <c r="AG34" i="7" s="1"/>
  <c r="AG41" i="7" s="1"/>
  <c r="AG528" i="7"/>
  <c r="AG529" i="7" s="1"/>
  <c r="AG17" i="7" s="1"/>
  <c r="AG524" i="7"/>
  <c r="AG525" i="7" s="1"/>
  <c r="AG489" i="7"/>
  <c r="AG490" i="7" s="1"/>
  <c r="AG105" i="7" s="1"/>
  <c r="AP524" i="7"/>
  <c r="AP525" i="7" s="1"/>
  <c r="AP489" i="7"/>
  <c r="AP490" i="7" s="1"/>
  <c r="AP105" i="7" s="1"/>
  <c r="AP528" i="7"/>
  <c r="AP529" i="7" s="1"/>
  <c r="AP17" i="7" s="1"/>
  <c r="AP516" i="7"/>
  <c r="AP517" i="7" s="1"/>
  <c r="AP483" i="7"/>
  <c r="AP484" i="7" s="1"/>
  <c r="AP104" i="7" s="1"/>
  <c r="AP520" i="7"/>
  <c r="AP521" i="7" s="1"/>
  <c r="AP32" i="7"/>
  <c r="AP34" i="7" s="1"/>
  <c r="AP41" i="7" s="1"/>
  <c r="AI520" i="7"/>
  <c r="AI521" i="7" s="1"/>
  <c r="AI483" i="7"/>
  <c r="AI484" i="7" s="1"/>
  <c r="AI104" i="7" s="1"/>
  <c r="AI528" i="7"/>
  <c r="AI529" i="7" s="1"/>
  <c r="AI17" i="7" s="1"/>
  <c r="AI524" i="7"/>
  <c r="AI525" i="7" s="1"/>
  <c r="AI489" i="7"/>
  <c r="AI490" i="7" s="1"/>
  <c r="AI105" i="7" s="1"/>
  <c r="AI516" i="7"/>
  <c r="AI517" i="7" s="1"/>
  <c r="AI32" i="7"/>
  <c r="AI34" i="7" s="1"/>
  <c r="AI41" i="7" s="1"/>
  <c r="C516" i="7"/>
  <c r="C517" i="7" s="1"/>
  <c r="C32" i="7"/>
  <c r="C34" i="7" s="1"/>
  <c r="C41" i="7" s="1"/>
  <c r="C524" i="7"/>
  <c r="C525" i="7" s="1"/>
  <c r="C124" i="7"/>
  <c r="C520" i="7"/>
  <c r="C521" i="7" s="1"/>
  <c r="C483" i="7"/>
  <c r="C484" i="7" s="1"/>
  <c r="C104" i="7" s="1"/>
  <c r="C528" i="7"/>
  <c r="C529" i="7" s="1"/>
  <c r="C17" i="7" s="1"/>
  <c r="C18" i="7" s="1"/>
  <c r="C20" i="7" s="1"/>
  <c r="C489" i="7"/>
  <c r="C490" i="7" s="1"/>
  <c r="C105" i="7" s="1"/>
  <c r="G528" i="7"/>
  <c r="G529" i="7" s="1"/>
  <c r="G17" i="7" s="1"/>
  <c r="G489" i="7"/>
  <c r="G490" i="7" s="1"/>
  <c r="G105" i="7" s="1"/>
  <c r="G516" i="7"/>
  <c r="G517" i="7" s="1"/>
  <c r="G32" i="7"/>
  <c r="G34" i="7" s="1"/>
  <c r="G41" i="7" s="1"/>
  <c r="G524" i="7"/>
  <c r="G525" i="7" s="1"/>
  <c r="G124" i="7"/>
  <c r="G520" i="7"/>
  <c r="G521" i="7" s="1"/>
  <c r="G483" i="7"/>
  <c r="G484" i="7" s="1"/>
  <c r="G104" i="7" s="1"/>
  <c r="K528" i="7"/>
  <c r="K529" i="7" s="1"/>
  <c r="K17" i="7" s="1"/>
  <c r="K489" i="7"/>
  <c r="K490" i="7" s="1"/>
  <c r="K105" i="7" s="1"/>
  <c r="K483" i="7"/>
  <c r="K484" i="7" s="1"/>
  <c r="K104" i="7" s="1"/>
  <c r="K516" i="7"/>
  <c r="K517" i="7" s="1"/>
  <c r="K524" i="7"/>
  <c r="K525" i="7" s="1"/>
  <c r="K124" i="7"/>
  <c r="K520" i="7"/>
  <c r="K521" i="7" s="1"/>
  <c r="K32" i="7"/>
  <c r="K34" i="7" s="1"/>
  <c r="K41" i="7" s="1"/>
  <c r="O528" i="7"/>
  <c r="O529" i="7" s="1"/>
  <c r="O17" i="7" s="1"/>
  <c r="O124" i="7"/>
  <c r="O516" i="7"/>
  <c r="O517" i="7" s="1"/>
  <c r="O32" i="7"/>
  <c r="O34" i="7" s="1"/>
  <c r="O41" i="7" s="1"/>
  <c r="O524" i="7"/>
  <c r="O525" i="7" s="1"/>
  <c r="O520" i="7"/>
  <c r="O521" i="7" s="1"/>
  <c r="O483" i="7"/>
  <c r="O484" i="7" s="1"/>
  <c r="O104" i="7" s="1"/>
  <c r="O489" i="7"/>
  <c r="O490" i="7" s="1"/>
  <c r="O105" i="7" s="1"/>
  <c r="S520" i="7"/>
  <c r="S521" i="7" s="1"/>
  <c r="S483" i="7"/>
  <c r="S484" i="7" s="1"/>
  <c r="S104" i="7" s="1"/>
  <c r="S528" i="7"/>
  <c r="S529" i="7" s="1"/>
  <c r="S17" i="7" s="1"/>
  <c r="S489" i="7"/>
  <c r="S490" i="7" s="1"/>
  <c r="S105" i="7" s="1"/>
  <c r="S516" i="7"/>
  <c r="S517" i="7" s="1"/>
  <c r="S32" i="7"/>
  <c r="S34" i="7" s="1"/>
  <c r="S41" i="7" s="1"/>
  <c r="S524" i="7"/>
  <c r="S525" i="7" s="1"/>
  <c r="S124" i="7"/>
  <c r="W520" i="7"/>
  <c r="W521" i="7" s="1"/>
  <c r="W483" i="7"/>
  <c r="W484" i="7" s="1"/>
  <c r="W104" i="7" s="1"/>
  <c r="W528" i="7"/>
  <c r="W529" i="7" s="1"/>
  <c r="W17" i="7" s="1"/>
  <c r="W489" i="7"/>
  <c r="W490" i="7" s="1"/>
  <c r="W105" i="7" s="1"/>
  <c r="W516" i="7"/>
  <c r="W517" i="7" s="1"/>
  <c r="W32" i="7"/>
  <c r="W34" i="7" s="1"/>
  <c r="W41" i="7" s="1"/>
  <c r="W524" i="7"/>
  <c r="W525" i="7" s="1"/>
  <c r="W124" i="7"/>
  <c r="AA520" i="7"/>
  <c r="AA521" i="7" s="1"/>
  <c r="AA483" i="7"/>
  <c r="AA484" i="7" s="1"/>
  <c r="AA104" i="7" s="1"/>
  <c r="AA528" i="7"/>
  <c r="AA529" i="7" s="1"/>
  <c r="AA17" i="7" s="1"/>
  <c r="AA489" i="7"/>
  <c r="AA490" i="7" s="1"/>
  <c r="AA105" i="7" s="1"/>
  <c r="AA516" i="7"/>
  <c r="AA517" i="7" s="1"/>
  <c r="AA32" i="7"/>
  <c r="AA34" i="7" s="1"/>
  <c r="AA41" i="7" s="1"/>
  <c r="AA524" i="7"/>
  <c r="AA525" i="7" s="1"/>
  <c r="AA124" i="7"/>
  <c r="AE528" i="7"/>
  <c r="AE529" i="7" s="1"/>
  <c r="AE17" i="7" s="1"/>
  <c r="AE489" i="7"/>
  <c r="AE490" i="7" s="1"/>
  <c r="AE105" i="7" s="1"/>
  <c r="AE516" i="7"/>
  <c r="AE517" i="7" s="1"/>
  <c r="AE32" i="7"/>
  <c r="AE34" i="7" s="1"/>
  <c r="AE41" i="7" s="1"/>
  <c r="AE524" i="7"/>
  <c r="AE525" i="7" s="1"/>
  <c r="AE520" i="7"/>
  <c r="AE521" i="7" s="1"/>
  <c r="AE483" i="7"/>
  <c r="AE484" i="7" s="1"/>
  <c r="AE104" i="7" s="1"/>
  <c r="F524" i="7"/>
  <c r="F525" i="7" s="1"/>
  <c r="F528" i="7"/>
  <c r="F529" i="7" s="1"/>
  <c r="F17" i="7" s="1"/>
  <c r="F483" i="7"/>
  <c r="F484" i="7" s="1"/>
  <c r="F104" i="7" s="1"/>
  <c r="F32" i="7"/>
  <c r="F34" i="7" s="1"/>
  <c r="F41" i="7" s="1"/>
  <c r="F489" i="7"/>
  <c r="F490" i="7" s="1"/>
  <c r="F105" i="7" s="1"/>
  <c r="F124" i="7"/>
  <c r="F516" i="7"/>
  <c r="F517" i="7" s="1"/>
  <c r="F520" i="7"/>
  <c r="F521" i="7" s="1"/>
  <c r="J483" i="7"/>
  <c r="J484" i="7" s="1"/>
  <c r="J104" i="7" s="1"/>
  <c r="J32" i="7"/>
  <c r="J34" i="7" s="1"/>
  <c r="J41" i="7" s="1"/>
  <c r="J489" i="7"/>
  <c r="J490" i="7" s="1"/>
  <c r="J105" i="7" s="1"/>
  <c r="J124" i="7"/>
  <c r="J516" i="7"/>
  <c r="J517" i="7" s="1"/>
  <c r="J520" i="7"/>
  <c r="J521" i="7" s="1"/>
  <c r="J524" i="7"/>
  <c r="J525" i="7" s="1"/>
  <c r="J528" i="7"/>
  <c r="J529" i="7" s="1"/>
  <c r="J17" i="7" s="1"/>
  <c r="N483" i="7"/>
  <c r="N484" i="7" s="1"/>
  <c r="N104" i="7" s="1"/>
  <c r="N32" i="7"/>
  <c r="N34" i="7" s="1"/>
  <c r="N41" i="7" s="1"/>
  <c r="N489" i="7"/>
  <c r="N490" i="7" s="1"/>
  <c r="N105" i="7" s="1"/>
  <c r="N124" i="7"/>
  <c r="N516" i="7"/>
  <c r="N517" i="7" s="1"/>
  <c r="N520" i="7"/>
  <c r="N521" i="7" s="1"/>
  <c r="N524" i="7"/>
  <c r="N525" i="7" s="1"/>
  <c r="N528" i="7"/>
  <c r="N529" i="7" s="1"/>
  <c r="N17" i="7" s="1"/>
  <c r="R516" i="7"/>
  <c r="R517" i="7" s="1"/>
  <c r="R520" i="7"/>
  <c r="R521" i="7" s="1"/>
  <c r="R524" i="7"/>
  <c r="R525" i="7" s="1"/>
  <c r="R124" i="7"/>
  <c r="R528" i="7"/>
  <c r="R529" i="7" s="1"/>
  <c r="R17" i="7" s="1"/>
  <c r="R483" i="7"/>
  <c r="R484" i="7" s="1"/>
  <c r="R104" i="7" s="1"/>
  <c r="R32" i="7"/>
  <c r="R34" i="7" s="1"/>
  <c r="R41" i="7" s="1"/>
  <c r="R489" i="7"/>
  <c r="R490" i="7" s="1"/>
  <c r="R105" i="7" s="1"/>
  <c r="V489" i="7"/>
  <c r="V490" i="7" s="1"/>
  <c r="V105" i="7" s="1"/>
  <c r="V483" i="7"/>
  <c r="V484" i="7" s="1"/>
  <c r="V104" i="7" s="1"/>
  <c r="V32" i="7"/>
  <c r="V34" i="7" s="1"/>
  <c r="V41" i="7" s="1"/>
  <c r="V524" i="7"/>
  <c r="V525" i="7" s="1"/>
  <c r="V528" i="7"/>
  <c r="V529" i="7" s="1"/>
  <c r="V17" i="7" s="1"/>
  <c r="V516" i="7"/>
  <c r="V517" i="7" s="1"/>
  <c r="V520" i="7"/>
  <c r="V521" i="7" s="1"/>
  <c r="V124" i="7"/>
  <c r="Z489" i="7"/>
  <c r="Z490" i="7" s="1"/>
  <c r="Z105" i="7" s="1"/>
  <c r="Z516" i="7"/>
  <c r="Z517" i="7" s="1"/>
  <c r="Z520" i="7"/>
  <c r="Z521" i="7" s="1"/>
  <c r="Z528" i="7"/>
  <c r="Z529" i="7" s="1"/>
  <c r="Z17" i="7" s="1"/>
  <c r="Z524" i="7"/>
  <c r="Z525" i="7" s="1"/>
  <c r="Z483" i="7"/>
  <c r="Z484" i="7" s="1"/>
  <c r="Z104" i="7" s="1"/>
  <c r="Z32" i="7"/>
  <c r="Z34" i="7" s="1"/>
  <c r="Z41" i="7" s="1"/>
  <c r="Z124" i="7"/>
  <c r="AD483" i="7"/>
  <c r="AD484" i="7" s="1"/>
  <c r="AD104" i="7" s="1"/>
  <c r="AD32" i="7"/>
  <c r="AD34" i="7" s="1"/>
  <c r="AD41" i="7" s="1"/>
  <c r="AD489" i="7"/>
  <c r="AD490" i="7" s="1"/>
  <c r="AD105" i="7" s="1"/>
  <c r="AD516" i="7"/>
  <c r="AD517" i="7" s="1"/>
  <c r="AD520" i="7"/>
  <c r="AD521" i="7" s="1"/>
  <c r="AD524" i="7"/>
  <c r="AD525" i="7" s="1"/>
  <c r="AD528" i="7"/>
  <c r="AD529" i="7" s="1"/>
  <c r="AD17" i="7" s="1"/>
  <c r="E528" i="7"/>
  <c r="E529" i="7" s="1"/>
  <c r="E17" i="7" s="1"/>
  <c r="E489" i="7"/>
  <c r="E490" i="7" s="1"/>
  <c r="E105" i="7" s="1"/>
  <c r="E516" i="7"/>
  <c r="E517" i="7" s="1"/>
  <c r="E32" i="7"/>
  <c r="E34" i="7" s="1"/>
  <c r="E41" i="7" s="1"/>
  <c r="E524" i="7"/>
  <c r="E525" i="7" s="1"/>
  <c r="E124" i="7"/>
  <c r="E520" i="7"/>
  <c r="E521" i="7" s="1"/>
  <c r="E483" i="7"/>
  <c r="E484" i="7" s="1"/>
  <c r="E104" i="7" s="1"/>
  <c r="I520" i="7"/>
  <c r="I521" i="7" s="1"/>
  <c r="I483" i="7"/>
  <c r="I484" i="7" s="1"/>
  <c r="I104" i="7" s="1"/>
  <c r="I528" i="7"/>
  <c r="I529" i="7" s="1"/>
  <c r="I17" i="7" s="1"/>
  <c r="I489" i="7"/>
  <c r="I490" i="7" s="1"/>
  <c r="I105" i="7" s="1"/>
  <c r="I516" i="7"/>
  <c r="I517" i="7" s="1"/>
  <c r="I32" i="7"/>
  <c r="I34" i="7" s="1"/>
  <c r="I41" i="7" s="1"/>
  <c r="I524" i="7"/>
  <c r="I525" i="7" s="1"/>
  <c r="I124" i="7"/>
  <c r="M528" i="7"/>
  <c r="M529" i="7" s="1"/>
  <c r="M17" i="7" s="1"/>
  <c r="M520" i="7"/>
  <c r="M521" i="7" s="1"/>
  <c r="M483" i="7"/>
  <c r="M484" i="7" s="1"/>
  <c r="M104" i="7" s="1"/>
  <c r="M524" i="7"/>
  <c r="M525" i="7" s="1"/>
  <c r="M489" i="7"/>
  <c r="M490" i="7" s="1"/>
  <c r="M105" i="7" s="1"/>
  <c r="M516" i="7"/>
  <c r="M517" i="7" s="1"/>
  <c r="M32" i="7"/>
  <c r="M34" i="7" s="1"/>
  <c r="M41" i="7" s="1"/>
  <c r="M124" i="7"/>
  <c r="Q528" i="7"/>
  <c r="Q529" i="7" s="1"/>
  <c r="Q17" i="7" s="1"/>
  <c r="Q489" i="7"/>
  <c r="Q490" i="7" s="1"/>
  <c r="Q105" i="7" s="1"/>
  <c r="Q516" i="7"/>
  <c r="Q517" i="7" s="1"/>
  <c r="Q32" i="7"/>
  <c r="Q34" i="7" s="1"/>
  <c r="Q41" i="7" s="1"/>
  <c r="Q524" i="7"/>
  <c r="Q525" i="7" s="1"/>
  <c r="Q124" i="7"/>
  <c r="Q520" i="7"/>
  <c r="Q521" i="7" s="1"/>
  <c r="Q483" i="7"/>
  <c r="Q484" i="7" s="1"/>
  <c r="Q104" i="7" s="1"/>
  <c r="U528" i="7"/>
  <c r="U529" i="7" s="1"/>
  <c r="U17" i="7" s="1"/>
  <c r="U489" i="7"/>
  <c r="U490" i="7" s="1"/>
  <c r="U105" i="7" s="1"/>
  <c r="U520" i="7"/>
  <c r="U521" i="7" s="1"/>
  <c r="U32" i="7"/>
  <c r="U34" i="7" s="1"/>
  <c r="U41" i="7" s="1"/>
  <c r="U524" i="7"/>
  <c r="U525" i="7" s="1"/>
  <c r="U124" i="7"/>
  <c r="U483" i="7"/>
  <c r="U484" i="7" s="1"/>
  <c r="U104" i="7" s="1"/>
  <c r="U516" i="7"/>
  <c r="U517" i="7" s="1"/>
  <c r="Y528" i="7"/>
  <c r="Y529" i="7" s="1"/>
  <c r="Y17" i="7" s="1"/>
  <c r="Y489" i="7"/>
  <c r="Y490" i="7" s="1"/>
  <c r="Y105" i="7" s="1"/>
  <c r="Y516" i="7"/>
  <c r="Y517" i="7" s="1"/>
  <c r="Y32" i="7"/>
  <c r="Y34" i="7" s="1"/>
  <c r="Y41" i="7" s="1"/>
  <c r="Y524" i="7"/>
  <c r="Y525" i="7" s="1"/>
  <c r="Y124" i="7"/>
  <c r="Y520" i="7"/>
  <c r="Y521" i="7" s="1"/>
  <c r="Y483" i="7"/>
  <c r="Y484" i="7" s="1"/>
  <c r="Y104" i="7" s="1"/>
  <c r="AC528" i="7"/>
  <c r="AC529" i="7" s="1"/>
  <c r="AC17" i="7" s="1"/>
  <c r="AC489" i="7"/>
  <c r="AC490" i="7" s="1"/>
  <c r="AC105" i="7" s="1"/>
  <c r="AC516" i="7"/>
  <c r="AC517" i="7" s="1"/>
  <c r="AC32" i="7"/>
  <c r="AC34" i="7" s="1"/>
  <c r="AC41" i="7" s="1"/>
  <c r="AC524" i="7"/>
  <c r="AC525" i="7" s="1"/>
  <c r="AC520" i="7"/>
  <c r="AC521" i="7" s="1"/>
  <c r="AC483" i="7"/>
  <c r="AC484" i="7" s="1"/>
  <c r="AC104" i="7" s="1"/>
  <c r="D524" i="7"/>
  <c r="D525" i="7" s="1"/>
  <c r="D528" i="7"/>
  <c r="D529" i="7" s="1"/>
  <c r="D17" i="7" s="1"/>
  <c r="D483" i="7"/>
  <c r="D484" i="7" s="1"/>
  <c r="D104" i="7" s="1"/>
  <c r="D32" i="7"/>
  <c r="D34" i="7" s="1"/>
  <c r="D41" i="7" s="1"/>
  <c r="D489" i="7"/>
  <c r="D490" i="7" s="1"/>
  <c r="D105" i="7" s="1"/>
  <c r="D124" i="7"/>
  <c r="D516" i="7"/>
  <c r="D517" i="7" s="1"/>
  <c r="D520" i="7"/>
  <c r="D521" i="7" s="1"/>
  <c r="H483" i="7"/>
  <c r="H484" i="7" s="1"/>
  <c r="H104" i="7" s="1"/>
  <c r="H32" i="7"/>
  <c r="H34" i="7" s="1"/>
  <c r="H41" i="7" s="1"/>
  <c r="H516" i="7"/>
  <c r="H517" i="7" s="1"/>
  <c r="H520" i="7"/>
  <c r="H521" i="7" s="1"/>
  <c r="H524" i="7"/>
  <c r="H525" i="7" s="1"/>
  <c r="H528" i="7"/>
  <c r="H529" i="7" s="1"/>
  <c r="H17" i="7" s="1"/>
  <c r="H124" i="7"/>
  <c r="H489" i="7"/>
  <c r="H490" i="7" s="1"/>
  <c r="H105" i="7" s="1"/>
  <c r="L483" i="7"/>
  <c r="L484" i="7" s="1"/>
  <c r="L104" i="7" s="1"/>
  <c r="L32" i="7"/>
  <c r="L34" i="7" s="1"/>
  <c r="L41" i="7" s="1"/>
  <c r="L489" i="7"/>
  <c r="L490" i="7" s="1"/>
  <c r="L105" i="7" s="1"/>
  <c r="L124" i="7"/>
  <c r="L516" i="7"/>
  <c r="L517" i="7" s="1"/>
  <c r="L520" i="7"/>
  <c r="L521" i="7" s="1"/>
  <c r="L524" i="7"/>
  <c r="L525" i="7" s="1"/>
  <c r="L528" i="7"/>
  <c r="L529" i="7" s="1"/>
  <c r="L17" i="7" s="1"/>
  <c r="P483" i="7"/>
  <c r="P484" i="7" s="1"/>
  <c r="P104" i="7" s="1"/>
  <c r="P32" i="7"/>
  <c r="P34" i="7" s="1"/>
  <c r="P41" i="7" s="1"/>
  <c r="P489" i="7"/>
  <c r="P490" i="7" s="1"/>
  <c r="P105" i="7" s="1"/>
  <c r="P124" i="7"/>
  <c r="P516" i="7"/>
  <c r="P517" i="7" s="1"/>
  <c r="P520" i="7"/>
  <c r="P521" i="7" s="1"/>
  <c r="P524" i="7"/>
  <c r="P525" i="7" s="1"/>
  <c r="P528" i="7"/>
  <c r="P529" i="7" s="1"/>
  <c r="P17" i="7" s="1"/>
  <c r="T524" i="7"/>
  <c r="T525" i="7" s="1"/>
  <c r="T528" i="7"/>
  <c r="T529" i="7" s="1"/>
  <c r="T17" i="7" s="1"/>
  <c r="T520" i="7"/>
  <c r="T521" i="7" s="1"/>
  <c r="T483" i="7"/>
  <c r="T484" i="7" s="1"/>
  <c r="T104" i="7" s="1"/>
  <c r="T489" i="7"/>
  <c r="T490" i="7" s="1"/>
  <c r="T105" i="7" s="1"/>
  <c r="T124" i="7"/>
  <c r="T516" i="7"/>
  <c r="T517" i="7" s="1"/>
  <c r="T32" i="7"/>
  <c r="T34" i="7" s="1"/>
  <c r="T41" i="7" s="1"/>
  <c r="X483" i="7"/>
  <c r="X484" i="7" s="1"/>
  <c r="X104" i="7" s="1"/>
  <c r="X32" i="7"/>
  <c r="X34" i="7" s="1"/>
  <c r="X41" i="7" s="1"/>
  <c r="X489" i="7"/>
  <c r="X490" i="7" s="1"/>
  <c r="X105" i="7" s="1"/>
  <c r="X124" i="7"/>
  <c r="X516" i="7"/>
  <c r="X517" i="7" s="1"/>
  <c r="X520" i="7"/>
  <c r="X521" i="7" s="1"/>
  <c r="X524" i="7"/>
  <c r="X525" i="7" s="1"/>
  <c r="X528" i="7"/>
  <c r="X529" i="7" s="1"/>
  <c r="X17" i="7" s="1"/>
  <c r="AB524" i="7"/>
  <c r="AB525" i="7" s="1"/>
  <c r="AB528" i="7"/>
  <c r="AB529" i="7" s="1"/>
  <c r="AB17" i="7" s="1"/>
  <c r="AB520" i="7"/>
  <c r="AB521" i="7" s="1"/>
  <c r="AB516" i="7"/>
  <c r="AB517" i="7" s="1"/>
  <c r="AB489" i="7"/>
  <c r="AB490" i="7" s="1"/>
  <c r="AB105" i="7" s="1"/>
  <c r="AB483" i="7"/>
  <c r="AB484" i="7" s="1"/>
  <c r="AB104" i="7" s="1"/>
  <c r="AB32" i="7"/>
  <c r="AB34" i="7" s="1"/>
  <c r="AB41" i="7" s="1"/>
  <c r="AF483" i="7"/>
  <c r="AF484" i="7" s="1"/>
  <c r="AF104" i="7" s="1"/>
  <c r="AF32" i="7"/>
  <c r="AF34" i="7" s="1"/>
  <c r="AF41" i="7" s="1"/>
  <c r="AF489" i="7"/>
  <c r="AF490" i="7" s="1"/>
  <c r="AF105" i="7" s="1"/>
  <c r="AF516" i="7"/>
  <c r="AF517" i="7" s="1"/>
  <c r="AF520" i="7"/>
  <c r="AF521" i="7" s="1"/>
  <c r="AF524" i="7"/>
  <c r="AF525" i="7" s="1"/>
  <c r="AF528" i="7"/>
  <c r="AF529" i="7" s="1"/>
  <c r="AF17" i="7" s="1"/>
  <c r="O571" i="7"/>
  <c r="O574" i="7" s="1"/>
  <c r="C43" i="7" l="1"/>
  <c r="C531" i="7"/>
  <c r="B127" i="7"/>
  <c r="AB203" i="7"/>
  <c r="AB164" i="7"/>
  <c r="AB52" i="7"/>
  <c r="X202" i="7"/>
  <c r="X163" i="7"/>
  <c r="X51" i="7"/>
  <c r="T200" i="7"/>
  <c r="T49" i="7"/>
  <c r="T161" i="7"/>
  <c r="T201" i="7"/>
  <c r="T162" i="7"/>
  <c r="T50" i="7"/>
  <c r="P200" i="7"/>
  <c r="P161" i="7"/>
  <c r="P49" i="7"/>
  <c r="L201" i="7"/>
  <c r="L162" i="7"/>
  <c r="L50" i="7"/>
  <c r="H200" i="7"/>
  <c r="H161" i="7"/>
  <c r="H49" i="7"/>
  <c r="D200" i="7"/>
  <c r="D49" i="7"/>
  <c r="D161" i="7"/>
  <c r="AC203" i="7"/>
  <c r="AC164" i="7"/>
  <c r="AC52" i="7"/>
  <c r="Y202" i="7"/>
  <c r="Y163" i="7"/>
  <c r="Y51" i="7"/>
  <c r="Q201" i="7"/>
  <c r="Q50" i="7"/>
  <c r="Q162" i="7"/>
  <c r="Q200" i="7"/>
  <c r="Q161" i="7"/>
  <c r="Q49" i="7"/>
  <c r="M203" i="7"/>
  <c r="M164" i="7"/>
  <c r="M52" i="7"/>
  <c r="I200" i="7"/>
  <c r="I161" i="7"/>
  <c r="I49" i="7"/>
  <c r="AD203" i="7"/>
  <c r="AD164" i="7"/>
  <c r="AD52" i="7"/>
  <c r="Z202" i="7"/>
  <c r="Z163" i="7"/>
  <c r="Z51" i="7"/>
  <c r="V203" i="7"/>
  <c r="V164" i="7"/>
  <c r="V52" i="7"/>
  <c r="R202" i="7"/>
  <c r="R51" i="7"/>
  <c r="R163" i="7"/>
  <c r="N203" i="7"/>
  <c r="N164" i="7"/>
  <c r="N52" i="7"/>
  <c r="J200" i="7"/>
  <c r="J49" i="7"/>
  <c r="J161" i="7"/>
  <c r="F203" i="7"/>
  <c r="F164" i="7"/>
  <c r="F52" i="7"/>
  <c r="AA202" i="7"/>
  <c r="AA163" i="7"/>
  <c r="AA51" i="7"/>
  <c r="W201" i="7"/>
  <c r="W162" i="7"/>
  <c r="W50" i="7"/>
  <c r="S200" i="7"/>
  <c r="S161" i="7"/>
  <c r="S49" i="7"/>
  <c r="O201" i="7"/>
  <c r="O162" i="7"/>
  <c r="O50" i="7"/>
  <c r="O200" i="7"/>
  <c r="O49" i="7"/>
  <c r="O161" i="7"/>
  <c r="K201" i="7"/>
  <c r="K50" i="7"/>
  <c r="K162" i="7"/>
  <c r="G203" i="7"/>
  <c r="G164" i="7"/>
  <c r="G52" i="7"/>
  <c r="AI203" i="7"/>
  <c r="AI164" i="7"/>
  <c r="AI52" i="7"/>
  <c r="AP201" i="7"/>
  <c r="AP162" i="7"/>
  <c r="AP50" i="7"/>
  <c r="AG203" i="7"/>
  <c r="AG164" i="7"/>
  <c r="AG52" i="7"/>
  <c r="AG201" i="7"/>
  <c r="AG162" i="7"/>
  <c r="AG50" i="7"/>
  <c r="AJ203" i="7"/>
  <c r="AJ164" i="7"/>
  <c r="AJ52" i="7"/>
  <c r="AJ201" i="7"/>
  <c r="AJ162" i="7"/>
  <c r="AJ50" i="7"/>
  <c r="AK201" i="7"/>
  <c r="AK50" i="7"/>
  <c r="AK162" i="7"/>
  <c r="AL202" i="7"/>
  <c r="AL163" i="7"/>
  <c r="AL51" i="7"/>
  <c r="AM202" i="7"/>
  <c r="AM163" i="7"/>
  <c r="AM51" i="7"/>
  <c r="AM200" i="7"/>
  <c r="AM161" i="7"/>
  <c r="AM49" i="7"/>
  <c r="AN203" i="7"/>
  <c r="AN164" i="7"/>
  <c r="AN52" i="7"/>
  <c r="AB200" i="7"/>
  <c r="AB161" i="7"/>
  <c r="AB49" i="7"/>
  <c r="P203" i="7"/>
  <c r="P164" i="7"/>
  <c r="P52" i="7"/>
  <c r="L200" i="7"/>
  <c r="L49" i="7"/>
  <c r="L161" i="7"/>
  <c r="H203" i="7"/>
  <c r="H164" i="7"/>
  <c r="H52" i="7"/>
  <c r="AC201" i="7"/>
  <c r="AC50" i="7"/>
  <c r="AC162" i="7"/>
  <c r="AC200" i="7"/>
  <c r="AC161" i="7"/>
  <c r="AC49" i="7"/>
  <c r="Y203" i="7"/>
  <c r="Y164" i="7"/>
  <c r="Y52" i="7"/>
  <c r="U202" i="7"/>
  <c r="U163" i="7"/>
  <c r="U51" i="7"/>
  <c r="M202" i="7"/>
  <c r="M163" i="7"/>
  <c r="M51" i="7"/>
  <c r="I201" i="7"/>
  <c r="I50" i="7"/>
  <c r="I162" i="7"/>
  <c r="E202" i="7"/>
  <c r="E163" i="7"/>
  <c r="E51" i="7"/>
  <c r="AD202" i="7"/>
  <c r="AD163" i="7"/>
  <c r="AD51" i="7"/>
  <c r="Z203" i="7"/>
  <c r="Z164" i="7"/>
  <c r="Z52" i="7"/>
  <c r="V202" i="7"/>
  <c r="V163" i="7"/>
  <c r="V51" i="7"/>
  <c r="R201" i="7"/>
  <c r="R162" i="7"/>
  <c r="R50" i="7"/>
  <c r="N202" i="7"/>
  <c r="N51" i="7"/>
  <c r="N163" i="7"/>
  <c r="J203" i="7"/>
  <c r="J164" i="7"/>
  <c r="J52" i="7"/>
  <c r="F201" i="7"/>
  <c r="F162" i="7"/>
  <c r="F50" i="7"/>
  <c r="F202" i="7"/>
  <c r="F51" i="7"/>
  <c r="F163" i="7"/>
  <c r="AE202" i="7"/>
  <c r="AE163" i="7"/>
  <c r="AE51" i="7"/>
  <c r="AA203" i="7"/>
  <c r="AA164" i="7"/>
  <c r="AA52" i="7"/>
  <c r="W202" i="7"/>
  <c r="W163" i="7"/>
  <c r="W51" i="7"/>
  <c r="S201" i="7"/>
  <c r="S162" i="7"/>
  <c r="S50" i="7"/>
  <c r="O202" i="7"/>
  <c r="O163" i="7"/>
  <c r="O51" i="7"/>
  <c r="G201" i="7"/>
  <c r="G162" i="7"/>
  <c r="G50" i="7"/>
  <c r="G200" i="7"/>
  <c r="G49" i="7"/>
  <c r="G161" i="7"/>
  <c r="C201" i="7"/>
  <c r="C162" i="7"/>
  <c r="C50" i="7"/>
  <c r="C200" i="7"/>
  <c r="C161" i="7"/>
  <c r="C49" i="7"/>
  <c r="AP203" i="7"/>
  <c r="AP164" i="7"/>
  <c r="AP52" i="7"/>
  <c r="AH202" i="7"/>
  <c r="AH163" i="7"/>
  <c r="AH51" i="7"/>
  <c r="AH200" i="7"/>
  <c r="AH49" i="7"/>
  <c r="AH161" i="7"/>
  <c r="AL201" i="7"/>
  <c r="AL162" i="7"/>
  <c r="AL50" i="7"/>
  <c r="AM203" i="7"/>
  <c r="AM164" i="7"/>
  <c r="AM52" i="7"/>
  <c r="AM201" i="7"/>
  <c r="AM162" i="7"/>
  <c r="AM50" i="7"/>
  <c r="AN200" i="7"/>
  <c r="AN161" i="7"/>
  <c r="AN49" i="7"/>
  <c r="AO200" i="7"/>
  <c r="AO161" i="7"/>
  <c r="AO49" i="7"/>
  <c r="X201" i="7"/>
  <c r="X162" i="7"/>
  <c r="X50" i="7"/>
  <c r="D203" i="7"/>
  <c r="D164" i="7"/>
  <c r="D52" i="7"/>
  <c r="Y201" i="7"/>
  <c r="Y50" i="7"/>
  <c r="Y162" i="7"/>
  <c r="Y200" i="7"/>
  <c r="Y161" i="7"/>
  <c r="Y49" i="7"/>
  <c r="U200" i="7"/>
  <c r="U161" i="7"/>
  <c r="U49" i="7"/>
  <c r="U203" i="7"/>
  <c r="U164" i="7"/>
  <c r="U52" i="7"/>
  <c r="Q202" i="7"/>
  <c r="Q163" i="7"/>
  <c r="Q51" i="7"/>
  <c r="M200" i="7"/>
  <c r="M161" i="7"/>
  <c r="M49" i="7"/>
  <c r="I202" i="7"/>
  <c r="I163" i="7"/>
  <c r="I51" i="7"/>
  <c r="E203" i="7"/>
  <c r="E164" i="7"/>
  <c r="E52" i="7"/>
  <c r="AD201" i="7"/>
  <c r="AD162" i="7"/>
  <c r="AD50" i="7"/>
  <c r="Z201" i="7"/>
  <c r="Z162" i="7"/>
  <c r="Z50" i="7"/>
  <c r="V201" i="7"/>
  <c r="V162" i="7"/>
  <c r="V50" i="7"/>
  <c r="R203" i="7"/>
  <c r="R164" i="7"/>
  <c r="R52" i="7"/>
  <c r="R200" i="7"/>
  <c r="R49" i="7"/>
  <c r="R161" i="7"/>
  <c r="N201" i="7"/>
  <c r="N162" i="7"/>
  <c r="N50" i="7"/>
  <c r="J202" i="7"/>
  <c r="J163" i="7"/>
  <c r="J51" i="7"/>
  <c r="F200" i="7"/>
  <c r="F49" i="7"/>
  <c r="F161" i="7"/>
  <c r="AE203" i="7"/>
  <c r="AE164" i="7"/>
  <c r="AE52" i="7"/>
  <c r="AA200" i="7"/>
  <c r="AA161" i="7"/>
  <c r="AA49" i="7"/>
  <c r="W203" i="7"/>
  <c r="W164" i="7"/>
  <c r="W52" i="7"/>
  <c r="S202" i="7"/>
  <c r="S163" i="7"/>
  <c r="S51" i="7"/>
  <c r="O203" i="7"/>
  <c r="O164" i="7"/>
  <c r="O52" i="7"/>
  <c r="K202" i="7"/>
  <c r="K163" i="7"/>
  <c r="K51" i="7"/>
  <c r="AI201" i="7"/>
  <c r="AI162" i="7"/>
  <c r="AI50" i="7"/>
  <c r="AP200" i="7"/>
  <c r="AP161" i="7"/>
  <c r="AP49" i="7"/>
  <c r="AJ202" i="7"/>
  <c r="AJ163" i="7"/>
  <c r="AJ51" i="7"/>
  <c r="AJ200" i="7"/>
  <c r="AJ49" i="7"/>
  <c r="AJ161" i="7"/>
  <c r="AK202" i="7"/>
  <c r="AK163" i="7"/>
  <c r="AK51" i="7"/>
  <c r="AL203" i="7"/>
  <c r="AL164" i="7"/>
  <c r="AL52" i="7"/>
  <c r="AN202" i="7"/>
  <c r="AN163" i="7"/>
  <c r="AN51" i="7"/>
  <c r="AO201" i="7"/>
  <c r="AO162" i="7"/>
  <c r="AO50" i="7"/>
  <c r="AO202" i="7"/>
  <c r="AO163" i="7"/>
  <c r="AO51" i="7"/>
  <c r="AF200" i="7"/>
  <c r="AF161" i="7"/>
  <c r="AF49" i="7"/>
  <c r="AF203" i="7"/>
  <c r="AF164" i="7"/>
  <c r="AF52" i="7"/>
  <c r="AB202" i="7"/>
  <c r="AB163" i="7"/>
  <c r="AB51" i="7"/>
  <c r="AF202" i="7"/>
  <c r="AF163" i="7"/>
  <c r="AF51" i="7"/>
  <c r="AB201" i="7"/>
  <c r="AB162" i="7"/>
  <c r="AB50" i="7"/>
  <c r="X200" i="7"/>
  <c r="X161" i="7"/>
  <c r="X49" i="7"/>
  <c r="T203" i="7"/>
  <c r="T164" i="7"/>
  <c r="T52" i="7"/>
  <c r="P202" i="7"/>
  <c r="P163" i="7"/>
  <c r="P51" i="7"/>
  <c r="L203" i="7"/>
  <c r="L164" i="7"/>
  <c r="L52" i="7"/>
  <c r="H202" i="7"/>
  <c r="H163" i="7"/>
  <c r="H51" i="7"/>
  <c r="AF201" i="7"/>
  <c r="AF162" i="7"/>
  <c r="AF50" i="7"/>
  <c r="X203" i="7"/>
  <c r="X164" i="7"/>
  <c r="X52" i="7"/>
  <c r="T202" i="7"/>
  <c r="T163" i="7"/>
  <c r="T51" i="7"/>
  <c r="P201" i="7"/>
  <c r="P162" i="7"/>
  <c r="P50" i="7"/>
  <c r="L202" i="7"/>
  <c r="L163" i="7"/>
  <c r="L51" i="7"/>
  <c r="H201" i="7"/>
  <c r="H162" i="7"/>
  <c r="H50" i="7"/>
  <c r="D201" i="7"/>
  <c r="D162" i="7"/>
  <c r="D50" i="7"/>
  <c r="D202" i="7"/>
  <c r="D163" i="7"/>
  <c r="D51" i="7"/>
  <c r="AC202" i="7"/>
  <c r="AC163" i="7"/>
  <c r="AC51" i="7"/>
  <c r="U201" i="7"/>
  <c r="U162" i="7"/>
  <c r="U50" i="7"/>
  <c r="Q203" i="7"/>
  <c r="Q164" i="7"/>
  <c r="Q52" i="7"/>
  <c r="M201" i="7"/>
  <c r="M162" i="7"/>
  <c r="M50" i="7"/>
  <c r="I203" i="7"/>
  <c r="I164" i="7"/>
  <c r="I52" i="7"/>
  <c r="E201" i="7"/>
  <c r="E162" i="7"/>
  <c r="E50" i="7"/>
  <c r="E200" i="7"/>
  <c r="E161" i="7"/>
  <c r="E49" i="7"/>
  <c r="AD200" i="7"/>
  <c r="AD161" i="7"/>
  <c r="AD49" i="7"/>
  <c r="Z200" i="7"/>
  <c r="Z161" i="7"/>
  <c r="Z49" i="7"/>
  <c r="V200" i="7"/>
  <c r="V161" i="7"/>
  <c r="V49" i="7"/>
  <c r="N200" i="7"/>
  <c r="N49" i="7"/>
  <c r="N161" i="7"/>
  <c r="J201" i="7"/>
  <c r="J162" i="7"/>
  <c r="J50" i="7"/>
  <c r="AE201" i="7"/>
  <c r="AE162" i="7"/>
  <c r="AE50" i="7"/>
  <c r="AE200" i="7"/>
  <c r="AE161" i="7"/>
  <c r="AE49" i="7"/>
  <c r="AA201" i="7"/>
  <c r="AA50" i="7"/>
  <c r="AA162" i="7"/>
  <c r="W200" i="7"/>
  <c r="W161" i="7"/>
  <c r="W49" i="7"/>
  <c r="S203" i="7"/>
  <c r="S164" i="7"/>
  <c r="S52" i="7"/>
  <c r="K200" i="7"/>
  <c r="K49" i="7"/>
  <c r="K161" i="7"/>
  <c r="K203" i="7"/>
  <c r="K164" i="7"/>
  <c r="K52" i="7"/>
  <c r="G202" i="7"/>
  <c r="G163" i="7"/>
  <c r="G51" i="7"/>
  <c r="C203" i="7"/>
  <c r="C52" i="7"/>
  <c r="C164" i="7"/>
  <c r="C202" i="7"/>
  <c r="C51" i="7"/>
  <c r="C163" i="7"/>
  <c r="AI200" i="7"/>
  <c r="AI161" i="7"/>
  <c r="AI49" i="7"/>
  <c r="AI202" i="7"/>
  <c r="AI163" i="7"/>
  <c r="AI51" i="7"/>
  <c r="AP202" i="7"/>
  <c r="AP163" i="7"/>
  <c r="AP51" i="7"/>
  <c r="AG202" i="7"/>
  <c r="AG163" i="7"/>
  <c r="AG51" i="7"/>
  <c r="AG200" i="7"/>
  <c r="AG161" i="7"/>
  <c r="AG49" i="7"/>
  <c r="AH203" i="7"/>
  <c r="AH164" i="7"/>
  <c r="AH52" i="7"/>
  <c r="AH201" i="7"/>
  <c r="AH162" i="7"/>
  <c r="AH50" i="7"/>
  <c r="AK200" i="7"/>
  <c r="AK161" i="7"/>
  <c r="AK49" i="7"/>
  <c r="AK203" i="7"/>
  <c r="AK164" i="7"/>
  <c r="AK52" i="7"/>
  <c r="AL200" i="7"/>
  <c r="AL161" i="7"/>
  <c r="AL49" i="7"/>
  <c r="AN201" i="7"/>
  <c r="AN162" i="7"/>
  <c r="AN50" i="7"/>
  <c r="AO203" i="7"/>
  <c r="AO164" i="7"/>
  <c r="AO52" i="7"/>
  <c r="AI18" i="7"/>
  <c r="AI531" i="7"/>
  <c r="AI178" i="7"/>
  <c r="AI106" i="7"/>
  <c r="AP178" i="7"/>
  <c r="AP106" i="7"/>
  <c r="AG18" i="7"/>
  <c r="AG531" i="7"/>
  <c r="AH18" i="7"/>
  <c r="AH531" i="7"/>
  <c r="AJ18" i="7"/>
  <c r="AJ531" i="7"/>
  <c r="AK178" i="7"/>
  <c r="AK106" i="7"/>
  <c r="AL178" i="7"/>
  <c r="AL106" i="7"/>
  <c r="AM18" i="7"/>
  <c r="AM531" i="7"/>
  <c r="AN178" i="7"/>
  <c r="AN106" i="7"/>
  <c r="AO178" i="7"/>
  <c r="AO106" i="7"/>
  <c r="AP18" i="7"/>
  <c r="AP531" i="7"/>
  <c r="AG178" i="7"/>
  <c r="AG106" i="7"/>
  <c r="AH178" i="7"/>
  <c r="AH106" i="7"/>
  <c r="AJ178" i="7"/>
  <c r="AJ106" i="7"/>
  <c r="AK18" i="7"/>
  <c r="AK531" i="7"/>
  <c r="AL18" i="7"/>
  <c r="AL531" i="7"/>
  <c r="AM178" i="7"/>
  <c r="AM106" i="7"/>
  <c r="AN18" i="7"/>
  <c r="AN531" i="7"/>
  <c r="AO18" i="7"/>
  <c r="AO531" i="7"/>
  <c r="AB18" i="7"/>
  <c r="AB20" i="7" s="1"/>
  <c r="AB531" i="7"/>
  <c r="T178" i="7"/>
  <c r="T106" i="7"/>
  <c r="L18" i="7"/>
  <c r="L20" i="7" s="1"/>
  <c r="L531" i="7"/>
  <c r="L178" i="7"/>
  <c r="L106" i="7"/>
  <c r="AC18" i="7"/>
  <c r="AC20" i="7" s="1"/>
  <c r="AC531" i="7"/>
  <c r="Y178" i="7"/>
  <c r="Y106" i="7"/>
  <c r="U178" i="7"/>
  <c r="U106" i="7"/>
  <c r="Q178" i="7"/>
  <c r="Q106" i="7"/>
  <c r="E18" i="7"/>
  <c r="E20" i="7" s="1"/>
  <c r="E531" i="7"/>
  <c r="Z178" i="7"/>
  <c r="Z106" i="7"/>
  <c r="R18" i="7"/>
  <c r="R20" i="7" s="1"/>
  <c r="R531" i="7"/>
  <c r="J18" i="7"/>
  <c r="J20" i="7" s="1"/>
  <c r="J531" i="7"/>
  <c r="J178" i="7"/>
  <c r="J106" i="7"/>
  <c r="F18" i="7"/>
  <c r="F20" i="7" s="1"/>
  <c r="F531" i="7"/>
  <c r="F178" i="7"/>
  <c r="F106" i="7"/>
  <c r="AE18" i="7"/>
  <c r="AE20" i="7" s="1"/>
  <c r="AE531" i="7"/>
  <c r="W18" i="7"/>
  <c r="W20" i="7" s="1"/>
  <c r="W531" i="7"/>
  <c r="W178" i="7"/>
  <c r="W106" i="7"/>
  <c r="O178" i="7"/>
  <c r="O106" i="7"/>
  <c r="K18" i="7"/>
  <c r="K20" i="7" s="1"/>
  <c r="K531" i="7"/>
  <c r="G18" i="7"/>
  <c r="G20" i="7" s="1"/>
  <c r="G531" i="7"/>
  <c r="AF18" i="7"/>
  <c r="AF20" i="7" s="1"/>
  <c r="AF531" i="7"/>
  <c r="AF178" i="7"/>
  <c r="AF106" i="7"/>
  <c r="AB178" i="7"/>
  <c r="AB106" i="7"/>
  <c r="X18" i="7"/>
  <c r="X20" i="7" s="1"/>
  <c r="X531" i="7"/>
  <c r="X178" i="7"/>
  <c r="X106" i="7"/>
  <c r="T18" i="7"/>
  <c r="T20" i="7" s="1"/>
  <c r="T531" i="7"/>
  <c r="P18" i="7"/>
  <c r="P20" i="7" s="1"/>
  <c r="P531" i="7"/>
  <c r="P178" i="7"/>
  <c r="P106" i="7"/>
  <c r="H18" i="7"/>
  <c r="H20" i="7" s="1"/>
  <c r="H531" i="7"/>
  <c r="H178" i="7"/>
  <c r="H106" i="7"/>
  <c r="D18" i="7"/>
  <c r="D20" i="7" s="1"/>
  <c r="D531" i="7"/>
  <c r="D178" i="7"/>
  <c r="D106" i="7"/>
  <c r="AC178" i="7"/>
  <c r="AC106" i="7"/>
  <c r="Y18" i="7"/>
  <c r="Y20" i="7" s="1"/>
  <c r="Y531" i="7"/>
  <c r="U18" i="7"/>
  <c r="U20" i="7" s="1"/>
  <c r="U531" i="7"/>
  <c r="Q18" i="7"/>
  <c r="Q20" i="7" s="1"/>
  <c r="Q531" i="7"/>
  <c r="M18" i="7"/>
  <c r="M20" i="7" s="1"/>
  <c r="M531" i="7"/>
  <c r="M178" i="7"/>
  <c r="M106" i="7"/>
  <c r="I18" i="7"/>
  <c r="I20" i="7" s="1"/>
  <c r="I531" i="7"/>
  <c r="I178" i="7"/>
  <c r="I106" i="7"/>
  <c r="E178" i="7"/>
  <c r="E106" i="7"/>
  <c r="AD18" i="7"/>
  <c r="AD20" i="7" s="1"/>
  <c r="AD531" i="7"/>
  <c r="AD178" i="7"/>
  <c r="AD106" i="7"/>
  <c r="Z18" i="7"/>
  <c r="Z20" i="7" s="1"/>
  <c r="Z531" i="7"/>
  <c r="V18" i="7"/>
  <c r="V20" i="7" s="1"/>
  <c r="V531" i="7"/>
  <c r="V178" i="7"/>
  <c r="V106" i="7"/>
  <c r="R178" i="7"/>
  <c r="R106" i="7"/>
  <c r="N18" i="7"/>
  <c r="N20" i="7" s="1"/>
  <c r="N531" i="7"/>
  <c r="N178" i="7"/>
  <c r="N106" i="7"/>
  <c r="AE178" i="7"/>
  <c r="AE106" i="7"/>
  <c r="AA18" i="7"/>
  <c r="AA20" i="7" s="1"/>
  <c r="AA531" i="7"/>
  <c r="AA178" i="7"/>
  <c r="AA106" i="7"/>
  <c r="S18" i="7"/>
  <c r="S20" i="7" s="1"/>
  <c r="S531" i="7"/>
  <c r="S178" i="7"/>
  <c r="S106" i="7"/>
  <c r="O18" i="7"/>
  <c r="O20" i="7" s="1"/>
  <c r="O531" i="7"/>
  <c r="K178" i="7"/>
  <c r="K106" i="7"/>
  <c r="G178" i="7"/>
  <c r="G106" i="7"/>
  <c r="C178" i="7"/>
  <c r="C106" i="7"/>
  <c r="P571" i="7"/>
  <c r="P574" i="7" s="1"/>
  <c r="B131" i="7" l="1"/>
  <c r="B130" i="7"/>
  <c r="V204" i="7"/>
  <c r="V205" i="7" s="1"/>
  <c r="Z204" i="7"/>
  <c r="Z205" i="7" s="1"/>
  <c r="C165" i="7"/>
  <c r="F204" i="7"/>
  <c r="F205" i="7" s="1"/>
  <c r="AJ204" i="7"/>
  <c r="AJ205" i="7" s="1"/>
  <c r="Y204" i="7"/>
  <c r="Y205" i="7" s="1"/>
  <c r="AA204" i="7"/>
  <c r="AA205" i="7" s="1"/>
  <c r="AK204" i="7"/>
  <c r="AK205" i="7" s="1"/>
  <c r="K204" i="7"/>
  <c r="K205" i="7" s="1"/>
  <c r="N204" i="7"/>
  <c r="N205" i="7" s="1"/>
  <c r="AL204" i="7"/>
  <c r="AL205" i="7" s="1"/>
  <c r="W204" i="7"/>
  <c r="W205" i="7" s="1"/>
  <c r="AD204" i="7"/>
  <c r="AD205" i="7" s="1"/>
  <c r="X204" i="7"/>
  <c r="X205" i="7" s="1"/>
  <c r="R204" i="7"/>
  <c r="R205" i="7" s="1"/>
  <c r="AN204" i="7"/>
  <c r="AN205" i="7" s="1"/>
  <c r="AH204" i="7"/>
  <c r="AH205" i="7" s="1"/>
  <c r="L204" i="7"/>
  <c r="L205" i="7" s="1"/>
  <c r="AM204" i="7"/>
  <c r="AM205" i="7" s="1"/>
  <c r="O204" i="7"/>
  <c r="O205" i="7" s="1"/>
  <c r="I204" i="7"/>
  <c r="I205" i="7" s="1"/>
  <c r="M204" i="7"/>
  <c r="M205" i="7" s="1"/>
  <c r="AO204" i="7"/>
  <c r="AO205" i="7" s="1"/>
  <c r="H204" i="7"/>
  <c r="H205" i="7" s="1"/>
  <c r="T204" i="7"/>
  <c r="T205" i="7" s="1"/>
  <c r="AE204" i="7"/>
  <c r="AE205" i="7" s="1"/>
  <c r="U204" i="7"/>
  <c r="U205" i="7" s="1"/>
  <c r="AB204" i="7"/>
  <c r="AB205" i="7" s="1"/>
  <c r="S204" i="7"/>
  <c r="S205" i="7" s="1"/>
  <c r="J204" i="7"/>
  <c r="J205" i="7" s="1"/>
  <c r="Q204" i="7"/>
  <c r="Q205" i="7" s="1"/>
  <c r="D204" i="7"/>
  <c r="D205" i="7" s="1"/>
  <c r="AG204" i="7"/>
  <c r="AG205" i="7" s="1"/>
  <c r="AI204" i="7"/>
  <c r="AI205" i="7" s="1"/>
  <c r="E204" i="7"/>
  <c r="E205" i="7" s="1"/>
  <c r="AF204" i="7"/>
  <c r="AF205" i="7" s="1"/>
  <c r="AP204" i="7"/>
  <c r="AP205" i="7" s="1"/>
  <c r="G204" i="7"/>
  <c r="G205" i="7" s="1"/>
  <c r="AC204" i="7"/>
  <c r="AC205" i="7" s="1"/>
  <c r="P204" i="7"/>
  <c r="P205" i="7" s="1"/>
  <c r="S53" i="7"/>
  <c r="AF53" i="7"/>
  <c r="AP53" i="7"/>
  <c r="AK165" i="7"/>
  <c r="AK166" i="7" s="1"/>
  <c r="AL53" i="7"/>
  <c r="S165" i="7"/>
  <c r="S166" i="7" s="1"/>
  <c r="AJ53" i="7"/>
  <c r="AJ165" i="7"/>
  <c r="AJ166" i="7" s="1"/>
  <c r="AK53" i="7"/>
  <c r="AP165" i="7"/>
  <c r="AP166" i="7" s="1"/>
  <c r="AH53" i="7"/>
  <c r="AH165" i="7"/>
  <c r="AH166" i="7" s="1"/>
  <c r="AO165" i="7"/>
  <c r="AO166" i="7" s="1"/>
  <c r="AN165" i="7"/>
  <c r="AN166" i="7" s="1"/>
  <c r="AN53" i="7"/>
  <c r="AL165" i="7"/>
  <c r="AL166" i="7" s="1"/>
  <c r="AM53" i="7"/>
  <c r="AM165" i="7"/>
  <c r="AM166" i="7" s="1"/>
  <c r="AG165" i="7"/>
  <c r="AG166" i="7" s="1"/>
  <c r="AG53" i="7"/>
  <c r="AI53" i="7"/>
  <c r="AI165" i="7"/>
  <c r="AI166" i="7" s="1"/>
  <c r="AO53" i="7"/>
  <c r="I53" i="7"/>
  <c r="P53" i="7"/>
  <c r="X165" i="7"/>
  <c r="X166" i="7" s="1"/>
  <c r="Z53" i="7"/>
  <c r="I165" i="7"/>
  <c r="I166" i="7" s="1"/>
  <c r="H53" i="7"/>
  <c r="N53" i="7"/>
  <c r="O53" i="7"/>
  <c r="V53" i="7"/>
  <c r="Q53" i="7"/>
  <c r="Y165" i="7"/>
  <c r="Y166" i="7" s="1"/>
  <c r="H165" i="7"/>
  <c r="H166" i="7" s="1"/>
  <c r="AA53" i="7"/>
  <c r="N165" i="7"/>
  <c r="N166" i="7" s="1"/>
  <c r="AD165" i="7"/>
  <c r="AD166" i="7" s="1"/>
  <c r="P165" i="7"/>
  <c r="P166" i="7" s="1"/>
  <c r="M165" i="7"/>
  <c r="M166" i="7" s="1"/>
  <c r="U53" i="7"/>
  <c r="D165" i="7"/>
  <c r="D166" i="7" s="1"/>
  <c r="T53" i="7"/>
  <c r="G53" i="7"/>
  <c r="K165" i="7"/>
  <c r="K166" i="7" s="1"/>
  <c r="W165" i="7"/>
  <c r="W166" i="7" s="1"/>
  <c r="AE165" i="7"/>
  <c r="AE166" i="7" s="1"/>
  <c r="F53" i="7"/>
  <c r="J165" i="7"/>
  <c r="J166" i="7" s="1"/>
  <c r="R53" i="7"/>
  <c r="E165" i="7"/>
  <c r="E166" i="7" s="1"/>
  <c r="AC165" i="7"/>
  <c r="AC166" i="7" s="1"/>
  <c r="L53" i="7"/>
  <c r="AB165" i="7"/>
  <c r="AB166" i="7" s="1"/>
  <c r="O165" i="7"/>
  <c r="O166" i="7" s="1"/>
  <c r="AA165" i="7"/>
  <c r="AA166" i="7" s="1"/>
  <c r="V165" i="7"/>
  <c r="V166" i="7" s="1"/>
  <c r="Z165" i="7"/>
  <c r="Z166" i="7" s="1"/>
  <c r="AD53" i="7"/>
  <c r="M53" i="7"/>
  <c r="Q165" i="7"/>
  <c r="Q166" i="7" s="1"/>
  <c r="U165" i="7"/>
  <c r="U166" i="7" s="1"/>
  <c r="Y53" i="7"/>
  <c r="D53" i="7"/>
  <c r="T165" i="7"/>
  <c r="T166" i="7" s="1"/>
  <c r="X53" i="7"/>
  <c r="AF165" i="7"/>
  <c r="AF166" i="7" s="1"/>
  <c r="C53" i="7"/>
  <c r="C204" i="7"/>
  <c r="G165" i="7"/>
  <c r="G166" i="7" s="1"/>
  <c r="K53" i="7"/>
  <c r="W53" i="7"/>
  <c r="AE53" i="7"/>
  <c r="F165" i="7"/>
  <c r="F166" i="7" s="1"/>
  <c r="J53" i="7"/>
  <c r="R165" i="7"/>
  <c r="R166" i="7" s="1"/>
  <c r="E53" i="7"/>
  <c r="AC53" i="7"/>
  <c r="L165" i="7"/>
  <c r="L166" i="7" s="1"/>
  <c r="AB53" i="7"/>
  <c r="Q571" i="7"/>
  <c r="Q574" i="7" s="1"/>
  <c r="B132" i="7" l="1"/>
  <c r="F11" i="1" s="1"/>
  <c r="R571" i="7"/>
  <c r="R574" i="7" s="1"/>
  <c r="AO568" i="7" l="1"/>
  <c r="AM568" i="7"/>
  <c r="AL568" i="7"/>
  <c r="AK568" i="7"/>
  <c r="AJ568" i="7"/>
  <c r="AI568" i="7"/>
  <c r="AJ565" i="7" s="1"/>
  <c r="AF568" i="7"/>
  <c r="AG565" i="7" s="1"/>
  <c r="AN568" i="7"/>
  <c r="AH568" i="7"/>
  <c r="AG568" i="7"/>
  <c r="AE568" i="7"/>
  <c r="AC568" i="7"/>
  <c r="AA568" i="7"/>
  <c r="Y568" i="7"/>
  <c r="W568" i="7"/>
  <c r="U568" i="7"/>
  <c r="S568" i="7"/>
  <c r="Q568" i="7"/>
  <c r="O568" i="7"/>
  <c r="M568" i="7"/>
  <c r="K568" i="7"/>
  <c r="I568" i="7"/>
  <c r="G568" i="7"/>
  <c r="E568" i="7"/>
  <c r="C568" i="7"/>
  <c r="AD568" i="7"/>
  <c r="AE565" i="7" s="1"/>
  <c r="AB568" i="7"/>
  <c r="AC565" i="7" s="1"/>
  <c r="Z568" i="7"/>
  <c r="AA565" i="7" s="1"/>
  <c r="AA567" i="7" s="1"/>
  <c r="X568" i="7"/>
  <c r="Y565" i="7" s="1"/>
  <c r="V568" i="7"/>
  <c r="W565" i="7" s="1"/>
  <c r="T568" i="7"/>
  <c r="U565" i="7" s="1"/>
  <c r="R568" i="7"/>
  <c r="S565" i="7" s="1"/>
  <c r="P568" i="7"/>
  <c r="Q565" i="7" s="1"/>
  <c r="N568" i="7"/>
  <c r="O565" i="7" s="1"/>
  <c r="L568" i="7"/>
  <c r="M565" i="7" s="1"/>
  <c r="J568" i="7"/>
  <c r="K565" i="7" s="1"/>
  <c r="H568" i="7"/>
  <c r="I565" i="7" s="1"/>
  <c r="F568" i="7"/>
  <c r="G565" i="7" s="1"/>
  <c r="D568" i="7"/>
  <c r="E565" i="7" s="1"/>
  <c r="S571" i="7"/>
  <c r="S574" i="7" s="1"/>
  <c r="B568" i="7" l="1"/>
  <c r="C565" i="7" s="1"/>
  <c r="C566" i="7" s="1"/>
  <c r="C70" i="7" s="1"/>
  <c r="AG566" i="7"/>
  <c r="AG70" i="7" s="1"/>
  <c r="AG74" i="7" s="1"/>
  <c r="AG80" i="7" s="1"/>
  <c r="AH565" i="7"/>
  <c r="AH566" i="7" s="1"/>
  <c r="AH70" i="7" s="1"/>
  <c r="AH74" i="7" s="1"/>
  <c r="AH80" i="7" s="1"/>
  <c r="AI565" i="7"/>
  <c r="AI566" i="7" s="1"/>
  <c r="AI70" i="7" s="1"/>
  <c r="AI74" i="7" s="1"/>
  <c r="AI80" i="7" s="1"/>
  <c r="AO565" i="7"/>
  <c r="AO566" i="7" s="1"/>
  <c r="AO70" i="7" s="1"/>
  <c r="AO74" i="7" s="1"/>
  <c r="AO80" i="7" s="1"/>
  <c r="AK565" i="7"/>
  <c r="AK566" i="7" s="1"/>
  <c r="AK70" i="7" s="1"/>
  <c r="AK74" i="7" s="1"/>
  <c r="AK80" i="7" s="1"/>
  <c r="AJ566" i="7"/>
  <c r="AJ70" i="7" s="1"/>
  <c r="AJ74" i="7" s="1"/>
  <c r="AJ80" i="7" s="1"/>
  <c r="AL565" i="7"/>
  <c r="AL566" i="7" s="1"/>
  <c r="AL70" i="7" s="1"/>
  <c r="AL74" i="7" s="1"/>
  <c r="AL80" i="7" s="1"/>
  <c r="AP565" i="7"/>
  <c r="AP567" i="7" s="1"/>
  <c r="AP70" i="7" s="1"/>
  <c r="AP74" i="7" s="1"/>
  <c r="AP80" i="7" s="1"/>
  <c r="AM565" i="7"/>
  <c r="AM566" i="7" s="1"/>
  <c r="AM70" i="7" s="1"/>
  <c r="AM74" i="7" s="1"/>
  <c r="AM80" i="7" s="1"/>
  <c r="AN565" i="7"/>
  <c r="AN566" i="7" s="1"/>
  <c r="AN70" i="7" s="1"/>
  <c r="AN74" i="7" s="1"/>
  <c r="AN80" i="7" s="1"/>
  <c r="D565" i="7"/>
  <c r="D566" i="7" s="1"/>
  <c r="D70" i="7" s="1"/>
  <c r="F565" i="7"/>
  <c r="F566" i="7" s="1"/>
  <c r="F70" i="7" s="1"/>
  <c r="E566" i="7"/>
  <c r="E70" i="7" s="1"/>
  <c r="H565" i="7"/>
  <c r="H566" i="7" s="1"/>
  <c r="H70" i="7" s="1"/>
  <c r="G566" i="7"/>
  <c r="G70" i="7" s="1"/>
  <c r="J565" i="7"/>
  <c r="J566" i="7" s="1"/>
  <c r="J70" i="7" s="1"/>
  <c r="I566" i="7"/>
  <c r="I70" i="7" s="1"/>
  <c r="L565" i="7"/>
  <c r="L566" i="7" s="1"/>
  <c r="L70" i="7" s="1"/>
  <c r="K566" i="7"/>
  <c r="K70" i="7" s="1"/>
  <c r="N565" i="7"/>
  <c r="N566" i="7" s="1"/>
  <c r="N70" i="7" s="1"/>
  <c r="M566" i="7"/>
  <c r="M70" i="7" s="1"/>
  <c r="P565" i="7"/>
  <c r="P566" i="7" s="1"/>
  <c r="P70" i="7" s="1"/>
  <c r="O566" i="7"/>
  <c r="O70" i="7" s="1"/>
  <c r="R565" i="7"/>
  <c r="R566" i="7" s="1"/>
  <c r="R70" i="7" s="1"/>
  <c r="Q566" i="7"/>
  <c r="Q70" i="7" s="1"/>
  <c r="T565" i="7"/>
  <c r="T566" i="7" s="1"/>
  <c r="T70" i="7" s="1"/>
  <c r="S566" i="7"/>
  <c r="S70" i="7" s="1"/>
  <c r="V565" i="7"/>
  <c r="V566" i="7" s="1"/>
  <c r="V70" i="7" s="1"/>
  <c r="U566" i="7"/>
  <c r="U70" i="7" s="1"/>
  <c r="X565" i="7"/>
  <c r="X566" i="7" s="1"/>
  <c r="X70" i="7" s="1"/>
  <c r="X74" i="7" s="1"/>
  <c r="X80" i="7" s="1"/>
  <c r="W566" i="7"/>
  <c r="W70" i="7" s="1"/>
  <c r="W74" i="7" s="1"/>
  <c r="W80" i="7" s="1"/>
  <c r="Z565" i="7"/>
  <c r="Z566" i="7" s="1"/>
  <c r="Z70" i="7" s="1"/>
  <c r="Z74" i="7" s="1"/>
  <c r="Z80" i="7" s="1"/>
  <c r="Y566" i="7"/>
  <c r="Y70" i="7" s="1"/>
  <c r="Y74" i="7" s="1"/>
  <c r="Y80" i="7" s="1"/>
  <c r="AB565" i="7"/>
  <c r="AB566" i="7" s="1"/>
  <c r="AB70" i="7" s="1"/>
  <c r="AB74" i="7" s="1"/>
  <c r="AB80" i="7" s="1"/>
  <c r="AA566" i="7"/>
  <c r="AA70" i="7" s="1"/>
  <c r="AA74" i="7" s="1"/>
  <c r="AA80" i="7" s="1"/>
  <c r="AD565" i="7"/>
  <c r="AD566" i="7" s="1"/>
  <c r="AD70" i="7" s="1"/>
  <c r="AD74" i="7" s="1"/>
  <c r="AD80" i="7" s="1"/>
  <c r="AC566" i="7"/>
  <c r="AC70" i="7" s="1"/>
  <c r="AC74" i="7" s="1"/>
  <c r="AC80" i="7" s="1"/>
  <c r="AF565" i="7"/>
  <c r="AE566" i="7"/>
  <c r="AE70" i="7" s="1"/>
  <c r="AE74" i="7" s="1"/>
  <c r="AE80" i="7" s="1"/>
  <c r="C192" i="7"/>
  <c r="C205" i="7" s="1"/>
  <c r="C153" i="7"/>
  <c r="C166" i="7" s="1"/>
  <c r="T571" i="7"/>
  <c r="T574" i="7" s="1"/>
  <c r="B566" i="7" l="1"/>
  <c r="B70" i="7" s="1"/>
  <c r="AF567" i="7"/>
  <c r="AF566" i="7"/>
  <c r="U571" i="7"/>
  <c r="U574" i="7" s="1"/>
  <c r="AF70" i="7" l="1"/>
  <c r="AF74" i="7" s="1"/>
  <c r="AF80" i="7" s="1"/>
  <c r="V571" i="7"/>
  <c r="V574" i="7" s="1"/>
  <c r="Q561" i="7" l="1"/>
  <c r="N561" i="7"/>
  <c r="W571" i="7"/>
  <c r="W574" i="7" s="1"/>
  <c r="V667" i="7"/>
  <c r="W668" i="7" s="1"/>
  <c r="W173" i="7" l="1"/>
  <c r="W137" i="7"/>
  <c r="W54" i="7"/>
  <c r="X571" i="7"/>
  <c r="X574" i="7" s="1"/>
  <c r="W667" i="7"/>
  <c r="X668" i="7" s="1"/>
  <c r="X173" i="7" l="1"/>
  <c r="X137" i="7"/>
  <c r="X54" i="7"/>
  <c r="Y571" i="7"/>
  <c r="Y574" i="7" s="1"/>
  <c r="X667" i="7"/>
  <c r="Y668" i="7" s="1"/>
  <c r="Y173" i="7" l="1"/>
  <c r="Y137" i="7"/>
  <c r="Y54" i="7"/>
  <c r="Z571" i="7"/>
  <c r="Z574" i="7" s="1"/>
  <c r="Y667" i="7"/>
  <c r="Z668" i="7" s="1"/>
  <c r="AA571" i="7" l="1"/>
  <c r="AA574" i="7" s="1"/>
  <c r="Z667" i="7"/>
  <c r="AA668" i="7" s="1"/>
  <c r="Z173" i="7"/>
  <c r="Z137" i="7"/>
  <c r="Z54" i="7"/>
  <c r="AB571" i="7" l="1"/>
  <c r="AB574" i="7" s="1"/>
  <c r="AA667" i="7"/>
  <c r="AB668" i="7" s="1"/>
  <c r="AA173" i="7"/>
  <c r="AA137" i="7"/>
  <c r="AA54" i="7"/>
  <c r="AC571" i="7" l="1"/>
  <c r="AC574" i="7" s="1"/>
  <c r="AB667" i="7"/>
  <c r="AC668" i="7" s="1"/>
  <c r="AB173" i="7"/>
  <c r="AB137" i="7"/>
  <c r="AB54" i="7"/>
  <c r="AC173" i="7" l="1"/>
  <c r="AC137" i="7"/>
  <c r="AC54" i="7"/>
  <c r="AD571" i="7"/>
  <c r="AD574" i="7" s="1"/>
  <c r="AC667" i="7"/>
  <c r="AD668" i="7" s="1"/>
  <c r="AE571" i="7" l="1"/>
  <c r="AE574" i="7" s="1"/>
  <c r="AD667" i="7"/>
  <c r="AE668" i="7" s="1"/>
  <c r="AD173" i="7"/>
  <c r="AD137" i="7"/>
  <c r="AD54" i="7"/>
  <c r="AF571" i="7" l="1"/>
  <c r="AF574" i="7" s="1"/>
  <c r="AE667" i="7"/>
  <c r="AF668" i="7" s="1"/>
  <c r="AE173" i="7"/>
  <c r="AE137" i="7"/>
  <c r="AE54" i="7"/>
  <c r="AG571" i="7" l="1"/>
  <c r="AG574" i="7" s="1"/>
  <c r="AF667" i="7"/>
  <c r="AF173" i="7"/>
  <c r="AF137" i="7"/>
  <c r="AF54" i="7"/>
  <c r="AG137" i="7" l="1"/>
  <c r="AG173" i="7"/>
  <c r="AG54" i="7"/>
  <c r="M349" i="7"/>
  <c r="M351" i="7"/>
  <c r="M352" i="7"/>
  <c r="AH571" i="7"/>
  <c r="AH574" i="7" s="1"/>
  <c r="AG667" i="7"/>
  <c r="M214" i="7" l="1"/>
  <c r="AH173" i="7"/>
  <c r="AH54" i="7"/>
  <c r="AH137" i="7"/>
  <c r="M217" i="7"/>
  <c r="M348" i="7"/>
  <c r="AI571" i="7"/>
  <c r="AI574" i="7" s="1"/>
  <c r="AH667" i="7"/>
  <c r="AI137" i="7" l="1"/>
  <c r="AI173" i="7"/>
  <c r="AI54" i="7"/>
  <c r="AJ571" i="7"/>
  <c r="AJ574" i="7" s="1"/>
  <c r="AI667" i="7"/>
  <c r="AJ173" i="7" l="1"/>
  <c r="AJ137" i="7"/>
  <c r="AJ54" i="7"/>
  <c r="AK571" i="7"/>
  <c r="AK574" i="7" s="1"/>
  <c r="AJ667" i="7"/>
  <c r="AK173" i="7" l="1"/>
  <c r="AK137" i="7"/>
  <c r="AK54" i="7"/>
  <c r="AL571" i="7"/>
  <c r="AL574" i="7" s="1"/>
  <c r="AK667" i="7"/>
  <c r="AL137" i="7" l="1"/>
  <c r="AL173" i="7"/>
  <c r="AL54" i="7"/>
  <c r="AM571" i="7"/>
  <c r="AM574" i="7" s="1"/>
  <c r="AL667" i="7"/>
  <c r="AM173" i="7" l="1"/>
  <c r="AM54" i="7"/>
  <c r="AM137" i="7"/>
  <c r="AN571" i="7"/>
  <c r="AN574" i="7" s="1"/>
  <c r="AM667" i="7"/>
  <c r="AN173" i="7" l="1"/>
  <c r="AN54" i="7"/>
  <c r="AN137" i="7"/>
  <c r="AO571" i="7"/>
  <c r="AO574" i="7" s="1"/>
  <c r="AN667" i="7"/>
  <c r="AO173" i="7" l="1"/>
  <c r="AO54" i="7"/>
  <c r="AO137" i="7"/>
  <c r="AP571" i="7"/>
  <c r="AP574" i="7" s="1"/>
  <c r="AP667" i="7" s="1"/>
  <c r="AO667" i="7"/>
  <c r="AP137" i="7" l="1"/>
  <c r="AP173" i="7"/>
  <c r="AP54" i="7"/>
  <c r="L561" i="7" l="1"/>
  <c r="H43" i="7" l="1"/>
  <c r="AF43" i="7"/>
  <c r="AF47" i="7" s="1"/>
  <c r="AF56" i="7" s="1"/>
  <c r="AF95" i="7" s="1"/>
  <c r="AN43" i="7"/>
  <c r="AC43" i="7"/>
  <c r="AC47" i="7" s="1"/>
  <c r="AC56" i="7" s="1"/>
  <c r="AC95" i="7" s="1"/>
  <c r="AP43" i="7"/>
  <c r="AH43" i="7"/>
  <c r="H541" i="7" l="1"/>
  <c r="H543" i="7" s="1"/>
  <c r="H545" i="7" s="1"/>
  <c r="AC136" i="7"/>
  <c r="Q43" i="7"/>
  <c r="H136" i="7"/>
  <c r="H47" i="7"/>
  <c r="H172" i="7"/>
  <c r="AC172" i="7"/>
  <c r="G43" i="7"/>
  <c r="AF172" i="7"/>
  <c r="AF136" i="7"/>
  <c r="L43" i="7"/>
  <c r="AO43" i="7"/>
  <c r="AM43" i="7"/>
  <c r="AI43" i="7"/>
  <c r="C541" i="7"/>
  <c r="C543" i="7" s="1"/>
  <c r="C545" i="7" s="1"/>
  <c r="AC96" i="7"/>
  <c r="AF96" i="7"/>
  <c r="AN136" i="7"/>
  <c r="AN172" i="7"/>
  <c r="AN47" i="7"/>
  <c r="AN56" i="7" s="1"/>
  <c r="AN95" i="7" s="1"/>
  <c r="AP172" i="7"/>
  <c r="AP47" i="7"/>
  <c r="AP56" i="7" s="1"/>
  <c r="AP95" i="7" s="1"/>
  <c r="AP136" i="7"/>
  <c r="AB43" i="7"/>
  <c r="AD43" i="7"/>
  <c r="E43" i="7"/>
  <c r="AK43" i="7"/>
  <c r="U43" i="7"/>
  <c r="U541" i="7" s="1"/>
  <c r="U543" i="7" s="1"/>
  <c r="U545" i="7" s="1"/>
  <c r="AJ43" i="7"/>
  <c r="J43" i="7"/>
  <c r="AG43" i="7"/>
  <c r="R43" i="7"/>
  <c r="AE43" i="7"/>
  <c r="AH172" i="7"/>
  <c r="AH136" i="7"/>
  <c r="AH47" i="7"/>
  <c r="AH56" i="7" s="1"/>
  <c r="AH95" i="7" s="1"/>
  <c r="N43" i="7"/>
  <c r="T43" i="7"/>
  <c r="AL43" i="7"/>
  <c r="T562" i="7" l="1"/>
  <c r="T541" i="7"/>
  <c r="T543" i="7" s="1"/>
  <c r="T545" i="7" s="1"/>
  <c r="Q541" i="7"/>
  <c r="Q543" i="7" s="1"/>
  <c r="Q545" i="7" s="1"/>
  <c r="R541" i="7"/>
  <c r="R543" i="7" s="1"/>
  <c r="R545" i="7" s="1"/>
  <c r="AA43" i="7"/>
  <c r="AA172" i="7" s="1"/>
  <c r="M43" i="7"/>
  <c r="M136" i="7" s="1"/>
  <c r="F43" i="7"/>
  <c r="D43" i="7"/>
  <c r="K43" i="7"/>
  <c r="T47" i="7"/>
  <c r="T172" i="7"/>
  <c r="T136" i="7"/>
  <c r="AH96" i="7"/>
  <c r="R136" i="7"/>
  <c r="R47" i="7"/>
  <c r="R172" i="7"/>
  <c r="P43" i="7"/>
  <c r="J541" i="7"/>
  <c r="J543" i="7" s="1"/>
  <c r="J545" i="7" s="1"/>
  <c r="J47" i="7"/>
  <c r="J172" i="7"/>
  <c r="J136" i="7"/>
  <c r="O43" i="7"/>
  <c r="S43" i="7"/>
  <c r="AJ47" i="7"/>
  <c r="AJ56" i="7" s="1"/>
  <c r="AJ95" i="7" s="1"/>
  <c r="AJ136" i="7"/>
  <c r="AJ172" i="7"/>
  <c r="AK136" i="7"/>
  <c r="AK47" i="7"/>
  <c r="AK56" i="7" s="1"/>
  <c r="AK95" i="7" s="1"/>
  <c r="AK172" i="7"/>
  <c r="E136" i="7"/>
  <c r="E47" i="7"/>
  <c r="E172" i="7"/>
  <c r="E541" i="7"/>
  <c r="E543" i="7" s="1"/>
  <c r="E545" i="7" s="1"/>
  <c r="AP96" i="7"/>
  <c r="G47" i="7"/>
  <c r="G172" i="7"/>
  <c r="G136" i="7"/>
  <c r="G541" i="7"/>
  <c r="G543" i="7" s="1"/>
  <c r="G545" i="7" s="1"/>
  <c r="AN96" i="7"/>
  <c r="C47" i="7"/>
  <c r="C136" i="7"/>
  <c r="C172" i="7"/>
  <c r="Z43" i="7"/>
  <c r="AI47" i="7"/>
  <c r="AI56" i="7" s="1"/>
  <c r="AI95" i="7" s="1"/>
  <c r="AI172" i="7"/>
  <c r="AI136" i="7"/>
  <c r="X43" i="7"/>
  <c r="Y43" i="7"/>
  <c r="AM47" i="7"/>
  <c r="AM56" i="7" s="1"/>
  <c r="AM95" i="7" s="1"/>
  <c r="AM136" i="7"/>
  <c r="AM172" i="7"/>
  <c r="AO47" i="7"/>
  <c r="AO56" i="7" s="1"/>
  <c r="AO95" i="7" s="1"/>
  <c r="AO136" i="7"/>
  <c r="AO172" i="7"/>
  <c r="L541" i="7"/>
  <c r="L543" i="7" s="1"/>
  <c r="L545" i="7" s="1"/>
  <c r="L136" i="7"/>
  <c r="L172" i="7"/>
  <c r="L47" i="7"/>
  <c r="Q47" i="7"/>
  <c r="Q136" i="7"/>
  <c r="Q172" i="7"/>
  <c r="V43" i="7"/>
  <c r="V541" i="7" s="1"/>
  <c r="V543" i="7" s="1"/>
  <c r="V545" i="7" s="1"/>
  <c r="AL172" i="7"/>
  <c r="AL136" i="7"/>
  <c r="AL47" i="7"/>
  <c r="AL56" i="7" s="1"/>
  <c r="AL95" i="7" s="1"/>
  <c r="N136" i="7"/>
  <c r="N172" i="7"/>
  <c r="N47" i="7"/>
  <c r="N541" i="7"/>
  <c r="N543" i="7" s="1"/>
  <c r="N545" i="7" s="1"/>
  <c r="AE136" i="7"/>
  <c r="AE47" i="7"/>
  <c r="AE56" i="7" s="1"/>
  <c r="AE95" i="7" s="1"/>
  <c r="AE172" i="7"/>
  <c r="W43" i="7"/>
  <c r="AG172" i="7"/>
  <c r="AG47" i="7"/>
  <c r="AG56" i="7" s="1"/>
  <c r="AG95" i="7" s="1"/>
  <c r="AG136" i="7"/>
  <c r="U136" i="7"/>
  <c r="U47" i="7"/>
  <c r="U172" i="7"/>
  <c r="AD47" i="7"/>
  <c r="AD56" i="7" s="1"/>
  <c r="AD95" i="7" s="1"/>
  <c r="AD172" i="7"/>
  <c r="AD136" i="7"/>
  <c r="AB136" i="7"/>
  <c r="AB47" i="7"/>
  <c r="AB56" i="7" s="1"/>
  <c r="AB95" i="7" s="1"/>
  <c r="AB172" i="7"/>
  <c r="I43" i="7"/>
  <c r="T667" i="7" l="1"/>
  <c r="U668" i="7" s="1"/>
  <c r="U559" i="7"/>
  <c r="U562" i="7"/>
  <c r="P541" i="7"/>
  <c r="P543" i="7" s="1"/>
  <c r="P545" i="7" s="1"/>
  <c r="S541" i="7"/>
  <c r="S543" i="7" s="1"/>
  <c r="S545" i="7" s="1"/>
  <c r="AA136" i="7"/>
  <c r="AA47" i="7"/>
  <c r="AA56" i="7" s="1"/>
  <c r="M172" i="7"/>
  <c r="M47" i="7"/>
  <c r="D136" i="7"/>
  <c r="M541" i="7"/>
  <c r="M543" i="7" s="1"/>
  <c r="M545" i="7" s="1"/>
  <c r="D47" i="7"/>
  <c r="F541" i="7"/>
  <c r="F543" i="7" s="1"/>
  <c r="F545" i="7" s="1"/>
  <c r="F172" i="7"/>
  <c r="F136" i="7"/>
  <c r="F47" i="7"/>
  <c r="D541" i="7"/>
  <c r="D543" i="7" s="1"/>
  <c r="D545" i="7" s="1"/>
  <c r="D172" i="7"/>
  <c r="K172" i="7"/>
  <c r="K136" i="7"/>
  <c r="K541" i="7"/>
  <c r="K543" i="7" s="1"/>
  <c r="K545" i="7" s="1"/>
  <c r="K47" i="7"/>
  <c r="AG96" i="7"/>
  <c r="W172" i="7"/>
  <c r="W136" i="7"/>
  <c r="W47" i="7"/>
  <c r="W56" i="7" s="1"/>
  <c r="W95" i="7" s="1"/>
  <c r="AL96" i="7"/>
  <c r="AM96" i="7"/>
  <c r="Y136" i="7"/>
  <c r="Y47" i="7"/>
  <c r="Y56" i="7" s="1"/>
  <c r="Y95" i="7" s="1"/>
  <c r="Y172" i="7"/>
  <c r="Z172" i="7"/>
  <c r="Z136" i="7"/>
  <c r="Z47" i="7"/>
  <c r="Z56" i="7" s="1"/>
  <c r="Z95" i="7" s="1"/>
  <c r="S136" i="7"/>
  <c r="S172" i="7"/>
  <c r="S47" i="7"/>
  <c r="O136" i="7"/>
  <c r="O541" i="7"/>
  <c r="O543" i="7" s="1"/>
  <c r="O545" i="7" s="1"/>
  <c r="O172" i="7"/>
  <c r="O47" i="7"/>
  <c r="I47" i="7"/>
  <c r="I172" i="7"/>
  <c r="I136" i="7"/>
  <c r="I541" i="7"/>
  <c r="I543" i="7" s="1"/>
  <c r="I545" i="7" s="1"/>
  <c r="AB96" i="7"/>
  <c r="AD96" i="7"/>
  <c r="AE96" i="7"/>
  <c r="V47" i="7"/>
  <c r="V172" i="7"/>
  <c r="V136" i="7"/>
  <c r="AO96" i="7"/>
  <c r="X136" i="7"/>
  <c r="X47" i="7"/>
  <c r="X56" i="7" s="1"/>
  <c r="X95" i="7" s="1"/>
  <c r="X172" i="7"/>
  <c r="AI96" i="7"/>
  <c r="AK96" i="7"/>
  <c r="AJ96" i="7"/>
  <c r="P47" i="7"/>
  <c r="P172" i="7"/>
  <c r="P136" i="7"/>
  <c r="AA95" i="7" l="1"/>
  <c r="U667" i="7"/>
  <c r="V668" i="7" s="1"/>
  <c r="V559" i="7"/>
  <c r="V561" i="7" s="1"/>
  <c r="V69" i="7" s="1"/>
  <c r="V74" i="7" s="1"/>
  <c r="V80" i="7" s="1"/>
  <c r="U560" i="7"/>
  <c r="U69" i="7" s="1"/>
  <c r="U74" i="7" s="1"/>
  <c r="U80" i="7" s="1"/>
  <c r="U54" i="7"/>
  <c r="U137" i="7"/>
  <c r="U173" i="7"/>
  <c r="AA96" i="7"/>
  <c r="X96" i="7"/>
  <c r="Z96" i="7"/>
  <c r="Y96" i="7"/>
  <c r="W96" i="7"/>
  <c r="V173" i="7" l="1"/>
  <c r="V137" i="7"/>
  <c r="V54" i="7"/>
  <c r="O561" i="7" l="1"/>
  <c r="T560" i="7" l="1"/>
  <c r="U174" i="7" l="1"/>
  <c r="U55" i="7"/>
  <c r="U56" i="7" s="1"/>
  <c r="U138" i="7"/>
  <c r="U89" i="7" l="1"/>
  <c r="U90" i="7" s="1"/>
  <c r="U95" i="7" s="1"/>
  <c r="AN139" i="7"/>
  <c r="AN140" i="7" s="1"/>
  <c r="AN168" i="7" s="1"/>
  <c r="AN169" i="7" s="1"/>
  <c r="AP139" i="7"/>
  <c r="AP140" i="7" s="1"/>
  <c r="AP168" i="7" s="1"/>
  <c r="AP169" i="7" s="1"/>
  <c r="AL139" i="7"/>
  <c r="AL140" i="7" s="1"/>
  <c r="AL168" i="7" s="1"/>
  <c r="AL169" i="7" s="1"/>
  <c r="AH139" i="7"/>
  <c r="AH140" i="7" s="1"/>
  <c r="AH168" i="7" s="1"/>
  <c r="AH169" i="7" s="1"/>
  <c r="AO139" i="7"/>
  <c r="AO140" i="7" s="1"/>
  <c r="AO168" i="7" s="1"/>
  <c r="AO169" i="7" s="1"/>
  <c r="AK139" i="7"/>
  <c r="AK140" i="7" s="1"/>
  <c r="AK168" i="7" s="1"/>
  <c r="AK169" i="7" s="1"/>
  <c r="AG139" i="7"/>
  <c r="AG140" i="7" s="1"/>
  <c r="AG168" i="7" s="1"/>
  <c r="AG169" i="7" s="1"/>
  <c r="AJ139" i="7"/>
  <c r="AJ140" i="7" s="1"/>
  <c r="AJ168" i="7" s="1"/>
  <c r="AJ169" i="7" s="1"/>
  <c r="AM139" i="7"/>
  <c r="AM140" i="7" s="1"/>
  <c r="AM168" i="7" s="1"/>
  <c r="AM169" i="7" s="1"/>
  <c r="AI139" i="7"/>
  <c r="AI140" i="7" s="1"/>
  <c r="AI168" i="7" s="1"/>
  <c r="AI169" i="7" s="1"/>
  <c r="U96" i="7" l="1"/>
  <c r="AG176" i="7"/>
  <c r="AG108" i="7"/>
  <c r="AH176" i="7"/>
  <c r="AH108" i="7"/>
  <c r="AK176" i="7"/>
  <c r="AK108" i="7"/>
  <c r="AL108" i="7"/>
  <c r="AL176" i="7"/>
  <c r="AI176" i="7"/>
  <c r="AI108" i="7"/>
  <c r="AJ176" i="7"/>
  <c r="AJ108" i="7"/>
  <c r="AO176" i="7"/>
  <c r="AO108" i="7"/>
  <c r="AP176" i="7"/>
  <c r="AP108" i="7"/>
  <c r="AM176" i="7"/>
  <c r="AM108" i="7"/>
  <c r="AN176" i="7"/>
  <c r="AN108" i="7"/>
  <c r="AK175" i="7"/>
  <c r="AJ175" i="7"/>
  <c r="AG175" i="7"/>
  <c r="AI175" i="7"/>
  <c r="AL175" i="7"/>
  <c r="AO175" i="7"/>
  <c r="AH175" i="7"/>
  <c r="AN175" i="7"/>
  <c r="AP175" i="7"/>
  <c r="AM175" i="7"/>
  <c r="V55" i="7" l="1"/>
  <c r="V56" i="7" s="1"/>
  <c r="V174" i="7"/>
  <c r="V138" i="7"/>
  <c r="AG179" i="7"/>
  <c r="AG207" i="7" s="1"/>
  <c r="AG208" i="7" s="1"/>
  <c r="AG122" i="7" s="1"/>
  <c r="AN179" i="7"/>
  <c r="AN207" i="7" s="1"/>
  <c r="AN208" i="7" s="1"/>
  <c r="AN122" i="7" s="1"/>
  <c r="AL179" i="7"/>
  <c r="AL207" i="7" s="1"/>
  <c r="AL208" i="7" s="1"/>
  <c r="AL122" i="7" s="1"/>
  <c r="AM179" i="7"/>
  <c r="AM207" i="7" s="1"/>
  <c r="AM208" i="7" s="1"/>
  <c r="AM122" i="7" s="1"/>
  <c r="AP179" i="7"/>
  <c r="AP207" i="7" s="1"/>
  <c r="AP208" i="7" s="1"/>
  <c r="AP122" i="7" s="1"/>
  <c r="AJ179" i="7"/>
  <c r="AJ207" i="7" s="1"/>
  <c r="AJ208" i="7" s="1"/>
  <c r="AJ122" i="7" s="1"/>
  <c r="AO179" i="7"/>
  <c r="AO207" i="7" s="1"/>
  <c r="AO208" i="7" s="1"/>
  <c r="AO122" i="7" s="1"/>
  <c r="AI179" i="7"/>
  <c r="AI207" i="7" s="1"/>
  <c r="AI208" i="7" s="1"/>
  <c r="AI122" i="7" s="1"/>
  <c r="AK179" i="7"/>
  <c r="AK207" i="7" s="1"/>
  <c r="AK208" i="7" s="1"/>
  <c r="AK122" i="7" s="1"/>
  <c r="AH179" i="7"/>
  <c r="AH207" i="7" s="1"/>
  <c r="AH208" i="7" s="1"/>
  <c r="AH122" i="7" s="1"/>
  <c r="V89" i="7" l="1"/>
  <c r="V90" i="7" s="1"/>
  <c r="V95" i="7" s="1"/>
  <c r="AI109" i="7"/>
  <c r="AI110" i="7" s="1"/>
  <c r="AI111" i="7" s="1"/>
  <c r="AP109" i="7"/>
  <c r="AP110" i="7" s="1"/>
  <c r="AP111" i="7" s="1"/>
  <c r="AL109" i="7"/>
  <c r="AL110" i="7" s="1"/>
  <c r="AL111" i="7" s="1"/>
  <c r="AO109" i="7"/>
  <c r="AO110" i="7" s="1"/>
  <c r="AO111" i="7" s="1"/>
  <c r="AM109" i="7"/>
  <c r="AM110" i="7" s="1"/>
  <c r="AM111" i="7" s="1"/>
  <c r="AN109" i="7"/>
  <c r="AN110" i="7" s="1"/>
  <c r="AN111" i="7" s="1"/>
  <c r="AH109" i="7"/>
  <c r="AH110" i="7" s="1"/>
  <c r="AH111" i="7" s="1"/>
  <c r="AG109" i="7"/>
  <c r="AG110" i="7" s="1"/>
  <c r="AG111" i="7" s="1"/>
  <c r="AK109" i="7"/>
  <c r="AK110" i="7" s="1"/>
  <c r="AK111" i="7" s="1"/>
  <c r="AJ109" i="7"/>
  <c r="AJ110" i="7" s="1"/>
  <c r="AJ111" i="7" s="1"/>
  <c r="V96" i="7" l="1"/>
  <c r="M350" i="7" l="1"/>
  <c r="C259" i="7"/>
  <c r="B259" i="7" s="1"/>
  <c r="M215" i="7"/>
  <c r="M219" i="7"/>
  <c r="M218" i="7"/>
  <c r="M216" i="7"/>
  <c r="M353" i="7" l="1"/>
  <c r="M220" i="7"/>
  <c r="B220" i="7" l="1"/>
  <c r="AD139" i="7"/>
  <c r="AD140" i="7" s="1"/>
  <c r="AD168" i="7" s="1"/>
  <c r="AD169" i="7" s="1"/>
  <c r="AD175" i="7"/>
  <c r="AB139" i="7"/>
  <c r="AB140" i="7" s="1"/>
  <c r="AB168" i="7" s="1"/>
  <c r="AB169" i="7" s="1"/>
  <c r="AB175" i="7"/>
  <c r="AF139" i="7"/>
  <c r="AF140" i="7" s="1"/>
  <c r="AF168" i="7" s="1"/>
  <c r="AF169" i="7" s="1"/>
  <c r="AF175" i="7"/>
  <c r="AC139" i="7"/>
  <c r="AC140" i="7" s="1"/>
  <c r="AC168" i="7" s="1"/>
  <c r="AC169" i="7" s="1"/>
  <c r="AC175" i="7"/>
  <c r="AE139" i="7"/>
  <c r="AE140" i="7" s="1"/>
  <c r="AE168" i="7" s="1"/>
  <c r="AE169" i="7" s="1"/>
  <c r="AE175" i="7"/>
  <c r="AD108" i="7" l="1"/>
  <c r="AD176" i="7"/>
  <c r="AD179" i="7" s="1"/>
  <c r="AD207" i="7" s="1"/>
  <c r="AD208" i="7" s="1"/>
  <c r="AD109" i="7" s="1"/>
  <c r="AB176" i="7"/>
  <c r="AB179" i="7" s="1"/>
  <c r="AB207" i="7" s="1"/>
  <c r="AB208" i="7" s="1"/>
  <c r="AB109" i="7" s="1"/>
  <c r="AB108" i="7"/>
  <c r="AE108" i="7"/>
  <c r="AE176" i="7"/>
  <c r="AE179" i="7" s="1"/>
  <c r="AE207" i="7" s="1"/>
  <c r="AE208" i="7" s="1"/>
  <c r="AE109" i="7" s="1"/>
  <c r="AF176" i="7"/>
  <c r="AF179" i="7" s="1"/>
  <c r="AF207" i="7" s="1"/>
  <c r="AF208" i="7" s="1"/>
  <c r="AF109" i="7" s="1"/>
  <c r="AF108" i="7"/>
  <c r="AC108" i="7"/>
  <c r="AC176" i="7"/>
  <c r="AC179" i="7" s="1"/>
  <c r="AC207" i="7" s="1"/>
  <c r="AC208" i="7" s="1"/>
  <c r="AC109" i="7" s="1"/>
  <c r="AE122" i="7" l="1"/>
  <c r="AE110" i="7"/>
  <c r="AE111" i="7" s="1"/>
  <c r="AF110" i="7"/>
  <c r="AF111" i="7" s="1"/>
  <c r="AC122" i="7"/>
  <c r="AF122" i="7"/>
  <c r="AB122" i="7"/>
  <c r="AD110" i="7"/>
  <c r="AD111" i="7" s="1"/>
  <c r="AC110" i="7"/>
  <c r="AC111" i="7" s="1"/>
  <c r="AB110" i="7"/>
  <c r="AB111" i="7" s="1"/>
  <c r="AD122" i="7"/>
  <c r="H552" i="7" l="1"/>
  <c r="H548" i="7"/>
  <c r="J552" i="7" l="1"/>
  <c r="J548" i="7"/>
  <c r="T552" i="7"/>
  <c r="T548" i="7"/>
  <c r="P552" i="7"/>
  <c r="P548" i="7"/>
  <c r="I552" i="7"/>
  <c r="I548" i="7"/>
  <c r="G552" i="7"/>
  <c r="G548" i="7"/>
  <c r="R552" i="7"/>
  <c r="R548" i="7"/>
  <c r="K552" i="7"/>
  <c r="K548" i="7"/>
  <c r="S552" i="7"/>
  <c r="S548" i="7"/>
  <c r="M552" i="7"/>
  <c r="M548" i="7"/>
  <c r="O552" i="7"/>
  <c r="O548" i="7"/>
  <c r="D552" i="7"/>
  <c r="D548" i="7"/>
  <c r="F552" i="7"/>
  <c r="F548" i="7"/>
  <c r="C552" i="7"/>
  <c r="C548" i="7"/>
  <c r="E552" i="7"/>
  <c r="E548" i="7"/>
  <c r="Q552" i="7"/>
  <c r="Q548" i="7"/>
  <c r="N552" i="7"/>
  <c r="N548" i="7"/>
  <c r="L552" i="7"/>
  <c r="L548" i="7"/>
  <c r="B548" i="7" l="1"/>
  <c r="B86" i="7"/>
  <c r="B87" i="7" s="1"/>
  <c r="L553" i="7"/>
  <c r="L555" i="7" s="1"/>
  <c r="I553" i="7"/>
  <c r="I555" i="7" s="1"/>
  <c r="R553" i="7"/>
  <c r="R555" i="7" s="1"/>
  <c r="O553" i="7"/>
  <c r="O555" i="7" s="1"/>
  <c r="T553" i="7"/>
  <c r="T555" i="7" s="1"/>
  <c r="K553" i="7"/>
  <c r="K555" i="7" s="1"/>
  <c r="G553" i="7"/>
  <c r="G555" i="7" s="1"/>
  <c r="G535" i="7"/>
  <c r="S553" i="7"/>
  <c r="S555" i="7" s="1"/>
  <c r="S535" i="7"/>
  <c r="R562" i="7" s="1"/>
  <c r="N553" i="7"/>
  <c r="N555" i="7" s="1"/>
  <c r="D553" i="7"/>
  <c r="D555" i="7" s="1"/>
  <c r="E553" i="7"/>
  <c r="E555" i="7" s="1"/>
  <c r="F553" i="7"/>
  <c r="F555" i="7" s="1"/>
  <c r="M553" i="7"/>
  <c r="M555" i="7" s="1"/>
  <c r="P553" i="7"/>
  <c r="P555" i="7" s="1"/>
  <c r="Q553" i="7"/>
  <c r="Q555" i="7" s="1"/>
  <c r="H553" i="7"/>
  <c r="H555" i="7" s="1"/>
  <c r="B538" i="7"/>
  <c r="J553" i="7"/>
  <c r="J555" i="7" s="1"/>
  <c r="C553" i="7"/>
  <c r="C555" i="7" s="1"/>
  <c r="J535" i="7" l="1"/>
  <c r="Q535" i="7"/>
  <c r="P562" i="7" s="1"/>
  <c r="P667" i="7" s="1"/>
  <c r="Q668" i="7" s="1"/>
  <c r="F535" i="7"/>
  <c r="E535" i="7"/>
  <c r="D562" i="7" s="1"/>
  <c r="D667" i="7" s="1"/>
  <c r="E668" i="7" s="1"/>
  <c r="T535" i="7"/>
  <c r="Q559" i="7"/>
  <c r="E559" i="7"/>
  <c r="S559" i="7"/>
  <c r="R667" i="7"/>
  <c r="S668" i="7" s="1"/>
  <c r="B555" i="7"/>
  <c r="F20" i="1" s="1"/>
  <c r="P535" i="7"/>
  <c r="M535" i="7"/>
  <c r="N535" i="7"/>
  <c r="F562" i="7"/>
  <c r="S562" i="7"/>
  <c r="R535" i="7"/>
  <c r="I535" i="7"/>
  <c r="C535" i="7"/>
  <c r="I562" i="7"/>
  <c r="C536" i="7"/>
  <c r="F19" i="1"/>
  <c r="H535" i="7"/>
  <c r="E562" i="7"/>
  <c r="D535" i="7"/>
  <c r="K535" i="7"/>
  <c r="O535" i="7"/>
  <c r="L535" i="7"/>
  <c r="N562" i="7" l="1"/>
  <c r="S137" i="7"/>
  <c r="S173" i="7"/>
  <c r="S54" i="7"/>
  <c r="F559" i="7"/>
  <c r="E560" i="7"/>
  <c r="E69" i="7" s="1"/>
  <c r="E74" i="7" s="1"/>
  <c r="E80" i="7" s="1"/>
  <c r="E667" i="7"/>
  <c r="F668" i="7" s="1"/>
  <c r="S560" i="7"/>
  <c r="S69" i="7" s="1"/>
  <c r="S74" i="7" s="1"/>
  <c r="S80" i="7" s="1"/>
  <c r="T559" i="7"/>
  <c r="T561" i="7" s="1"/>
  <c r="T69" i="7" s="1"/>
  <c r="T74" i="7" s="1"/>
  <c r="T80" i="7" s="1"/>
  <c r="S667" i="7"/>
  <c r="T668" i="7" s="1"/>
  <c r="O562" i="7"/>
  <c r="J559" i="7"/>
  <c r="I667" i="7"/>
  <c r="J668" i="7" s="1"/>
  <c r="G562" i="7"/>
  <c r="C537" i="7"/>
  <c r="B562" i="7"/>
  <c r="L562" i="7"/>
  <c r="J562" i="7"/>
  <c r="C562" i="7"/>
  <c r="C174" i="7"/>
  <c r="C138" i="7"/>
  <c r="C55" i="7"/>
  <c r="H562" i="7"/>
  <c r="F560" i="7"/>
  <c r="F69" i="7" s="1"/>
  <c r="F74" i="7" s="1"/>
  <c r="F80" i="7" s="1"/>
  <c r="G559" i="7"/>
  <c r="F667" i="7"/>
  <c r="G668" i="7" s="1"/>
  <c r="K562" i="7"/>
  <c r="Q562" i="7"/>
  <c r="M562" i="7"/>
  <c r="E137" i="7"/>
  <c r="E173" i="7"/>
  <c r="E54" i="7"/>
  <c r="Q173" i="7"/>
  <c r="Q137" i="7"/>
  <c r="Q54" i="7"/>
  <c r="L559" i="7" l="1"/>
  <c r="K667" i="7"/>
  <c r="L668" i="7" s="1"/>
  <c r="C559" i="7"/>
  <c r="B667" i="7"/>
  <c r="C668" i="7" s="1"/>
  <c r="B560" i="7"/>
  <c r="B69" i="7" s="1"/>
  <c r="B74" i="7" s="1"/>
  <c r="B80" i="7" s="1"/>
  <c r="J137" i="7"/>
  <c r="J173" i="7"/>
  <c r="J54" i="7"/>
  <c r="F137" i="7"/>
  <c r="F173" i="7"/>
  <c r="F54" i="7"/>
  <c r="N559" i="7"/>
  <c r="M667" i="7"/>
  <c r="N668" i="7" s="1"/>
  <c r="I559" i="7"/>
  <c r="I560" i="7" s="1"/>
  <c r="I69" i="7" s="1"/>
  <c r="I74" i="7" s="1"/>
  <c r="I80" i="7" s="1"/>
  <c r="H667" i="7"/>
  <c r="I668" i="7" s="1"/>
  <c r="K559" i="7"/>
  <c r="K560" i="7" s="1"/>
  <c r="K69" i="7" s="1"/>
  <c r="K74" i="7" s="1"/>
  <c r="K80" i="7" s="1"/>
  <c r="J560" i="7"/>
  <c r="J69" i="7" s="1"/>
  <c r="J74" i="7" s="1"/>
  <c r="J80" i="7" s="1"/>
  <c r="J667" i="7"/>
  <c r="K668" i="7" s="1"/>
  <c r="C89" i="7"/>
  <c r="C90" i="7" s="1"/>
  <c r="C538" i="7"/>
  <c r="T173" i="7"/>
  <c r="T54" i="7"/>
  <c r="T137" i="7"/>
  <c r="G54" i="7"/>
  <c r="G173" i="7"/>
  <c r="G137" i="7"/>
  <c r="H559" i="7"/>
  <c r="H560" i="7" s="1"/>
  <c r="H69" i="7" s="1"/>
  <c r="H74" i="7" s="1"/>
  <c r="H80" i="7" s="1"/>
  <c r="G560" i="7"/>
  <c r="G69" i="7" s="1"/>
  <c r="G74" i="7" s="1"/>
  <c r="G80" i="7" s="1"/>
  <c r="G667" i="7"/>
  <c r="H668" i="7" s="1"/>
  <c r="O559" i="7"/>
  <c r="N560" i="7"/>
  <c r="N69" i="7" s="1"/>
  <c r="N74" i="7" s="1"/>
  <c r="N80" i="7" s="1"/>
  <c r="N667" i="7"/>
  <c r="O668" i="7" s="1"/>
  <c r="R559" i="7"/>
  <c r="R560" i="7" s="1"/>
  <c r="R69" i="7" s="1"/>
  <c r="R74" i="7" s="1"/>
  <c r="R80" i="7" s="1"/>
  <c r="Q560" i="7"/>
  <c r="Q69" i="7" s="1"/>
  <c r="Q74" i="7" s="1"/>
  <c r="Q80" i="7" s="1"/>
  <c r="Q667" i="7"/>
  <c r="R668" i="7" s="1"/>
  <c r="D559" i="7"/>
  <c r="D560" i="7" s="1"/>
  <c r="D69" i="7" s="1"/>
  <c r="D74" i="7" s="1"/>
  <c r="D80" i="7" s="1"/>
  <c r="C560" i="7"/>
  <c r="C69" i="7" s="1"/>
  <c r="C74" i="7" s="1"/>
  <c r="C80" i="7" s="1"/>
  <c r="C667" i="7"/>
  <c r="D668" i="7" s="1"/>
  <c r="M559" i="7"/>
  <c r="M560" i="7" s="1"/>
  <c r="M69" i="7" s="1"/>
  <c r="M74" i="7" s="1"/>
  <c r="M80" i="7" s="1"/>
  <c r="L560" i="7"/>
  <c r="L69" i="7" s="1"/>
  <c r="L74" i="7" s="1"/>
  <c r="L80" i="7" s="1"/>
  <c r="L667" i="7"/>
  <c r="M668" i="7" s="1"/>
  <c r="P559" i="7"/>
  <c r="P560" i="7" s="1"/>
  <c r="P69" i="7" s="1"/>
  <c r="P74" i="7" s="1"/>
  <c r="P80" i="7" s="1"/>
  <c r="O560" i="7"/>
  <c r="O69" i="7" s="1"/>
  <c r="O74" i="7" s="1"/>
  <c r="O80" i="7" s="1"/>
  <c r="O667" i="7"/>
  <c r="P668" i="7" s="1"/>
  <c r="M137" i="7" l="1"/>
  <c r="M173" i="7"/>
  <c r="M54" i="7"/>
  <c r="I173" i="7"/>
  <c r="I137" i="7"/>
  <c r="I54" i="7"/>
  <c r="L137" i="7"/>
  <c r="L54" i="7"/>
  <c r="L173" i="7"/>
  <c r="H173" i="7"/>
  <c r="H137" i="7"/>
  <c r="H54" i="7"/>
  <c r="K173" i="7"/>
  <c r="K137" i="7"/>
  <c r="K54" i="7"/>
  <c r="F17" i="1"/>
  <c r="F18" i="1" s="1"/>
  <c r="C348" i="7"/>
  <c r="F348" i="7" s="1"/>
  <c r="C351" i="7"/>
  <c r="F351" i="7" s="1"/>
  <c r="C218" i="7"/>
  <c r="F218" i="7" s="1"/>
  <c r="C350" i="7"/>
  <c r="F350" i="7" s="1"/>
  <c r="B88" i="7"/>
  <c r="C219" i="7"/>
  <c r="F219" i="7" s="1"/>
  <c r="C216" i="7"/>
  <c r="F216" i="7" s="1"/>
  <c r="C215" i="7"/>
  <c r="F215" i="7" s="1"/>
  <c r="C347" i="7"/>
  <c r="C349" i="7"/>
  <c r="F349" i="7" s="1"/>
  <c r="C352" i="7"/>
  <c r="F352" i="7" s="1"/>
  <c r="C217" i="7"/>
  <c r="F217" i="7" s="1"/>
  <c r="C214" i="7"/>
  <c r="R137" i="7"/>
  <c r="R173" i="7"/>
  <c r="R54" i="7"/>
  <c r="O54" i="7"/>
  <c r="O173" i="7"/>
  <c r="O137" i="7"/>
  <c r="C173" i="7"/>
  <c r="C137" i="7"/>
  <c r="C54" i="7"/>
  <c r="C56" i="7" s="1"/>
  <c r="C95" i="7" s="1"/>
  <c r="C96" i="7" s="1"/>
  <c r="P137" i="7"/>
  <c r="P54" i="7"/>
  <c r="P173" i="7"/>
  <c r="D137" i="7"/>
  <c r="D54" i="7"/>
  <c r="D173" i="7"/>
  <c r="D536" i="7"/>
  <c r="N137" i="7"/>
  <c r="N173" i="7"/>
  <c r="N54" i="7"/>
  <c r="D174" i="7" l="1"/>
  <c r="D55" i="7"/>
  <c r="D56" i="7" s="1"/>
  <c r="D138" i="7"/>
  <c r="D537" i="7"/>
  <c r="C220" i="7"/>
  <c r="F214" i="7"/>
  <c r="C353" i="7"/>
  <c r="F347" i="7"/>
  <c r="B94" i="7"/>
  <c r="B90" i="7"/>
  <c r="B95" i="7" s="1"/>
  <c r="B96" i="7" l="1"/>
  <c r="B111" i="7" s="1"/>
  <c r="B122" i="7"/>
  <c r="F353" i="7"/>
  <c r="G347" i="7"/>
  <c r="G353" i="7" s="1"/>
  <c r="G214" i="7"/>
  <c r="G220" i="7" s="1"/>
  <c r="F220" i="7"/>
  <c r="D89" i="7"/>
  <c r="D90" i="7" s="1"/>
  <c r="D95" i="7" s="1"/>
  <c r="D96" i="7" s="1"/>
  <c r="D538" i="7"/>
  <c r="E536" i="7" l="1"/>
  <c r="H216" i="7"/>
  <c r="K216" i="7" s="1"/>
  <c r="L216" i="7" s="1"/>
  <c r="H219" i="7"/>
  <c r="K219" i="7" s="1"/>
  <c r="L219" i="7" s="1"/>
  <c r="H215" i="7"/>
  <c r="K215" i="7" s="1"/>
  <c r="L215" i="7" s="1"/>
  <c r="H218" i="7"/>
  <c r="K218" i="7" s="1"/>
  <c r="L218" i="7" s="1"/>
  <c r="H217" i="7"/>
  <c r="K217" i="7" s="1"/>
  <c r="L217" i="7" s="1"/>
  <c r="H214" i="7"/>
  <c r="I220" i="7"/>
  <c r="H348" i="7"/>
  <c r="K348" i="7" s="1"/>
  <c r="L348" i="7" s="1"/>
  <c r="H347" i="7"/>
  <c r="H350" i="7"/>
  <c r="K350" i="7" s="1"/>
  <c r="L350" i="7" s="1"/>
  <c r="H352" i="7"/>
  <c r="K352" i="7" s="1"/>
  <c r="L352" i="7" s="1"/>
  <c r="H349" i="7"/>
  <c r="K349" i="7" s="1"/>
  <c r="L349" i="7" s="1"/>
  <c r="H351" i="7"/>
  <c r="K351" i="7" s="1"/>
  <c r="L351" i="7" s="1"/>
  <c r="I353" i="7"/>
  <c r="B115" i="7"/>
  <c r="B116" i="7" l="1"/>
  <c r="K347" i="7"/>
  <c r="L347" i="7" s="1"/>
  <c r="H353" i="7"/>
  <c r="C100" i="7"/>
  <c r="I215" i="7"/>
  <c r="J215" i="7" s="1"/>
  <c r="I216" i="7"/>
  <c r="J216" i="7" s="1"/>
  <c r="I219" i="7"/>
  <c r="J219" i="7" s="1"/>
  <c r="I218" i="7"/>
  <c r="J218" i="7" s="1"/>
  <c r="I214" i="7"/>
  <c r="J214" i="7" s="1"/>
  <c r="I217" i="7"/>
  <c r="J217" i="7" s="1"/>
  <c r="E138" i="7"/>
  <c r="E55" i="7"/>
  <c r="E56" i="7" s="1"/>
  <c r="E174" i="7"/>
  <c r="E537" i="7"/>
  <c r="C101" i="7"/>
  <c r="I350" i="7"/>
  <c r="J350" i="7" s="1"/>
  <c r="I352" i="7"/>
  <c r="J352" i="7" s="1"/>
  <c r="N219" i="7" s="1"/>
  <c r="O219" i="7" s="1"/>
  <c r="Q219" i="7" s="1"/>
  <c r="I348" i="7"/>
  <c r="J348" i="7" s="1"/>
  <c r="N348" i="7" s="1"/>
  <c r="O348" i="7" s="1"/>
  <c r="I349" i="7"/>
  <c r="J349" i="7" s="1"/>
  <c r="N216" i="7" s="1"/>
  <c r="O216" i="7" s="1"/>
  <c r="Q216" i="7" s="1"/>
  <c r="I347" i="7"/>
  <c r="J347" i="7" s="1"/>
  <c r="I351" i="7"/>
  <c r="J351" i="7" s="1"/>
  <c r="N218" i="7" s="1"/>
  <c r="O218" i="7" s="1"/>
  <c r="Q218" i="7" s="1"/>
  <c r="N350" i="7"/>
  <c r="O350" i="7" s="1"/>
  <c r="Q350" i="7" s="1"/>
  <c r="N217" i="7"/>
  <c r="O217" i="7" s="1"/>
  <c r="Q217" i="7" s="1"/>
  <c r="H220" i="7"/>
  <c r="K214" i="7"/>
  <c r="L214" i="7" s="1"/>
  <c r="L220" i="7" s="1"/>
  <c r="J220" i="7" l="1"/>
  <c r="J257" i="7"/>
  <c r="N257" i="7"/>
  <c r="AB257" i="7"/>
  <c r="I257" i="7"/>
  <c r="AD257" i="7"/>
  <c r="AO257" i="7"/>
  <c r="AE257" i="7"/>
  <c r="E257" i="7"/>
  <c r="AA257" i="7"/>
  <c r="U257" i="7"/>
  <c r="AF257" i="7"/>
  <c r="R257" i="7"/>
  <c r="Y257" i="7"/>
  <c r="W257" i="7"/>
  <c r="V257" i="7"/>
  <c r="AL257" i="7"/>
  <c r="AP257" i="7"/>
  <c r="G257" i="7"/>
  <c r="AJ257" i="7"/>
  <c r="Q257" i="7"/>
  <c r="K257" i="7"/>
  <c r="AI257" i="7"/>
  <c r="F257" i="7"/>
  <c r="S257" i="7"/>
  <c r="AG257" i="7"/>
  <c r="AH257" i="7"/>
  <c r="L257" i="7"/>
  <c r="T257" i="7"/>
  <c r="H257" i="7"/>
  <c r="AM257" i="7"/>
  <c r="AN257" i="7"/>
  <c r="P257" i="7"/>
  <c r="Z257" i="7"/>
  <c r="AC257" i="7"/>
  <c r="O257" i="7"/>
  <c r="C257" i="7"/>
  <c r="D257" i="7"/>
  <c r="M257" i="7"/>
  <c r="AK257" i="7"/>
  <c r="X257" i="7"/>
  <c r="AK255" i="7"/>
  <c r="C255" i="7"/>
  <c r="AD255" i="7"/>
  <c r="S255" i="7"/>
  <c r="AE255" i="7"/>
  <c r="W255" i="7"/>
  <c r="AI255" i="7"/>
  <c r="Z255" i="7"/>
  <c r="K255" i="7"/>
  <c r="P255" i="7"/>
  <c r="AM255" i="7"/>
  <c r="O255" i="7"/>
  <c r="U255" i="7"/>
  <c r="Q255" i="7"/>
  <c r="AP255" i="7"/>
  <c r="L255" i="7"/>
  <c r="J255" i="7"/>
  <c r="M255" i="7"/>
  <c r="AF255" i="7"/>
  <c r="AA255" i="7"/>
  <c r="T255" i="7"/>
  <c r="G255" i="7"/>
  <c r="AH255" i="7"/>
  <c r="AO255" i="7"/>
  <c r="X255" i="7"/>
  <c r="AC255" i="7"/>
  <c r="R255" i="7"/>
  <c r="I255" i="7"/>
  <c r="V255" i="7"/>
  <c r="F255" i="7"/>
  <c r="AB255" i="7"/>
  <c r="D255" i="7"/>
  <c r="Y255" i="7"/>
  <c r="H255" i="7"/>
  <c r="AN255" i="7"/>
  <c r="AJ255" i="7"/>
  <c r="E255" i="7"/>
  <c r="AL255" i="7"/>
  <c r="AG255" i="7"/>
  <c r="N255" i="7"/>
  <c r="P348" i="7"/>
  <c r="Q348" i="7" s="1"/>
  <c r="R258" i="7"/>
  <c r="T258" i="7"/>
  <c r="AB258" i="7"/>
  <c r="D258" i="7"/>
  <c r="U258" i="7"/>
  <c r="K258" i="7"/>
  <c r="I258" i="7"/>
  <c r="AK258" i="7"/>
  <c r="O258" i="7"/>
  <c r="AM258" i="7"/>
  <c r="Z258" i="7"/>
  <c r="J258" i="7"/>
  <c r="S258" i="7"/>
  <c r="N258" i="7"/>
  <c r="AE258" i="7"/>
  <c r="L258" i="7"/>
  <c r="AA258" i="7"/>
  <c r="X258" i="7"/>
  <c r="AL258" i="7"/>
  <c r="AH258" i="7"/>
  <c r="C258" i="7"/>
  <c r="Q258" i="7"/>
  <c r="AG258" i="7"/>
  <c r="AP258" i="7"/>
  <c r="P258" i="7"/>
  <c r="AI258" i="7"/>
  <c r="F258" i="7"/>
  <c r="Y258" i="7"/>
  <c r="G258" i="7"/>
  <c r="E258" i="7"/>
  <c r="AN258" i="7"/>
  <c r="AJ258" i="7"/>
  <c r="M258" i="7"/>
  <c r="H258" i="7"/>
  <c r="W258" i="7"/>
  <c r="V258" i="7"/>
  <c r="AF258" i="7"/>
  <c r="AO258" i="7"/>
  <c r="AC258" i="7"/>
  <c r="AD258" i="7"/>
  <c r="J353" i="7"/>
  <c r="C102" i="7"/>
  <c r="C177" i="7"/>
  <c r="N215" i="7"/>
  <c r="O215" i="7" s="1"/>
  <c r="Q215" i="7" s="1"/>
  <c r="N347" i="7"/>
  <c r="L353" i="7"/>
  <c r="N214" i="7"/>
  <c r="AH256" i="7"/>
  <c r="AK256" i="7"/>
  <c r="AD256" i="7"/>
  <c r="AN256" i="7"/>
  <c r="F256" i="7"/>
  <c r="V256" i="7"/>
  <c r="X256" i="7"/>
  <c r="I256" i="7"/>
  <c r="N256" i="7"/>
  <c r="AJ256" i="7"/>
  <c r="AC256" i="7"/>
  <c r="AM256" i="7"/>
  <c r="AF256" i="7"/>
  <c r="G256" i="7"/>
  <c r="T256" i="7"/>
  <c r="J256" i="7"/>
  <c r="U256" i="7"/>
  <c r="AL256" i="7"/>
  <c r="L256" i="7"/>
  <c r="AI256" i="7"/>
  <c r="P256" i="7"/>
  <c r="AA256" i="7"/>
  <c r="S256" i="7"/>
  <c r="Z256" i="7"/>
  <c r="Y256" i="7"/>
  <c r="AB256" i="7"/>
  <c r="Q256" i="7"/>
  <c r="AE256" i="7"/>
  <c r="K256" i="7"/>
  <c r="R256" i="7"/>
  <c r="AO256" i="7"/>
  <c r="E256" i="7"/>
  <c r="C256" i="7"/>
  <c r="W256" i="7"/>
  <c r="M256" i="7"/>
  <c r="H256" i="7"/>
  <c r="D256" i="7"/>
  <c r="AG256" i="7"/>
  <c r="O256" i="7"/>
  <c r="AP256" i="7"/>
  <c r="N352" i="7"/>
  <c r="O352" i="7" s="1"/>
  <c r="Q352" i="7" s="1"/>
  <c r="N349" i="7"/>
  <c r="O349" i="7" s="1"/>
  <c r="Q349" i="7" s="1"/>
  <c r="N351" i="7"/>
  <c r="O351" i="7" s="1"/>
  <c r="Q351" i="7" s="1"/>
  <c r="P389" i="7"/>
  <c r="R389" i="7"/>
  <c r="H389" i="7"/>
  <c r="N389" i="7"/>
  <c r="AK389" i="7"/>
  <c r="V389" i="7"/>
  <c r="AJ389" i="7"/>
  <c r="AI389" i="7"/>
  <c r="F389" i="7"/>
  <c r="T389" i="7"/>
  <c r="AP389" i="7"/>
  <c r="AO389" i="7"/>
  <c r="L389" i="7"/>
  <c r="AE389" i="7"/>
  <c r="AB389" i="7"/>
  <c r="E389" i="7"/>
  <c r="U389" i="7"/>
  <c r="AM389" i="7"/>
  <c r="I389" i="7"/>
  <c r="O389" i="7"/>
  <c r="D389" i="7"/>
  <c r="M389" i="7"/>
  <c r="W389" i="7"/>
  <c r="C389" i="7"/>
  <c r="AA389" i="7"/>
  <c r="AG389" i="7"/>
  <c r="J389" i="7"/>
  <c r="K389" i="7"/>
  <c r="AC389" i="7"/>
  <c r="AN389" i="7"/>
  <c r="AL389" i="7"/>
  <c r="X389" i="7"/>
  <c r="AH389" i="7"/>
  <c r="AD389" i="7"/>
  <c r="Z389" i="7"/>
  <c r="G389" i="7"/>
  <c r="Q389" i="7"/>
  <c r="S389" i="7"/>
  <c r="AF389" i="7"/>
  <c r="Y389" i="7"/>
  <c r="E89" i="7"/>
  <c r="E90" i="7" s="1"/>
  <c r="E95" i="7" s="1"/>
  <c r="E96" i="7" s="1"/>
  <c r="E538" i="7"/>
  <c r="F536" i="7" l="1"/>
  <c r="P391" i="7"/>
  <c r="X391" i="7"/>
  <c r="AN391" i="7"/>
  <c r="K391" i="7"/>
  <c r="I391" i="7"/>
  <c r="T391" i="7"/>
  <c r="AC391" i="7"/>
  <c r="U391" i="7"/>
  <c r="AL391" i="7"/>
  <c r="AB391" i="7"/>
  <c r="M391" i="7"/>
  <c r="Z391" i="7"/>
  <c r="H391" i="7"/>
  <c r="AK391" i="7"/>
  <c r="V391" i="7"/>
  <c r="AM391" i="7"/>
  <c r="G391" i="7"/>
  <c r="E391" i="7"/>
  <c r="Q391" i="7"/>
  <c r="Y391" i="7"/>
  <c r="AO391" i="7"/>
  <c r="AH391" i="7"/>
  <c r="AE391" i="7"/>
  <c r="C391" i="7"/>
  <c r="AF391" i="7"/>
  <c r="AI391" i="7"/>
  <c r="D391" i="7"/>
  <c r="W391" i="7"/>
  <c r="AG391" i="7"/>
  <c r="R391" i="7"/>
  <c r="J391" i="7"/>
  <c r="AD391" i="7"/>
  <c r="N391" i="7"/>
  <c r="S391" i="7"/>
  <c r="O391" i="7"/>
  <c r="F391" i="7"/>
  <c r="L391" i="7"/>
  <c r="AA391" i="7"/>
  <c r="AJ391" i="7"/>
  <c r="AP391" i="7"/>
  <c r="N353" i="7"/>
  <c r="O347" i="7"/>
  <c r="B257" i="7" a="1"/>
  <c r="B257" i="7" s="1"/>
  <c r="B256" i="7" a="1"/>
  <c r="B256" i="7" s="1"/>
  <c r="AK254" i="7"/>
  <c r="N254" i="7"/>
  <c r="AJ254" i="7"/>
  <c r="X254" i="7"/>
  <c r="C254" i="7"/>
  <c r="K254" i="7"/>
  <c r="AC254" i="7"/>
  <c r="AL254" i="7"/>
  <c r="AP254" i="7"/>
  <c r="I254" i="7"/>
  <c r="Q254" i="7"/>
  <c r="J254" i="7"/>
  <c r="AB254" i="7"/>
  <c r="AA254" i="7"/>
  <c r="H254" i="7"/>
  <c r="O254" i="7"/>
  <c r="Y254" i="7"/>
  <c r="AI254" i="7"/>
  <c r="AM254" i="7"/>
  <c r="T254" i="7"/>
  <c r="AH254" i="7"/>
  <c r="AF254" i="7"/>
  <c r="AE254" i="7"/>
  <c r="M254" i="7"/>
  <c r="Z254" i="7"/>
  <c r="S254" i="7"/>
  <c r="R254" i="7"/>
  <c r="G254" i="7"/>
  <c r="AN254" i="7"/>
  <c r="F254" i="7"/>
  <c r="V254" i="7"/>
  <c r="E254" i="7"/>
  <c r="AD254" i="7"/>
  <c r="AG254" i="7"/>
  <c r="AO254" i="7"/>
  <c r="L254" i="7"/>
  <c r="D254" i="7"/>
  <c r="W254" i="7"/>
  <c r="U254" i="7"/>
  <c r="P254" i="7"/>
  <c r="B258" i="7" a="1"/>
  <c r="B258" i="7" s="1"/>
  <c r="N220" i="7"/>
  <c r="O214" i="7"/>
  <c r="E387" i="7"/>
  <c r="U387" i="7"/>
  <c r="P387" i="7"/>
  <c r="AF387" i="7"/>
  <c r="AP387" i="7"/>
  <c r="D387" i="7"/>
  <c r="V387" i="7"/>
  <c r="L387" i="7"/>
  <c r="AG387" i="7"/>
  <c r="T387" i="7"/>
  <c r="AN387" i="7"/>
  <c r="F387" i="7"/>
  <c r="AB387" i="7"/>
  <c r="O387" i="7"/>
  <c r="Y387" i="7"/>
  <c r="R387" i="7"/>
  <c r="AO387" i="7"/>
  <c r="AD387" i="7"/>
  <c r="N387" i="7"/>
  <c r="Q387" i="7"/>
  <c r="AM387" i="7"/>
  <c r="K387" i="7"/>
  <c r="H387" i="7"/>
  <c r="C387" i="7"/>
  <c r="AJ387" i="7"/>
  <c r="M387" i="7"/>
  <c r="AA387" i="7"/>
  <c r="Z387" i="7"/>
  <c r="AK387" i="7"/>
  <c r="X387" i="7"/>
  <c r="I387" i="7"/>
  <c r="G387" i="7"/>
  <c r="W387" i="7"/>
  <c r="J387" i="7"/>
  <c r="AE387" i="7"/>
  <c r="AL387" i="7"/>
  <c r="AH387" i="7"/>
  <c r="S387" i="7"/>
  <c r="AI387" i="7"/>
  <c r="AC387" i="7"/>
  <c r="B255" i="7" a="1"/>
  <c r="B255" i="7" s="1"/>
  <c r="B389" i="7" a="1"/>
  <c r="B389" i="7" s="1"/>
  <c r="C390" i="7"/>
  <c r="AL390" i="7"/>
  <c r="AO390" i="7"/>
  <c r="AG390" i="7"/>
  <c r="AN390" i="7"/>
  <c r="AK390" i="7"/>
  <c r="D390" i="7"/>
  <c r="AC390" i="7"/>
  <c r="Z390" i="7"/>
  <c r="H390" i="7"/>
  <c r="T390" i="7"/>
  <c r="AM390" i="7"/>
  <c r="AD390" i="7"/>
  <c r="Q390" i="7"/>
  <c r="J390" i="7"/>
  <c r="Y390" i="7"/>
  <c r="M390" i="7"/>
  <c r="AB390" i="7"/>
  <c r="AA390" i="7"/>
  <c r="AH390" i="7"/>
  <c r="S390" i="7"/>
  <c r="V390" i="7"/>
  <c r="X390" i="7"/>
  <c r="AF390" i="7"/>
  <c r="W390" i="7"/>
  <c r="E390" i="7"/>
  <c r="K390" i="7"/>
  <c r="O390" i="7"/>
  <c r="L390" i="7"/>
  <c r="AE390" i="7"/>
  <c r="I390" i="7"/>
  <c r="AI390" i="7"/>
  <c r="N390" i="7"/>
  <c r="AJ390" i="7"/>
  <c r="P390" i="7"/>
  <c r="G390" i="7"/>
  <c r="F390" i="7"/>
  <c r="AP390" i="7"/>
  <c r="R390" i="7"/>
  <c r="U390" i="7"/>
  <c r="AD388" i="7"/>
  <c r="R388" i="7"/>
  <c r="S388" i="7"/>
  <c r="E388" i="7"/>
  <c r="AK388" i="7"/>
  <c r="U388" i="7"/>
  <c r="M388" i="7"/>
  <c r="L388" i="7"/>
  <c r="AL388" i="7"/>
  <c r="AO388" i="7"/>
  <c r="N388" i="7"/>
  <c r="AF388" i="7"/>
  <c r="Q388" i="7"/>
  <c r="AP388" i="7"/>
  <c r="AN388" i="7"/>
  <c r="C388" i="7"/>
  <c r="AC388" i="7"/>
  <c r="X388" i="7"/>
  <c r="T388" i="7"/>
  <c r="Y388" i="7"/>
  <c r="I388" i="7"/>
  <c r="AI388" i="7"/>
  <c r="H388" i="7"/>
  <c r="V388" i="7"/>
  <c r="AA388" i="7"/>
  <c r="O388" i="7"/>
  <c r="J388" i="7"/>
  <c r="F388" i="7"/>
  <c r="G388" i="7"/>
  <c r="AJ388" i="7"/>
  <c r="K388" i="7"/>
  <c r="AB388" i="7"/>
  <c r="P388" i="7"/>
  <c r="AH388" i="7"/>
  <c r="Z388" i="7"/>
  <c r="AE388" i="7"/>
  <c r="D388" i="7"/>
  <c r="AG388" i="7"/>
  <c r="AM388" i="7"/>
  <c r="W388" i="7"/>
  <c r="B254" i="7" l="1" a="1"/>
  <c r="B254" i="7" s="1"/>
  <c r="B391" i="7" a="1"/>
  <c r="B391" i="7" s="1"/>
  <c r="F55" i="7"/>
  <c r="F56" i="7" s="1"/>
  <c r="F174" i="7"/>
  <c r="F138" i="7"/>
  <c r="F537" i="7"/>
  <c r="B388" i="7" a="1"/>
  <c r="B388" i="7" s="1"/>
  <c r="B387" i="7" a="1"/>
  <c r="B387" i="7" s="1"/>
  <c r="O220" i="7"/>
  <c r="Q214" i="7"/>
  <c r="B390" i="7" a="1"/>
  <c r="B390" i="7" s="1"/>
  <c r="O353" i="7"/>
  <c r="P347" i="7"/>
  <c r="P353" i="7" s="1"/>
  <c r="C392" i="7" s="1"/>
  <c r="B392" i="7" s="1" a="1"/>
  <c r="B392" i="7" s="1"/>
  <c r="AN253" i="7" l="1"/>
  <c r="AN260" i="7" s="1"/>
  <c r="Q220" i="7"/>
  <c r="AL253" i="7"/>
  <c r="AL260" i="7" s="1"/>
  <c r="AP253" i="7"/>
  <c r="AP260" i="7" s="1"/>
  <c r="AF253" i="7"/>
  <c r="AF260" i="7" s="1"/>
  <c r="AJ253" i="7"/>
  <c r="AJ260" i="7" s="1"/>
  <c r="AD253" i="7"/>
  <c r="AD260" i="7" s="1"/>
  <c r="T253" i="7"/>
  <c r="T260" i="7" s="1"/>
  <c r="T139" i="7" s="1"/>
  <c r="AH253" i="7"/>
  <c r="AH260" i="7" s="1"/>
  <c r="AI253" i="7"/>
  <c r="AI260" i="7" s="1"/>
  <c r="AC253" i="7"/>
  <c r="AC260" i="7" s="1"/>
  <c r="P253" i="7"/>
  <c r="P260" i="7" s="1"/>
  <c r="P139" i="7" s="1"/>
  <c r="N253" i="7"/>
  <c r="N260" i="7" s="1"/>
  <c r="N139" i="7" s="1"/>
  <c r="AE253" i="7"/>
  <c r="AE260" i="7" s="1"/>
  <c r="AO253" i="7"/>
  <c r="AO260" i="7" s="1"/>
  <c r="H253" i="7"/>
  <c r="H260" i="7" s="1"/>
  <c r="H139" i="7" s="1"/>
  <c r="R253" i="7"/>
  <c r="R260" i="7" s="1"/>
  <c r="R139" i="7" s="1"/>
  <c r="S253" i="7"/>
  <c r="S260" i="7" s="1"/>
  <c r="S139" i="7" s="1"/>
  <c r="AK253" i="7"/>
  <c r="AK260" i="7" s="1"/>
  <c r="AG253" i="7"/>
  <c r="AG260" i="7" s="1"/>
  <c r="Q253" i="7"/>
  <c r="Q260" i="7" s="1"/>
  <c r="Q139" i="7" s="1"/>
  <c r="F253" i="7"/>
  <c r="F260" i="7" s="1"/>
  <c r="F139" i="7" s="1"/>
  <c r="M253" i="7"/>
  <c r="M260" i="7" s="1"/>
  <c r="M139" i="7" s="1"/>
  <c r="D253" i="7"/>
  <c r="D260" i="7" s="1"/>
  <c r="D139" i="7" s="1"/>
  <c r="D140" i="7" s="1"/>
  <c r="D168" i="7" s="1"/>
  <c r="D169" i="7" s="1"/>
  <c r="E253" i="7"/>
  <c r="E260" i="7" s="1"/>
  <c r="E139" i="7" s="1"/>
  <c r="E140" i="7" s="1"/>
  <c r="E168" i="7" s="1"/>
  <c r="E169" i="7" s="1"/>
  <c r="I253" i="7"/>
  <c r="I260" i="7" s="1"/>
  <c r="I139" i="7" s="1"/>
  <c r="K253" i="7"/>
  <c r="K260" i="7" s="1"/>
  <c r="K139" i="7" s="1"/>
  <c r="AM253" i="7"/>
  <c r="AM260" i="7" s="1"/>
  <c r="O253" i="7"/>
  <c r="O260" i="7" s="1"/>
  <c r="O139" i="7" s="1"/>
  <c r="V253" i="7"/>
  <c r="V260" i="7" s="1"/>
  <c r="V139" i="7" s="1"/>
  <c r="V140" i="7" s="1"/>
  <c r="V168" i="7" s="1"/>
  <c r="V169" i="7" s="1"/>
  <c r="AA253" i="7"/>
  <c r="AA260" i="7" s="1"/>
  <c r="AA139" i="7" s="1"/>
  <c r="AA140" i="7" s="1"/>
  <c r="AA168" i="7" s="1"/>
  <c r="AA169" i="7" s="1"/>
  <c r="AB253" i="7"/>
  <c r="AB260" i="7" s="1"/>
  <c r="C253" i="7"/>
  <c r="C260" i="7" s="1"/>
  <c r="Y253" i="7"/>
  <c r="Y260" i="7" s="1"/>
  <c r="Y139" i="7" s="1"/>
  <c r="Y140" i="7" s="1"/>
  <c r="Y168" i="7" s="1"/>
  <c r="Y169" i="7" s="1"/>
  <c r="Z253" i="7"/>
  <c r="Z260" i="7" s="1"/>
  <c r="Z139" i="7" s="1"/>
  <c r="Z140" i="7" s="1"/>
  <c r="Z168" i="7" s="1"/>
  <c r="Z169" i="7" s="1"/>
  <c r="W253" i="7"/>
  <c r="W260" i="7" s="1"/>
  <c r="W139" i="7" s="1"/>
  <c r="W140" i="7" s="1"/>
  <c r="W168" i="7" s="1"/>
  <c r="W169" i="7" s="1"/>
  <c r="U253" i="7"/>
  <c r="U260" i="7" s="1"/>
  <c r="U139" i="7" s="1"/>
  <c r="U140" i="7" s="1"/>
  <c r="U168" i="7" s="1"/>
  <c r="U169" i="7" s="1"/>
  <c r="L253" i="7"/>
  <c r="L260" i="7" s="1"/>
  <c r="L139" i="7" s="1"/>
  <c r="G253" i="7"/>
  <c r="G260" i="7" s="1"/>
  <c r="G139" i="7" s="1"/>
  <c r="J253" i="7"/>
  <c r="J260" i="7" s="1"/>
  <c r="J139" i="7" s="1"/>
  <c r="X253" i="7"/>
  <c r="X260" i="7" s="1"/>
  <c r="X139" i="7" s="1"/>
  <c r="X140" i="7" s="1"/>
  <c r="X168" i="7" s="1"/>
  <c r="X169" i="7" s="1"/>
  <c r="F89" i="7"/>
  <c r="F90" i="7" s="1"/>
  <c r="F95" i="7" s="1"/>
  <c r="F96" i="7" s="1"/>
  <c r="F538" i="7"/>
  <c r="Q347" i="7"/>
  <c r="F140" i="7"/>
  <c r="F168" i="7" s="1"/>
  <c r="F169" i="7" s="1"/>
  <c r="Y176" i="7" l="1"/>
  <c r="Y108" i="7"/>
  <c r="V176" i="7"/>
  <c r="V108" i="7"/>
  <c r="U176" i="7"/>
  <c r="U108" i="7"/>
  <c r="B260" i="7" a="1"/>
  <c r="B260" i="7" s="1"/>
  <c r="C139" i="7"/>
  <c r="C140" i="7" s="1"/>
  <c r="C168" i="7" s="1"/>
  <c r="C169" i="7" s="1"/>
  <c r="E176" i="7"/>
  <c r="E108" i="7"/>
  <c r="F176" i="7"/>
  <c r="F108" i="7"/>
  <c r="C386" i="7"/>
  <c r="Q353" i="7"/>
  <c r="AI386" i="7"/>
  <c r="AI393" i="7" s="1"/>
  <c r="AP386" i="7"/>
  <c r="AP393" i="7" s="1"/>
  <c r="I386" i="7"/>
  <c r="I393" i="7" s="1"/>
  <c r="I175" i="7" s="1"/>
  <c r="AJ386" i="7"/>
  <c r="AJ393" i="7" s="1"/>
  <c r="AC386" i="7"/>
  <c r="AC393" i="7" s="1"/>
  <c r="AG386" i="7"/>
  <c r="AG393" i="7" s="1"/>
  <c r="AM386" i="7"/>
  <c r="AM393" i="7" s="1"/>
  <c r="AK386" i="7"/>
  <c r="AK393" i="7" s="1"/>
  <c r="T386" i="7"/>
  <c r="T393" i="7" s="1"/>
  <c r="T175" i="7" s="1"/>
  <c r="D386" i="7"/>
  <c r="D393" i="7" s="1"/>
  <c r="D175" i="7" s="1"/>
  <c r="K386" i="7"/>
  <c r="K393" i="7" s="1"/>
  <c r="K175" i="7" s="1"/>
  <c r="AO386" i="7"/>
  <c r="AO393" i="7" s="1"/>
  <c r="L386" i="7"/>
  <c r="L393" i="7" s="1"/>
  <c r="L175" i="7" s="1"/>
  <c r="G386" i="7"/>
  <c r="G393" i="7" s="1"/>
  <c r="G175" i="7" s="1"/>
  <c r="AB386" i="7"/>
  <c r="AB393" i="7" s="1"/>
  <c r="AN386" i="7"/>
  <c r="AN393" i="7" s="1"/>
  <c r="S386" i="7"/>
  <c r="S393" i="7" s="1"/>
  <c r="S175" i="7" s="1"/>
  <c r="E386" i="7"/>
  <c r="E393" i="7" s="1"/>
  <c r="E175" i="7" s="1"/>
  <c r="E179" i="7" s="1"/>
  <c r="E207" i="7" s="1"/>
  <c r="E208" i="7" s="1"/>
  <c r="E109" i="7" s="1"/>
  <c r="P386" i="7"/>
  <c r="P393" i="7" s="1"/>
  <c r="P175" i="7" s="1"/>
  <c r="AD386" i="7"/>
  <c r="AD393" i="7" s="1"/>
  <c r="AE386" i="7"/>
  <c r="AE393" i="7" s="1"/>
  <c r="AL386" i="7"/>
  <c r="AL393" i="7" s="1"/>
  <c r="J386" i="7"/>
  <c r="J393" i="7" s="1"/>
  <c r="J175" i="7" s="1"/>
  <c r="H386" i="7"/>
  <c r="H393" i="7" s="1"/>
  <c r="H175" i="7" s="1"/>
  <c r="AF386" i="7"/>
  <c r="AF393" i="7" s="1"/>
  <c r="M386" i="7"/>
  <c r="M393" i="7" s="1"/>
  <c r="M175" i="7" s="1"/>
  <c r="AH386" i="7"/>
  <c r="AH393" i="7" s="1"/>
  <c r="W386" i="7"/>
  <c r="W393" i="7" s="1"/>
  <c r="W175" i="7" s="1"/>
  <c r="U386" i="7"/>
  <c r="U393" i="7" s="1"/>
  <c r="U175" i="7" s="1"/>
  <c r="U179" i="7" s="1"/>
  <c r="U207" i="7" s="1"/>
  <c r="U208" i="7" s="1"/>
  <c r="U109" i="7" s="1"/>
  <c r="Z386" i="7"/>
  <c r="Z393" i="7" s="1"/>
  <c r="Z175" i="7" s="1"/>
  <c r="O386" i="7"/>
  <c r="O393" i="7" s="1"/>
  <c r="O175" i="7" s="1"/>
  <c r="R386" i="7"/>
  <c r="R393" i="7" s="1"/>
  <c r="R175" i="7" s="1"/>
  <c r="Q386" i="7"/>
  <c r="Q393" i="7" s="1"/>
  <c r="Q175" i="7" s="1"/>
  <c r="AA386" i="7"/>
  <c r="AA393" i="7" s="1"/>
  <c r="AA175" i="7" s="1"/>
  <c r="F386" i="7"/>
  <c r="F393" i="7" s="1"/>
  <c r="F175" i="7" s="1"/>
  <c r="F179" i="7" s="1"/>
  <c r="F207" i="7" s="1"/>
  <c r="F208" i="7" s="1"/>
  <c r="F109" i="7" s="1"/>
  <c r="X386" i="7"/>
  <c r="X393" i="7" s="1"/>
  <c r="X175" i="7" s="1"/>
  <c r="Y386" i="7"/>
  <c r="Y393" i="7" s="1"/>
  <c r="Y175" i="7" s="1"/>
  <c r="Y179" i="7" s="1"/>
  <c r="Y207" i="7" s="1"/>
  <c r="Y208" i="7" s="1"/>
  <c r="Y109" i="7" s="1"/>
  <c r="N386" i="7"/>
  <c r="N393" i="7" s="1"/>
  <c r="N175" i="7" s="1"/>
  <c r="V386" i="7"/>
  <c r="V393" i="7" s="1"/>
  <c r="V175" i="7" s="1"/>
  <c r="V179" i="7" s="1"/>
  <c r="V207" i="7" s="1"/>
  <c r="V208" i="7" s="1"/>
  <c r="V109" i="7" s="1"/>
  <c r="W176" i="7"/>
  <c r="W108" i="7"/>
  <c r="D108" i="7"/>
  <c r="D176" i="7"/>
  <c r="X176" i="7"/>
  <c r="X108" i="7"/>
  <c r="G536" i="7"/>
  <c r="Z176" i="7"/>
  <c r="Z108" i="7"/>
  <c r="AA176" i="7"/>
  <c r="AA108" i="7"/>
  <c r="E110" i="7" l="1"/>
  <c r="E111" i="7" s="1"/>
  <c r="G138" i="7"/>
  <c r="G140" i="7" s="1"/>
  <c r="G168" i="7" s="1"/>
  <c r="G169" i="7" s="1"/>
  <c r="G55" i="7"/>
  <c r="G56" i="7" s="1"/>
  <c r="G174" i="7"/>
  <c r="G537" i="7"/>
  <c r="X179" i="7"/>
  <c r="X207" i="7" s="1"/>
  <c r="X208" i="7" s="1"/>
  <c r="W179" i="7"/>
  <c r="W207" i="7" s="1"/>
  <c r="W208" i="7" s="1"/>
  <c r="F122" i="7"/>
  <c r="C176" i="7"/>
  <c r="C108" i="7"/>
  <c r="Y110" i="7"/>
  <c r="Y111" i="7" s="1"/>
  <c r="B386" i="7" a="1"/>
  <c r="B386" i="7" s="1"/>
  <c r="C393" i="7"/>
  <c r="V110" i="7"/>
  <c r="V111" i="7" s="1"/>
  <c r="Y122" i="7"/>
  <c r="AA179" i="7"/>
  <c r="AA207" i="7" s="1"/>
  <c r="AA208" i="7" s="1"/>
  <c r="Z179" i="7"/>
  <c r="Z207" i="7" s="1"/>
  <c r="Z208" i="7" s="1"/>
  <c r="D179" i="7"/>
  <c r="D207" i="7" s="1"/>
  <c r="D208" i="7" s="1"/>
  <c r="F110" i="7"/>
  <c r="F111" i="7" s="1"/>
  <c r="U110" i="7"/>
  <c r="U111" i="7" s="1"/>
  <c r="E122" i="7"/>
  <c r="U122" i="7"/>
  <c r="V122" i="7"/>
  <c r="Z109" i="7" l="1"/>
  <c r="Z110" i="7" s="1"/>
  <c r="Z111" i="7" s="1"/>
  <c r="Z122" i="7"/>
  <c r="B393" i="7" a="1"/>
  <c r="B393" i="7" s="1"/>
  <c r="C175" i="7"/>
  <c r="C179" i="7" s="1"/>
  <c r="C207" i="7" s="1"/>
  <c r="C208" i="7" s="1"/>
  <c r="X109" i="7"/>
  <c r="X110" i="7" s="1"/>
  <c r="X111" i="7" s="1"/>
  <c r="X122" i="7"/>
  <c r="G89" i="7"/>
  <c r="G90" i="7" s="1"/>
  <c r="G95" i="7" s="1"/>
  <c r="G96" i="7" s="1"/>
  <c r="G538" i="7"/>
  <c r="AA109" i="7"/>
  <c r="AA110" i="7" s="1"/>
  <c r="AA111" i="7" s="1"/>
  <c r="AA122" i="7"/>
  <c r="D109" i="7"/>
  <c r="D110" i="7" s="1"/>
  <c r="D111" i="7" s="1"/>
  <c r="D122" i="7"/>
  <c r="W109" i="7"/>
  <c r="W110" i="7" s="1"/>
  <c r="W111" i="7" s="1"/>
  <c r="W122" i="7"/>
  <c r="G108" i="7"/>
  <c r="G176" i="7"/>
  <c r="G179" i="7" s="1"/>
  <c r="G207" i="7" s="1"/>
  <c r="G208" i="7" s="1"/>
  <c r="G109" i="7" l="1"/>
  <c r="G122" i="7"/>
  <c r="H536" i="7"/>
  <c r="C109" i="7"/>
  <c r="C110" i="7" s="1"/>
  <c r="C111" i="7" s="1"/>
  <c r="C122" i="7"/>
  <c r="G110" i="7"/>
  <c r="G111" i="7" s="1"/>
  <c r="H174" i="7" l="1"/>
  <c r="H55" i="7"/>
  <c r="H56" i="7" s="1"/>
  <c r="H138" i="7"/>
  <c r="H140" i="7" s="1"/>
  <c r="H168" i="7" s="1"/>
  <c r="H169" i="7" s="1"/>
  <c r="H537" i="7"/>
  <c r="D115" i="7"/>
  <c r="G115" i="7"/>
  <c r="C115" i="7"/>
  <c r="E115" i="7"/>
  <c r="F115" i="7"/>
  <c r="H89" i="7" l="1"/>
  <c r="H90" i="7" s="1"/>
  <c r="H538" i="7"/>
  <c r="H176" i="7"/>
  <c r="H108" i="7"/>
  <c r="G116" i="7"/>
  <c r="C116" i="7"/>
  <c r="F116" i="7"/>
  <c r="G117" i="7" s="1"/>
  <c r="D116" i="7"/>
  <c r="E117" i="7" s="1"/>
  <c r="E116" i="7"/>
  <c r="H95" i="7"/>
  <c r="H96" i="7" s="1"/>
  <c r="H179" i="7"/>
  <c r="H207" i="7" s="1"/>
  <c r="H208" i="7" s="1"/>
  <c r="H109" i="7" s="1"/>
  <c r="F117" i="7" l="1"/>
  <c r="H122" i="7"/>
  <c r="I536" i="7"/>
  <c r="D117" i="7"/>
  <c r="C117" i="7"/>
  <c r="H110" i="7"/>
  <c r="H111" i="7" s="1"/>
  <c r="H115" i="7" l="1"/>
  <c r="I174" i="7"/>
  <c r="I55" i="7"/>
  <c r="I56" i="7" s="1"/>
  <c r="I138" i="7"/>
  <c r="I140" i="7" s="1"/>
  <c r="I168" i="7" s="1"/>
  <c r="I169" i="7" s="1"/>
  <c r="I537" i="7"/>
  <c r="I176" i="7" l="1"/>
  <c r="I108" i="7"/>
  <c r="I89" i="7"/>
  <c r="I90" i="7" s="1"/>
  <c r="I95" i="7" s="1"/>
  <c r="I96" i="7" s="1"/>
  <c r="I538" i="7"/>
  <c r="H116" i="7"/>
  <c r="I179" i="7"/>
  <c r="I207" i="7" s="1"/>
  <c r="I208" i="7" s="1"/>
  <c r="I109" i="7" s="1"/>
  <c r="I110" i="7" l="1"/>
  <c r="H117" i="7"/>
  <c r="I111" i="7"/>
  <c r="J536" i="7"/>
  <c r="I122" i="7"/>
  <c r="I115" i="7" l="1"/>
  <c r="J55" i="7"/>
  <c r="J56" i="7" s="1"/>
  <c r="J174" i="7"/>
  <c r="J138" i="7"/>
  <c r="J140" i="7" s="1"/>
  <c r="J168" i="7" s="1"/>
  <c r="J169" i="7" s="1"/>
  <c r="J537" i="7"/>
  <c r="J89" i="7" l="1"/>
  <c r="J90" i="7" s="1"/>
  <c r="J538" i="7"/>
  <c r="J176" i="7"/>
  <c r="J179" i="7" s="1"/>
  <c r="J207" i="7" s="1"/>
  <c r="J208" i="7" s="1"/>
  <c r="J109" i="7" s="1"/>
  <c r="J108" i="7"/>
  <c r="I116" i="7"/>
  <c r="J95" i="7"/>
  <c r="J96" i="7" s="1"/>
  <c r="J122" i="7" l="1"/>
  <c r="I117" i="7"/>
  <c r="K536" i="7"/>
  <c r="J110" i="7"/>
  <c r="J111" i="7" s="1"/>
  <c r="J115" i="7" l="1"/>
  <c r="K138" i="7"/>
  <c r="K140" i="7" s="1"/>
  <c r="K168" i="7" s="1"/>
  <c r="K169" i="7" s="1"/>
  <c r="K174" i="7"/>
  <c r="K55" i="7"/>
  <c r="K56" i="7" s="1"/>
  <c r="K537" i="7"/>
  <c r="J116" i="7" l="1"/>
  <c r="K176" i="7"/>
  <c r="K108" i="7"/>
  <c r="K89" i="7"/>
  <c r="K90" i="7" s="1"/>
  <c r="K95" i="7" s="1"/>
  <c r="K96" i="7" s="1"/>
  <c r="K538" i="7"/>
  <c r="K179" i="7"/>
  <c r="K207" i="7" s="1"/>
  <c r="K208" i="7" s="1"/>
  <c r="K109" i="7" s="1"/>
  <c r="K110" i="7" l="1"/>
  <c r="K111" i="7" s="1"/>
  <c r="K115" i="7" s="1"/>
  <c r="K116" i="7" s="1"/>
  <c r="K122" i="7"/>
  <c r="L536" i="7"/>
  <c r="J117" i="7"/>
  <c r="K117" i="7" l="1"/>
  <c r="L174" i="7"/>
  <c r="L138" i="7"/>
  <c r="L140" i="7" s="1"/>
  <c r="L168" i="7" s="1"/>
  <c r="L169" i="7" s="1"/>
  <c r="L55" i="7"/>
  <c r="L56" i="7" s="1"/>
  <c r="L537" i="7"/>
  <c r="L108" i="7" l="1"/>
  <c r="L176" i="7"/>
  <c r="L179" i="7"/>
  <c r="L207" i="7" s="1"/>
  <c r="L208" i="7" s="1"/>
  <c r="L109" i="7" s="1"/>
  <c r="L89" i="7"/>
  <c r="L90" i="7" s="1"/>
  <c r="L95" i="7" s="1"/>
  <c r="L96" i="7" s="1"/>
  <c r="L538" i="7"/>
  <c r="M536" i="7" l="1"/>
  <c r="L122" i="7"/>
  <c r="L110" i="7"/>
  <c r="L111" i="7" s="1"/>
  <c r="L115" i="7" s="1"/>
  <c r="L116" i="7" s="1"/>
  <c r="L117" i="7" l="1"/>
  <c r="M55" i="7"/>
  <c r="M56" i="7" s="1"/>
  <c r="M138" i="7"/>
  <c r="M140" i="7" s="1"/>
  <c r="M168" i="7" s="1"/>
  <c r="M169" i="7" s="1"/>
  <c r="M174" i="7"/>
  <c r="M537" i="7"/>
  <c r="M176" i="7" l="1"/>
  <c r="M108" i="7"/>
  <c r="M89" i="7"/>
  <c r="M90" i="7" s="1"/>
  <c r="M95" i="7" s="1"/>
  <c r="M96" i="7" s="1"/>
  <c r="M538" i="7"/>
  <c r="M179" i="7"/>
  <c r="M207" i="7" s="1"/>
  <c r="M208" i="7" s="1"/>
  <c r="M109" i="7" s="1"/>
  <c r="M110" i="7" l="1"/>
  <c r="M111" i="7" s="1"/>
  <c r="M115" i="7" s="1"/>
  <c r="M116" i="7" s="1"/>
  <c r="N536" i="7"/>
  <c r="M122" i="7"/>
  <c r="M117" i="7" l="1"/>
  <c r="N138" i="7"/>
  <c r="N140" i="7" s="1"/>
  <c r="N168" i="7" s="1"/>
  <c r="N169" i="7" s="1"/>
  <c r="N55" i="7"/>
  <c r="N56" i="7" s="1"/>
  <c r="N174" i="7"/>
  <c r="N537" i="7"/>
  <c r="N176" i="7" l="1"/>
  <c r="N108" i="7"/>
  <c r="N89" i="7"/>
  <c r="N90" i="7" s="1"/>
  <c r="N95" i="7" s="1"/>
  <c r="N96" i="7" s="1"/>
  <c r="N538" i="7"/>
  <c r="N179" i="7"/>
  <c r="N207" i="7" s="1"/>
  <c r="N208" i="7" s="1"/>
  <c r="N109" i="7" s="1"/>
  <c r="N110" i="7" l="1"/>
  <c r="N111" i="7" s="1"/>
  <c r="N115" i="7" s="1"/>
  <c r="N116" i="7" s="1"/>
  <c r="O536" i="7"/>
  <c r="N122" i="7"/>
  <c r="N117" i="7" l="1"/>
  <c r="O55" i="7"/>
  <c r="O56" i="7" s="1"/>
  <c r="O174" i="7"/>
  <c r="O138" i="7"/>
  <c r="O140" i="7" s="1"/>
  <c r="O168" i="7" s="1"/>
  <c r="O169" i="7" s="1"/>
  <c r="O537" i="7"/>
  <c r="O89" i="7" l="1"/>
  <c r="O90" i="7" s="1"/>
  <c r="O95" i="7" s="1"/>
  <c r="O96" i="7" s="1"/>
  <c r="O538" i="7"/>
  <c r="O176" i="7"/>
  <c r="O179" i="7" s="1"/>
  <c r="O207" i="7" s="1"/>
  <c r="O208" i="7" s="1"/>
  <c r="O108" i="7"/>
  <c r="O109" i="7" l="1"/>
  <c r="O122" i="7"/>
  <c r="P536" i="7"/>
  <c r="O110" i="7"/>
  <c r="O111" i="7" s="1"/>
  <c r="O115" i="7" s="1"/>
  <c r="O116" i="7" s="1"/>
  <c r="O117" i="7" l="1"/>
  <c r="P55" i="7"/>
  <c r="P56" i="7" s="1"/>
  <c r="P174" i="7"/>
  <c r="P138" i="7"/>
  <c r="P140" i="7" s="1"/>
  <c r="P168" i="7" s="1"/>
  <c r="P169" i="7" s="1"/>
  <c r="P537" i="7"/>
  <c r="P89" i="7" l="1"/>
  <c r="P90" i="7" s="1"/>
  <c r="P95" i="7" s="1"/>
  <c r="P96" i="7" s="1"/>
  <c r="P538" i="7"/>
  <c r="P176" i="7"/>
  <c r="P179" i="7" s="1"/>
  <c r="P207" i="7" s="1"/>
  <c r="P208" i="7" s="1"/>
  <c r="P108" i="7"/>
  <c r="P109" i="7" l="1"/>
  <c r="P122" i="7"/>
  <c r="Q536" i="7"/>
  <c r="P110" i="7"/>
  <c r="P111" i="7" s="1"/>
  <c r="P115" i="7" s="1"/>
  <c r="P116" i="7" s="1"/>
  <c r="P117" i="7" l="1"/>
  <c r="Q55" i="7"/>
  <c r="Q56" i="7" s="1"/>
  <c r="Q174" i="7"/>
  <c r="Q138" i="7"/>
  <c r="Q140" i="7" s="1"/>
  <c r="Q168" i="7" s="1"/>
  <c r="Q169" i="7" s="1"/>
  <c r="Q537" i="7"/>
  <c r="Q89" i="7" l="1"/>
  <c r="Q90" i="7" s="1"/>
  <c r="Q538" i="7"/>
  <c r="Q179" i="7"/>
  <c r="Q207" i="7" s="1"/>
  <c r="Q208" i="7" s="1"/>
  <c r="Q109" i="7" s="1"/>
  <c r="Q95" i="7"/>
  <c r="Q96" i="7" s="1"/>
  <c r="Q176" i="7"/>
  <c r="Q108" i="7"/>
  <c r="Q110" i="7" l="1"/>
  <c r="R536" i="7"/>
  <c r="Q111" i="7"/>
  <c r="Q115" i="7" s="1"/>
  <c r="Q116" i="7" s="1"/>
  <c r="Q122" i="7"/>
  <c r="Q117" i="7" l="1"/>
  <c r="R138" i="7"/>
  <c r="R140" i="7" s="1"/>
  <c r="R168" i="7" s="1"/>
  <c r="R169" i="7" s="1"/>
  <c r="R174" i="7"/>
  <c r="R55" i="7"/>
  <c r="R56" i="7" s="1"/>
  <c r="R537" i="7"/>
  <c r="R108" i="7" l="1"/>
  <c r="R176" i="7"/>
  <c r="R179" i="7" s="1"/>
  <c r="R207" i="7" s="1"/>
  <c r="R208" i="7" s="1"/>
  <c r="R89" i="7"/>
  <c r="R90" i="7" s="1"/>
  <c r="R95" i="7" s="1"/>
  <c r="R96" i="7" s="1"/>
  <c r="R538" i="7"/>
  <c r="R109" i="7" l="1"/>
  <c r="R122" i="7"/>
  <c r="R110" i="7"/>
  <c r="R111" i="7" s="1"/>
  <c r="R115" i="7" s="1"/>
  <c r="R116" i="7" s="1"/>
  <c r="S536" i="7"/>
  <c r="R117" i="7" l="1"/>
  <c r="S55" i="7"/>
  <c r="S56" i="7" s="1"/>
  <c r="S174" i="7"/>
  <c r="S138" i="7"/>
  <c r="S140" i="7" s="1"/>
  <c r="S168" i="7" s="1"/>
  <c r="S169" i="7" s="1"/>
  <c r="S537" i="7"/>
  <c r="S89" i="7" l="1"/>
  <c r="S90" i="7" s="1"/>
  <c r="S538" i="7"/>
  <c r="S179" i="7"/>
  <c r="S207" i="7" s="1"/>
  <c r="S208" i="7" s="1"/>
  <c r="S109" i="7" s="1"/>
  <c r="S95" i="7"/>
  <c r="S96" i="7" s="1"/>
  <c r="S176" i="7"/>
  <c r="S108" i="7"/>
  <c r="S110" i="7" l="1"/>
  <c r="S111" i="7"/>
  <c r="S115" i="7" s="1"/>
  <c r="S116" i="7" s="1"/>
  <c r="S122" i="7"/>
  <c r="T536" i="7"/>
  <c r="T55" i="7" l="1"/>
  <c r="T56" i="7" s="1"/>
  <c r="T138" i="7"/>
  <c r="T140" i="7" s="1"/>
  <c r="T168" i="7" s="1"/>
  <c r="T169" i="7" s="1"/>
  <c r="T174" i="7"/>
  <c r="T537" i="7"/>
  <c r="S117" i="7"/>
  <c r="T89" i="7" l="1"/>
  <c r="T90" i="7" s="1"/>
  <c r="T538" i="7"/>
  <c r="U538" i="7" s="1"/>
  <c r="V538" i="7" s="1"/>
  <c r="W538" i="7" s="1"/>
  <c r="X538" i="7" s="1"/>
  <c r="Y538" i="7" s="1"/>
  <c r="Z538" i="7" s="1"/>
  <c r="AA538" i="7" s="1"/>
  <c r="AB538" i="7" s="1"/>
  <c r="AC538" i="7" s="1"/>
  <c r="AD538" i="7" s="1"/>
  <c r="AE538" i="7" s="1"/>
  <c r="AF538" i="7" s="1"/>
  <c r="AG538" i="7" s="1"/>
  <c r="AH538" i="7" s="1"/>
  <c r="AI538" i="7" s="1"/>
  <c r="AJ538" i="7" s="1"/>
  <c r="AK538" i="7" s="1"/>
  <c r="AL538" i="7" s="1"/>
  <c r="AM538" i="7" s="1"/>
  <c r="AN538" i="7" s="1"/>
  <c r="AO538" i="7" s="1"/>
  <c r="AP538" i="7" s="1"/>
  <c r="T179" i="7"/>
  <c r="T207" i="7" s="1"/>
  <c r="T208" i="7" s="1"/>
  <c r="T109" i="7" s="1"/>
  <c r="T176" i="7"/>
  <c r="T108" i="7"/>
  <c r="T95" i="7"/>
  <c r="T96" i="7" s="1"/>
  <c r="T122" i="7" l="1"/>
  <c r="B126" i="7" s="1"/>
  <c r="B128" i="7" s="1"/>
  <c r="F12" i="1" s="1"/>
  <c r="T110" i="7"/>
  <c r="T111" i="7" s="1"/>
  <c r="AH115" i="7" l="1"/>
  <c r="AN115" i="7"/>
  <c r="AA115" i="7"/>
  <c r="AF115" i="7"/>
  <c r="AD115" i="7"/>
  <c r="AK115" i="7"/>
  <c r="U115" i="7"/>
  <c r="T115" i="7"/>
  <c r="T116" i="7" s="1"/>
  <c r="AM115" i="7"/>
  <c r="Y115" i="7"/>
  <c r="Z115" i="7"/>
  <c r="X115" i="7"/>
  <c r="AL115" i="7"/>
  <c r="B119" i="7"/>
  <c r="F13" i="1" s="1"/>
  <c r="W115" i="7"/>
  <c r="V115" i="7"/>
  <c r="V116" i="7" s="1"/>
  <c r="AJ115" i="7"/>
  <c r="AO115" i="7"/>
  <c r="AB115" i="7"/>
  <c r="AB116" i="7" s="1"/>
  <c r="AP115" i="7"/>
  <c r="AE115" i="7"/>
  <c r="AE116" i="7" s="1"/>
  <c r="AI115" i="7"/>
  <c r="AG115" i="7"/>
  <c r="AC115" i="7"/>
  <c r="AC116" i="7" s="1"/>
  <c r="AP116" i="7" l="1"/>
  <c r="X116" i="7"/>
  <c r="T117" i="7"/>
  <c r="AF116" i="7"/>
  <c r="AG117" i="7" s="1"/>
  <c r="AG116" i="7"/>
  <c r="AC117" i="7"/>
  <c r="W116" i="7"/>
  <c r="X117" i="7" s="1"/>
  <c r="Z116" i="7"/>
  <c r="U116" i="7"/>
  <c r="V117" i="7" s="1"/>
  <c r="F16" i="1"/>
  <c r="AA116" i="7"/>
  <c r="AB117" i="7" s="1"/>
  <c r="AI116" i="7"/>
  <c r="AO116" i="7"/>
  <c r="AP117" i="7" s="1"/>
  <c r="Y116" i="7"/>
  <c r="Z117" i="7" s="1"/>
  <c r="AK116" i="7"/>
  <c r="AN116" i="7"/>
  <c r="AO117" i="7" s="1"/>
  <c r="AF117" i="7"/>
  <c r="AJ116" i="7"/>
  <c r="AK117" i="7" s="1"/>
  <c r="AL116" i="7"/>
  <c r="AM116" i="7"/>
  <c r="AN117" i="7" s="1"/>
  <c r="AD116" i="7"/>
  <c r="AE117" i="7" s="1"/>
  <c r="AH116" i="7"/>
  <c r="AI117" i="7" s="1"/>
  <c r="AJ117" i="7" l="1"/>
  <c r="AA117" i="7"/>
  <c r="AH117" i="7"/>
  <c r="Y117" i="7"/>
  <c r="W117" i="7"/>
  <c r="AM117" i="7"/>
  <c r="AL117" i="7"/>
  <c r="U117" i="7"/>
  <c r="AD117" i="7"/>
  <c r="B117" i="7" l="1"/>
  <c r="F15" i="1" s="1"/>
  <c r="F14" i="1" s="1"/>
</calcChain>
</file>

<file path=xl/sharedStrings.xml><?xml version="1.0" encoding="utf-8"?>
<sst xmlns="http://schemas.openxmlformats.org/spreadsheetml/2006/main" count="654" uniqueCount="341">
  <si>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</si>
  <si>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</si>
  <si>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</si>
  <si>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</si>
  <si>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</si>
  <si>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</si>
  <si>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</si>
  <si>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</si>
  <si>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</si>
  <si>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</si>
  <si>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</si>
  <si>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</si>
  <si>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</si>
  <si>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</si>
  <si>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</si>
  <si>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</si>
  <si>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</si>
  <si>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</si>
  <si>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</si>
  <si>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</si>
  <si>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</si>
  <si>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</si>
  <si>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</si>
  <si>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</si>
  <si>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</si>
  <si>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</si>
  <si>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</si>
  <si>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</si>
  <si>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</si>
  <si>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</si>
  <si>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</si>
  <si>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</si>
  <si>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</si>
  <si>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</si>
  <si>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</si>
  <si>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</si>
  <si>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</si>
  <si>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</si>
  <si>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</si>
  <si>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</si>
  <si>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</si>
  <si>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</si>
  <si>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</si>
  <si>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</si>
  <si>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</si>
  <si>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</si>
  <si>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</si>
  <si>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</si>
  <si>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</si>
  <si>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</si>
  <si>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</si>
  <si>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</si>
  <si>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</si>
  <si>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</si>
  <si>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</si>
  <si>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</si>
  <si>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</si>
  <si>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</si>
  <si>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</si>
  <si>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</si>
  <si>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</si>
  <si>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</si>
  <si>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</si>
  <si>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</si>
  <si>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</si>
  <si>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</si>
  <si>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</si>
  <si>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</si>
  <si>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</si>
  <si>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</si>
  <si>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</si>
  <si>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</si>
  <si>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</si>
  <si>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</si>
  <si>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</si>
  <si>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</si>
  <si>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</si>
  <si>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</si>
  <si>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</si>
  <si>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</si>
  <si>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</si>
  <si>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Cash Flows from Investing Activities</t>
  </si>
  <si>
    <t>Cash Flows from Financing Activities</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</si>
  <si>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</si>
  <si>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</si>
  <si>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</si>
  <si>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</si>
  <si>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</si>
  <si>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</si>
  <si>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</si>
  <si>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</si>
  <si>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</si>
  <si>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</si>
  <si>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</si>
  <si>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</si>
  <si>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</si>
  <si>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</si>
  <si>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</si>
  <si>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</si>
  <si>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</si>
  <si>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</si>
  <si>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</si>
  <si>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</si>
  <si>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</si>
  <si>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</si>
  <si>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</si>
  <si>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</si>
  <si>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</si>
  <si>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</si>
  <si>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</si>
  <si>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</si>
  <si>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</si>
  <si>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</si>
  <si>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</si>
  <si>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</si>
  <si>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</si>
  <si>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</si>
  <si>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</si>
  <si>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</si>
  <si>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</si>
  <si>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</si>
  <si>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</si>
  <si>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</si>
  <si>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</si>
  <si>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</si>
  <si>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</si>
  <si>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</si>
  <si>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</si>
  <si>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</si>
  <si>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</si>
  <si>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</si>
  <si>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</si>
  <si>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</si>
  <si>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</si>
  <si>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</si>
  <si>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</si>
  <si>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</si>
  <si>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</si>
  <si>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</si>
  <si>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</si>
  <si>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</si>
  <si>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</si>
  <si>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</si>
  <si>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</si>
  <si>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</si>
  <si>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</si>
  <si>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</si>
  <si>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</si>
  <si>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</si>
  <si>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</si>
  <si>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</si>
  <si>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</si>
  <si>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</si>
  <si>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</si>
  <si>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</si>
  <si>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</si>
  <si>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</si>
  <si>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</si>
  <si>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</si>
  <si>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</si>
  <si>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</si>
  <si>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</si>
  <si>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</si>
  <si>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</si>
  <si>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</si>
  <si>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</si>
  <si>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</si>
  <si>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</si>
  <si>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</si>
  <si>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</si>
  <si>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</si>
  <si>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</si>
  <si>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</si>
  <si>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</si>
  <si>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</si>
  <si>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</si>
  <si>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</si>
  <si>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</si>
  <si>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</si>
  <si>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</si>
  <si>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</si>
  <si>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</si>
  <si>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</si>
  <si>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</si>
  <si>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</si>
  <si>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</si>
  <si>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</si>
  <si>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</si>
  <si>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</si>
  <si>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</si>
  <si>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</si>
  <si>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</si>
  <si>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</si>
  <si>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</si>
  <si>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</si>
  <si>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</si>
  <si>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</si>
  <si>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</si>
  <si>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</si>
  <si>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</si>
  <si>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</si>
  <si>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</si>
  <si>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</si>
  <si>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</si>
  <si>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</si>
  <si>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</si>
  <si>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</si>
  <si>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</si>
  <si>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</si>
  <si>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</si>
  <si>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</si>
  <si>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</si>
  <si>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</si>
  <si>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</si>
  <si>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</si>
  <si>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</si>
  <si>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</si>
  <si>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</si>
  <si>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</si>
  <si>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</si>
  <si>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</si>
  <si>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</si>
  <si>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</si>
  <si>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</si>
  <si>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</si>
  <si>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SYSTEM ANNUAL ENERGY PRODUCTION</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</si>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</sst>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0" fontId="3" fillId="0" borderId="16"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17" xfId="0" applyFont="1" applyBorder="1" applyAlignment="1">
      <alignment horizontal="center" wrapText="1"/>
    </xf>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5" fillId="0" borderId="16" xfId="0" applyFont="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Border="1"/>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2" fontId="4" fillId="0" borderId="9" xfId="0" applyNumberFormat="1" applyFont="1" applyBorder="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2" borderId="19" xfId="0" applyFont="1" applyFill="1" applyBorder="1" applyAlignment="1"/>
    <xf numFmtId="43" fontId="4" fillId="2" borderId="19" xfId="0" applyNumberFormat="1" applyFont="1" applyFill="1" applyBorder="1" applyAlignment="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2" fontId="3" fillId="0" borderId="6" xfId="1"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22" xfId="0" applyFont="1" applyFill="1" applyBorder="1"/>
    <xf numFmtId="0" fontId="4" fillId="0" borderId="6"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5" fillId="0" borderId="33" xfId="0" applyFont="1" applyBorder="1"/>
    <xf numFmtId="4" fontId="3" fillId="0" borderId="34" xfId="0" applyNumberFormat="1" applyFont="1" applyFill="1" applyBorder="1"/>
    <xf numFmtId="0" fontId="4" fillId="0" borderId="0" xfId="0" applyFont="1" applyBorder="1" applyAlignment="1">
      <alignment horizontal="right"/>
    </xf>
    <xf numFmtId="3" fontId="3" fillId="5" borderId="16" xfId="0" applyNumberFormat="1" applyFont="1" applyFill="1" applyBorder="1"/>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5" xfId="4"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7" borderId="36" xfId="0" applyFont="1" applyFill="1" applyBorder="1" applyAlignment="1">
      <alignment horizontal="left" indent="1"/>
    </xf>
    <xf numFmtId="4" fontId="3" fillId="7" borderId="37" xfId="0" applyNumberFormat="1" applyFont="1" applyFill="1" applyBorder="1"/>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31750</xdr:colOff>
      <xdr:row>55</xdr:row>
      <xdr:rowOff>10584</xdr:rowOff>
    </xdr:from>
    <xdr:to>
      <xdr:col>5</xdr:col>
      <xdr:colOff>21167</xdr:colOff>
      <xdr:row>63</xdr:row>
      <xdr:rowOff>74083</xdr:rowOff>
    </xdr:to>
    <xdr:sp macro="" textlink="">
      <xdr:nvSpPr>
        <xdr:cNvPr id="2" name="TextBox 1"/>
        <xdr:cNvSpPr txBox="1"/>
      </xdr:nvSpPr>
      <xdr:spPr>
        <a:xfrm>
          <a:off x="5767917" y="8868834"/>
          <a:ext cx="3460750" cy="1354666"/>
        </a:xfrm>
        <a:prstGeom prst="rect">
          <a:avLst/>
        </a:prstGeom>
        <a:solidFill>
          <a:schemeClr val="accent6">
            <a:lumMod val="40000"/>
            <a:lumOff val="60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Morgage-style size of debt is the product of the debt fraction and total capital cost.</a:t>
          </a:r>
          <a:r>
            <a:rPr lang="en-US" sz="1100" baseline="0"/>
            <a:t> The total capital cost includes debt service reserve funding and debt up-front costs, which are both calculated from the size of debt value. To calculate the value, SAM uses a two-step iteration that is not possible to replicate in this workbook using static formulas.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0"/>
  <sheetViews>
    <sheetView tabSelected="1" zoomScale="90" zoomScaleNormal="90" workbookViewId="0"/>
  </sheetViews>
  <sheetFormatPr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66"/>
      <c r="B1" s="367" t="s">
        <v>274</v>
      </c>
      <c r="C1" s="366"/>
      <c r="D1" s="366"/>
      <c r="E1" s="366"/>
      <c r="F1" s="366"/>
      <c r="G1" s="366"/>
      <c r="H1" s="366"/>
      <c r="I1" s="366"/>
      <c r="J1" s="113"/>
      <c r="K1" s="113"/>
      <c r="L1" s="113"/>
      <c r="M1" s="113"/>
      <c r="N1" s="113"/>
    </row>
    <row r="2" spans="1:48" s="7" customFormat="1" ht="12.75" customHeight="1" x14ac:dyDescent="0.2">
      <c r="B2" s="5" t="s">
        <v>126</v>
      </c>
      <c r="C2" s="150"/>
      <c r="D2" s="113"/>
      <c r="E2" s="114" t="s">
        <v>103</v>
      </c>
      <c r="F2" s="9"/>
      <c r="G2" s="113"/>
      <c r="H2" s="272"/>
      <c r="I2" s="9"/>
      <c r="J2" s="113"/>
      <c r="K2" s="113"/>
      <c r="L2" s="113"/>
      <c r="M2" s="113"/>
      <c r="N2" s="113"/>
    </row>
    <row r="3" spans="1:48" s="7" customFormat="1" ht="12.75" customHeight="1" x14ac:dyDescent="0.2">
      <c r="B3" s="87" t="s">
        <v>224</v>
      </c>
      <c r="C3" s="151">
        <v>19998.400000000001</v>
      </c>
      <c r="D3" s="113"/>
      <c r="E3" s="51" t="s">
        <v>208</v>
      </c>
      <c r="F3" s="9"/>
      <c r="G3" s="113"/>
      <c r="H3" s="272"/>
      <c r="I3" s="168"/>
      <c r="J3" s="113"/>
      <c r="K3" s="113"/>
      <c r="L3" s="113"/>
      <c r="M3" s="113"/>
      <c r="N3" s="113"/>
    </row>
    <row r="4" spans="1:48" s="7" customFormat="1" ht="12.75" customHeight="1" x14ac:dyDescent="0.2">
      <c r="B4" s="16"/>
      <c r="C4" s="157"/>
      <c r="D4" s="113"/>
      <c r="E4" s="319" t="s">
        <v>209</v>
      </c>
      <c r="F4" s="9"/>
      <c r="G4" s="113"/>
      <c r="H4" s="268"/>
      <c r="I4" s="166"/>
      <c r="J4" s="113"/>
      <c r="K4" s="113"/>
      <c r="L4" s="113"/>
      <c r="M4" s="113"/>
      <c r="N4" s="113"/>
    </row>
    <row r="5" spans="1:48" s="7" customFormat="1" ht="12.75" customHeight="1" x14ac:dyDescent="0.2">
      <c r="B5" s="5" t="s">
        <v>125</v>
      </c>
      <c r="C5" s="153"/>
      <c r="D5" s="113"/>
      <c r="E5" s="281" t="s">
        <v>272</v>
      </c>
      <c r="F5" s="9"/>
      <c r="H5" s="9"/>
      <c r="I5" s="168"/>
      <c r="J5" s="9"/>
      <c r="K5" s="113"/>
      <c r="L5" s="113"/>
      <c r="M5" s="113"/>
      <c r="N5" s="113"/>
    </row>
    <row r="6" spans="1:48" x14ac:dyDescent="0.2">
      <c r="B6" s="52" t="s">
        <v>187</v>
      </c>
      <c r="C6" s="246">
        <v>38046976</v>
      </c>
      <c r="D6" s="7"/>
      <c r="E6" s="350" t="s">
        <v>309</v>
      </c>
      <c r="F6" s="9"/>
      <c r="G6" s="113"/>
      <c r="H6" s="113"/>
      <c r="I6" s="113"/>
      <c r="J6" s="113"/>
      <c r="K6" s="16"/>
      <c r="L6" s="7"/>
      <c r="M6" s="30"/>
      <c r="N6" s="9"/>
      <c r="P6" s="9"/>
    </row>
    <row r="7" spans="1:48" x14ac:dyDescent="0.2">
      <c r="B7" s="9"/>
      <c r="C7" s="155"/>
      <c r="D7" s="7"/>
      <c r="E7" s="9"/>
      <c r="F7" s="9"/>
      <c r="G7" s="50"/>
      <c r="H7" s="50"/>
      <c r="I7" s="50"/>
      <c r="J7" s="50"/>
      <c r="M7" s="25"/>
      <c r="N7" s="127"/>
    </row>
    <row r="8" spans="1:48" x14ac:dyDescent="0.2">
      <c r="B8" s="5" t="s">
        <v>188</v>
      </c>
      <c r="C8" s="153"/>
      <c r="D8" s="7"/>
      <c r="E8" s="273" t="s">
        <v>232</v>
      </c>
      <c r="F8" s="274"/>
      <c r="G8" s="216"/>
      <c r="H8" s="168"/>
      <c r="I8" s="168"/>
      <c r="J8" s="168"/>
      <c r="K8" s="9"/>
      <c r="M8" s="133"/>
      <c r="N8" s="129"/>
      <c r="P8" s="9"/>
    </row>
    <row r="9" spans="1:48" x14ac:dyDescent="0.2">
      <c r="B9" s="119" t="s">
        <v>189</v>
      </c>
      <c r="C9" s="147">
        <v>0</v>
      </c>
      <c r="D9" s="7"/>
      <c r="E9" s="275" t="s">
        <v>235</v>
      </c>
      <c r="F9" s="154">
        <f>'Cash Flow'!C11</f>
        <v>9.8976799999999994</v>
      </c>
      <c r="G9" s="216"/>
      <c r="H9" s="216"/>
      <c r="I9" s="252"/>
      <c r="J9" s="216"/>
      <c r="K9" s="116"/>
      <c r="M9" s="134"/>
      <c r="N9" s="128"/>
      <c r="O9" s="117"/>
      <c r="P9" s="118"/>
      <c r="Q9" s="116"/>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row>
    <row r="10" spans="1:48" x14ac:dyDescent="0.2">
      <c r="B10" s="120" t="s">
        <v>213</v>
      </c>
      <c r="C10" s="148">
        <v>0</v>
      </c>
      <c r="D10" s="7"/>
      <c r="E10" s="275" t="s">
        <v>234</v>
      </c>
      <c r="F10" s="280">
        <f>ppa_escalation</f>
        <v>1</v>
      </c>
      <c r="G10" s="168"/>
      <c r="H10" s="168"/>
      <c r="I10" s="251"/>
      <c r="J10" s="168"/>
      <c r="K10" s="9"/>
      <c r="M10" s="133"/>
      <c r="N10" s="129"/>
      <c r="P10" s="9"/>
    </row>
    <row r="11" spans="1:48" x14ac:dyDescent="0.2">
      <c r="B11" s="119" t="s">
        <v>190</v>
      </c>
      <c r="C11" s="147">
        <v>15</v>
      </c>
      <c r="D11" s="7"/>
      <c r="E11" s="275" t="s">
        <v>306</v>
      </c>
      <c r="F11" s="280">
        <f>'Cash Flow'!B132</f>
        <v>10.735830296944611</v>
      </c>
      <c r="G11" s="168"/>
      <c r="H11" s="168"/>
      <c r="I11" s="251"/>
      <c r="J11" s="168"/>
      <c r="K11" s="9"/>
      <c r="M11" s="133"/>
      <c r="N11" s="129"/>
      <c r="P11" s="9"/>
    </row>
    <row r="12" spans="1:48" x14ac:dyDescent="0.2">
      <c r="B12" s="120" t="s">
        <v>213</v>
      </c>
      <c r="C12" s="148">
        <v>0</v>
      </c>
      <c r="D12" s="7"/>
      <c r="E12" s="275" t="s">
        <v>300</v>
      </c>
      <c r="F12" s="280">
        <f>'Cash Flow'!B128</f>
        <v>10.320612477294818</v>
      </c>
      <c r="G12" s="168"/>
      <c r="H12" s="168"/>
      <c r="I12" s="251"/>
      <c r="J12" s="168"/>
      <c r="K12" s="9"/>
      <c r="M12" s="133"/>
      <c r="N12" s="129"/>
      <c r="P12" s="9"/>
    </row>
    <row r="13" spans="1:48" x14ac:dyDescent="0.2">
      <c r="B13" s="121" t="s">
        <v>191</v>
      </c>
      <c r="C13" s="147">
        <v>0</v>
      </c>
      <c r="D13" s="9"/>
      <c r="E13" s="275" t="s">
        <v>236</v>
      </c>
      <c r="F13" s="276">
        <f>'Cash Flow'!B119</f>
        <v>2570533.9259633087</v>
      </c>
      <c r="G13" s="168"/>
      <c r="H13" s="168"/>
      <c r="I13" s="251"/>
      <c r="J13" s="168"/>
      <c r="K13" s="9"/>
      <c r="M13" s="133"/>
      <c r="N13" s="129"/>
      <c r="P13" s="9"/>
    </row>
    <row r="14" spans="1:48" x14ac:dyDescent="0.2">
      <c r="B14" s="120" t="s">
        <v>213</v>
      </c>
      <c r="C14" s="148">
        <v>0</v>
      </c>
      <c r="D14" s="9"/>
      <c r="E14" s="275" t="s">
        <v>287</v>
      </c>
      <c r="F14" s="244">
        <f>HLOOKUP(IF(IRRTargetYear="Calculated",analysis_period,F15),'Cash Flow'!B2:AP115,114)</f>
        <v>11.030099999999999</v>
      </c>
      <c r="G14" s="168"/>
      <c r="H14" s="168"/>
      <c r="I14" s="251"/>
      <c r="J14" s="168"/>
      <c r="K14" s="9"/>
      <c r="M14" s="133"/>
      <c r="N14" s="129"/>
      <c r="P14" s="9"/>
    </row>
    <row r="15" spans="1:48" x14ac:dyDescent="0.2">
      <c r="B15" s="9"/>
      <c r="C15" s="9"/>
      <c r="D15" s="9"/>
      <c r="E15" s="275" t="s">
        <v>233</v>
      </c>
      <c r="F15" s="276">
        <f>IF(IRRTargetYear="Calculated",analysis_period,'Cash Flow'!B117)</f>
        <v>20</v>
      </c>
      <c r="G15" s="168"/>
      <c r="H15" s="168"/>
      <c r="I15" s="251"/>
      <c r="J15" s="168"/>
      <c r="K15" s="9"/>
      <c r="M15" s="133"/>
      <c r="N15" s="129"/>
      <c r="P15" s="9"/>
    </row>
    <row r="16" spans="1:48" x14ac:dyDescent="0.2">
      <c r="B16" s="310" t="s">
        <v>266</v>
      </c>
      <c r="C16" s="311"/>
      <c r="D16" s="9"/>
      <c r="E16" s="275" t="s">
        <v>285</v>
      </c>
      <c r="F16" s="280">
        <f>HLOOKUP(analysis_period,'Cash Flow'!B2:AP115,114)</f>
        <v>12.7913</v>
      </c>
      <c r="G16" s="168"/>
      <c r="H16" s="168"/>
      <c r="I16" s="251"/>
      <c r="J16" s="168"/>
      <c r="K16" s="9"/>
      <c r="M16" s="133"/>
      <c r="N16" s="129"/>
      <c r="P16" s="9"/>
    </row>
    <row r="17" spans="2:16" x14ac:dyDescent="0.2">
      <c r="B17" s="313" t="s">
        <v>273</v>
      </c>
      <c r="C17" s="161"/>
      <c r="D17" s="9"/>
      <c r="E17" s="275" t="s">
        <v>338</v>
      </c>
      <c r="F17" s="276">
        <f>-'Cash Flow'!B80</f>
        <v>40022827.459239803</v>
      </c>
      <c r="G17" s="168"/>
      <c r="H17" s="168"/>
      <c r="I17" s="251"/>
      <c r="J17" s="168"/>
      <c r="K17" s="9"/>
      <c r="M17" s="133"/>
      <c r="N17" s="129"/>
      <c r="P17" s="9"/>
    </row>
    <row r="18" spans="2:16" x14ac:dyDescent="0.2">
      <c r="B18" s="66" t="s">
        <v>267</v>
      </c>
      <c r="C18" s="312">
        <v>0</v>
      </c>
      <c r="D18" s="9"/>
      <c r="E18" s="275" t="s">
        <v>237</v>
      </c>
      <c r="F18" s="276">
        <f>F17-F19</f>
        <v>19539961.459239803</v>
      </c>
      <c r="G18" s="168"/>
      <c r="H18" s="168"/>
      <c r="I18" s="251"/>
      <c r="J18" s="168"/>
      <c r="K18" s="9"/>
      <c r="M18" s="133"/>
      <c r="N18" s="129"/>
      <c r="P18" s="9"/>
    </row>
    <row r="19" spans="2:16" x14ac:dyDescent="0.2">
      <c r="B19" s="53" t="s">
        <v>299</v>
      </c>
      <c r="C19" s="152">
        <v>0</v>
      </c>
      <c r="D19" s="9"/>
      <c r="E19" s="275" t="s">
        <v>339</v>
      </c>
      <c r="F19" s="276">
        <f>'Cash Flow'!B538</f>
        <v>20482866</v>
      </c>
      <c r="G19" s="168"/>
      <c r="H19" s="168"/>
      <c r="I19" s="251"/>
      <c r="J19" s="168"/>
      <c r="K19" s="9"/>
      <c r="M19" s="133"/>
      <c r="N19" s="129"/>
      <c r="P19" s="9"/>
    </row>
    <row r="20" spans="2:16" x14ac:dyDescent="0.2">
      <c r="B20" s="309" t="s">
        <v>268</v>
      </c>
      <c r="C20" s="306">
        <v>0</v>
      </c>
      <c r="D20" s="9"/>
      <c r="E20" s="52" t="s">
        <v>311</v>
      </c>
      <c r="F20" s="152">
        <f>'Cash Flow'!B555</f>
        <v>1.234366637354865</v>
      </c>
      <c r="G20" s="253"/>
      <c r="H20" s="253"/>
      <c r="I20" s="254"/>
      <c r="J20" s="253"/>
      <c r="K20" s="9"/>
      <c r="M20" s="133"/>
      <c r="N20" s="129"/>
      <c r="P20" s="9"/>
    </row>
    <row r="21" spans="2:16" x14ac:dyDescent="0.2">
      <c r="B21" s="314" t="s">
        <v>269</v>
      </c>
      <c r="C21" s="307">
        <v>0</v>
      </c>
      <c r="D21" s="9"/>
      <c r="G21" s="168"/>
      <c r="H21" s="168"/>
      <c r="I21" s="251"/>
      <c r="J21" s="168"/>
      <c r="K21" s="9"/>
      <c r="M21" s="133"/>
      <c r="N21" s="129"/>
      <c r="P21" s="9"/>
    </row>
    <row r="22" spans="2:16" x14ac:dyDescent="0.2">
      <c r="B22" s="313" t="s">
        <v>264</v>
      </c>
      <c r="C22" s="317"/>
      <c r="D22" s="9"/>
      <c r="G22" s="168"/>
      <c r="H22" s="168"/>
      <c r="I22" s="251"/>
      <c r="J22" s="168"/>
      <c r="K22" s="9"/>
      <c r="M22" s="133"/>
      <c r="N22" s="129"/>
      <c r="P22" s="9"/>
    </row>
    <row r="23" spans="2:16" x14ac:dyDescent="0.2">
      <c r="B23" s="315" t="s">
        <v>271</v>
      </c>
      <c r="C23" s="316">
        <v>0</v>
      </c>
      <c r="D23" s="9"/>
      <c r="G23" s="168"/>
      <c r="H23" s="168"/>
      <c r="I23" s="251"/>
      <c r="J23" s="168"/>
      <c r="K23" s="9"/>
      <c r="M23" s="133"/>
      <c r="N23" s="129"/>
      <c r="P23" s="9"/>
    </row>
    <row r="24" spans="2:16" x14ac:dyDescent="0.2">
      <c r="B24" s="120" t="s">
        <v>270</v>
      </c>
      <c r="C24" s="154">
        <v>0</v>
      </c>
      <c r="D24" s="9"/>
      <c r="G24" s="168"/>
      <c r="H24" s="168"/>
      <c r="I24" s="251"/>
      <c r="J24" s="168"/>
      <c r="K24" s="9"/>
      <c r="M24" s="133"/>
      <c r="N24" s="129"/>
      <c r="P24" s="9"/>
    </row>
    <row r="25" spans="2:16" x14ac:dyDescent="0.2">
      <c r="B25" s="314" t="s">
        <v>269</v>
      </c>
      <c r="C25" s="307">
        <v>0</v>
      </c>
      <c r="D25" s="9"/>
      <c r="G25" s="168"/>
      <c r="H25" s="168"/>
      <c r="I25" s="251"/>
      <c r="J25" s="168"/>
      <c r="K25" s="9"/>
      <c r="M25" s="133"/>
      <c r="N25" s="129"/>
      <c r="P25" s="9"/>
    </row>
    <row r="26" spans="2:16" x14ac:dyDescent="0.2">
      <c r="B26" s="313" t="s">
        <v>265</v>
      </c>
      <c r="C26" s="45"/>
      <c r="D26" s="9"/>
      <c r="G26" s="168"/>
      <c r="H26" s="168"/>
      <c r="I26" s="251"/>
      <c r="J26" s="168"/>
      <c r="K26" s="9"/>
      <c r="M26" s="133"/>
      <c r="N26" s="129"/>
      <c r="P26" s="9"/>
    </row>
    <row r="27" spans="2:16" x14ac:dyDescent="0.2">
      <c r="B27" s="315" t="s">
        <v>271</v>
      </c>
      <c r="C27" s="318">
        <v>0</v>
      </c>
      <c r="D27" s="9"/>
      <c r="G27" s="168"/>
      <c r="H27" s="168"/>
      <c r="I27" s="251"/>
      <c r="J27" s="168"/>
      <c r="K27" s="9"/>
      <c r="M27" s="133"/>
      <c r="N27" s="129"/>
      <c r="P27" s="9"/>
    </row>
    <row r="28" spans="2:16" x14ac:dyDescent="0.2">
      <c r="B28" s="120" t="s">
        <v>270</v>
      </c>
      <c r="C28" s="280">
        <v>0</v>
      </c>
      <c r="D28" s="9"/>
      <c r="G28" s="168"/>
      <c r="H28" s="168"/>
      <c r="I28" s="251"/>
      <c r="J28" s="168"/>
      <c r="K28" s="9"/>
      <c r="M28" s="133"/>
      <c r="N28" s="129"/>
      <c r="P28" s="9"/>
    </row>
    <row r="29" spans="2:16" x14ac:dyDescent="0.2">
      <c r="B29" s="256" t="s">
        <v>213</v>
      </c>
      <c r="C29" s="280">
        <v>0</v>
      </c>
      <c r="D29" s="16"/>
      <c r="G29" s="168"/>
      <c r="H29" s="168"/>
      <c r="I29" s="251"/>
      <c r="J29" s="168"/>
      <c r="K29" s="9"/>
      <c r="M29" s="133"/>
      <c r="N29" s="129"/>
      <c r="P29" s="9"/>
    </row>
    <row r="30" spans="2:16" x14ac:dyDescent="0.2">
      <c r="B30" s="123"/>
      <c r="C30" s="156"/>
      <c r="D30" s="7"/>
      <c r="G30" s="168"/>
      <c r="H30" s="168"/>
      <c r="I30" s="251"/>
      <c r="J30" s="168"/>
      <c r="K30" s="9"/>
      <c r="M30" s="133"/>
      <c r="N30" s="128"/>
      <c r="P30" s="9"/>
    </row>
    <row r="31" spans="2:16" ht="13.5" thickBot="1" x14ac:dyDescent="0.25">
      <c r="B31" s="310" t="s">
        <v>127</v>
      </c>
      <c r="C31" s="311"/>
      <c r="D31" s="7"/>
      <c r="G31" s="168"/>
      <c r="H31" s="168"/>
      <c r="I31" s="251"/>
      <c r="J31" s="168"/>
      <c r="K31" s="9"/>
      <c r="M31" s="133"/>
      <c r="N31" s="130"/>
      <c r="P31" s="9"/>
    </row>
    <row r="32" spans="2:16" x14ac:dyDescent="0.2">
      <c r="B32" s="327" t="s">
        <v>128</v>
      </c>
      <c r="C32" s="328"/>
      <c r="D32" s="7"/>
      <c r="G32" s="168"/>
      <c r="H32" s="168"/>
      <c r="I32" s="251"/>
      <c r="J32" s="168"/>
      <c r="K32" s="9"/>
      <c r="M32" s="133"/>
      <c r="N32" s="131"/>
      <c r="O32" s="17"/>
      <c r="P32" s="7"/>
    </row>
    <row r="33" spans="2:16" x14ac:dyDescent="0.2">
      <c r="B33" s="351" t="s">
        <v>129</v>
      </c>
      <c r="C33" s="352">
        <v>11</v>
      </c>
      <c r="D33" s="7"/>
      <c r="G33" s="168"/>
      <c r="H33" s="168"/>
      <c r="I33" s="251"/>
      <c r="J33" s="168"/>
      <c r="K33" s="9"/>
      <c r="M33" s="133"/>
      <c r="N33" s="131"/>
      <c r="O33" s="7"/>
      <c r="P33" s="7"/>
    </row>
    <row r="34" spans="2:16" x14ac:dyDescent="0.2">
      <c r="B34" s="351" t="s">
        <v>130</v>
      </c>
      <c r="C34" s="353">
        <v>20</v>
      </c>
      <c r="D34" s="7"/>
      <c r="G34" s="168"/>
      <c r="H34" s="168"/>
      <c r="I34" s="251"/>
      <c r="J34" s="168"/>
      <c r="K34" s="9"/>
      <c r="M34" s="133"/>
      <c r="N34" s="131"/>
    </row>
    <row r="35" spans="2:16" x14ac:dyDescent="0.2">
      <c r="B35" s="351" t="s">
        <v>286</v>
      </c>
      <c r="C35" s="352" t="s">
        <v>208</v>
      </c>
      <c r="D35" s="9"/>
      <c r="G35" s="168"/>
      <c r="H35" s="168"/>
      <c r="I35" s="251"/>
      <c r="J35" s="168"/>
      <c r="K35" s="9"/>
      <c r="M35" s="133"/>
      <c r="N35" s="131"/>
    </row>
    <row r="36" spans="2:16" ht="13.5" thickBot="1" x14ac:dyDescent="0.25">
      <c r="B36" s="354" t="s">
        <v>136</v>
      </c>
      <c r="C36" s="355">
        <v>1</v>
      </c>
      <c r="D36" s="7"/>
      <c r="G36" s="168"/>
      <c r="H36" s="168"/>
      <c r="I36" s="251"/>
      <c r="J36" s="168"/>
      <c r="K36" s="7"/>
      <c r="M36" s="133"/>
      <c r="N36" s="131"/>
    </row>
    <row r="37" spans="2:16" x14ac:dyDescent="0.2">
      <c r="B37" s="325" t="s">
        <v>131</v>
      </c>
      <c r="C37" s="326"/>
      <c r="D37" s="7"/>
      <c r="G37" s="168"/>
      <c r="H37" s="168"/>
      <c r="I37" s="251"/>
      <c r="J37" s="168"/>
      <c r="K37" s="9"/>
      <c r="M37" s="133"/>
      <c r="N37" s="131"/>
    </row>
    <row r="38" spans="2:16" x14ac:dyDescent="0.2">
      <c r="B38" s="53" t="s">
        <v>137</v>
      </c>
      <c r="C38" s="247">
        <v>25</v>
      </c>
      <c r="D38" s="7"/>
      <c r="G38" s="168"/>
      <c r="H38" s="168"/>
      <c r="I38" s="251"/>
      <c r="J38" s="168"/>
      <c r="K38" s="9"/>
      <c r="M38" s="133"/>
      <c r="N38" s="131"/>
    </row>
    <row r="39" spans="2:16" x14ac:dyDescent="0.2">
      <c r="B39" s="53" t="s">
        <v>138</v>
      </c>
      <c r="C39" s="159">
        <v>2.5</v>
      </c>
      <c r="D39" s="7"/>
      <c r="G39" s="168"/>
      <c r="H39" s="168"/>
      <c r="I39" s="251"/>
      <c r="J39" s="168"/>
      <c r="K39" s="79"/>
      <c r="M39" s="133"/>
      <c r="N39" s="131"/>
    </row>
    <row r="40" spans="2:16" x14ac:dyDescent="0.2">
      <c r="B40" s="53" t="s">
        <v>140</v>
      </c>
      <c r="C40" s="162">
        <v>5.5</v>
      </c>
      <c r="D40" s="7"/>
      <c r="G40" s="255"/>
      <c r="H40" s="168"/>
      <c r="I40" s="251"/>
      <c r="J40" s="168"/>
      <c r="K40" s="46"/>
      <c r="M40" s="133"/>
      <c r="N40" s="131"/>
    </row>
    <row r="41" spans="2:16" x14ac:dyDescent="0.2">
      <c r="B41" s="53" t="s">
        <v>139</v>
      </c>
      <c r="C41" s="163">
        <f>((inflation_rate/100+1)*(real_discount_rate/100+1)-1)*100</f>
        <v>8.1374999999999744</v>
      </c>
      <c r="D41" s="7"/>
      <c r="G41" s="168"/>
      <c r="H41" s="168"/>
      <c r="I41" s="251"/>
      <c r="J41" s="168"/>
      <c r="K41" s="46"/>
      <c r="M41" s="133"/>
      <c r="N41" s="131"/>
    </row>
    <row r="42" spans="2:16" x14ac:dyDescent="0.2">
      <c r="B42" s="43" t="s">
        <v>132</v>
      </c>
      <c r="C42" s="161"/>
      <c r="D42" s="7"/>
      <c r="G42" s="168"/>
      <c r="H42" s="168"/>
      <c r="I42" s="251"/>
      <c r="J42" s="168"/>
      <c r="K42" s="9"/>
      <c r="M42" s="133"/>
      <c r="N42" s="131"/>
    </row>
    <row r="43" spans="2:16" x14ac:dyDescent="0.2">
      <c r="B43" s="53" t="s">
        <v>133</v>
      </c>
      <c r="C43" s="159">
        <v>35</v>
      </c>
      <c r="D43" s="7"/>
      <c r="E43" s="271"/>
      <c r="F43" s="251"/>
      <c r="G43" s="168"/>
      <c r="H43" s="168"/>
      <c r="I43" s="251"/>
      <c r="J43" s="168"/>
      <c r="K43" s="79"/>
      <c r="M43" s="133"/>
      <c r="N43" s="131"/>
    </row>
    <row r="44" spans="2:16" x14ac:dyDescent="0.2">
      <c r="B44" s="53" t="s">
        <v>134</v>
      </c>
      <c r="C44" s="159">
        <v>7</v>
      </c>
      <c r="D44" s="7"/>
      <c r="E44" s="271"/>
      <c r="F44" s="251"/>
      <c r="G44" s="168"/>
      <c r="H44" s="168"/>
      <c r="I44" s="251"/>
      <c r="J44" s="168"/>
      <c r="K44" s="46"/>
      <c r="M44" s="133"/>
      <c r="N44" s="131"/>
    </row>
    <row r="45" spans="2:16" x14ac:dyDescent="0.2">
      <c r="B45" s="53" t="s">
        <v>186</v>
      </c>
      <c r="C45" s="164">
        <v>5</v>
      </c>
      <c r="D45" s="7" t="s">
        <v>329</v>
      </c>
      <c r="E45" s="271"/>
      <c r="F45" s="251"/>
      <c r="G45" s="168"/>
      <c r="H45" s="168"/>
      <c r="I45" s="251"/>
      <c r="J45" s="168"/>
      <c r="K45" s="46"/>
      <c r="M45" s="133"/>
      <c r="N45" s="131"/>
      <c r="O45" s="7"/>
      <c r="P45" s="7"/>
    </row>
    <row r="46" spans="2:16" x14ac:dyDescent="0.2">
      <c r="B46" s="53" t="s">
        <v>135</v>
      </c>
      <c r="C46" s="164">
        <v>0.5</v>
      </c>
      <c r="D46" s="7"/>
      <c r="E46" s="250"/>
      <c r="F46" s="251"/>
      <c r="G46" s="168"/>
      <c r="H46" s="168"/>
      <c r="I46" s="251"/>
      <c r="J46" s="168"/>
      <c r="K46" s="9"/>
      <c r="M46" s="133"/>
      <c r="N46" s="131"/>
      <c r="P46" s="7"/>
    </row>
    <row r="47" spans="2:16" x14ac:dyDescent="0.2">
      <c r="B47" s="55" t="s">
        <v>0</v>
      </c>
      <c r="C47" s="160"/>
      <c r="E47" s="250"/>
      <c r="F47" s="251"/>
      <c r="G47" s="168"/>
      <c r="H47" s="168"/>
      <c r="I47" s="251"/>
      <c r="J47" s="168"/>
      <c r="K47" s="79"/>
      <c r="M47" s="133"/>
      <c r="N47" s="131"/>
      <c r="P47" s="7"/>
    </row>
    <row r="48" spans="2:16" x14ac:dyDescent="0.2">
      <c r="B48" s="54" t="s">
        <v>141</v>
      </c>
      <c r="C48" s="165">
        <v>100</v>
      </c>
      <c r="E48" s="250"/>
      <c r="F48" s="251"/>
      <c r="G48" s="168"/>
      <c r="H48" s="168"/>
      <c r="I48" s="251"/>
      <c r="J48" s="168"/>
      <c r="K48" s="46"/>
      <c r="M48" s="133"/>
      <c r="N48" s="131"/>
      <c r="P48" s="7"/>
    </row>
    <row r="49" spans="2:16" x14ac:dyDescent="0.2">
      <c r="B49" s="54" t="s">
        <v>143</v>
      </c>
      <c r="C49" s="360">
        <f>total_installed_cost*prop_tax_cost_assessed_percent/100</f>
        <v>38046976</v>
      </c>
      <c r="E49" s="250"/>
      <c r="F49" s="251"/>
      <c r="G49" s="168"/>
      <c r="H49" s="168"/>
      <c r="I49" s="251"/>
      <c r="J49" s="168"/>
      <c r="K49" s="9"/>
      <c r="M49" s="133"/>
      <c r="N49" s="131"/>
      <c r="P49" s="9"/>
    </row>
    <row r="50" spans="2:16" x14ac:dyDescent="0.2">
      <c r="B50" s="54" t="s">
        <v>142</v>
      </c>
      <c r="C50" s="164">
        <v>0</v>
      </c>
      <c r="E50" s="250"/>
      <c r="F50" s="251"/>
      <c r="G50" s="168"/>
      <c r="H50" s="168"/>
      <c r="I50" s="251"/>
      <c r="J50" s="168"/>
      <c r="K50" s="16"/>
      <c r="M50" s="133"/>
      <c r="N50" s="131"/>
      <c r="P50" s="7"/>
    </row>
    <row r="51" spans="2:16" x14ac:dyDescent="0.2">
      <c r="B51" s="54" t="s">
        <v>144</v>
      </c>
      <c r="C51" s="164">
        <v>0</v>
      </c>
      <c r="E51" s="250"/>
      <c r="F51" s="251"/>
      <c r="G51" s="168"/>
      <c r="H51" s="168"/>
      <c r="I51" s="251"/>
      <c r="J51" s="168"/>
      <c r="K51" s="9"/>
      <c r="M51" s="133"/>
      <c r="N51" s="131"/>
      <c r="P51" s="7"/>
    </row>
    <row r="52" spans="2:16" x14ac:dyDescent="0.2">
      <c r="B52" s="43" t="s">
        <v>58</v>
      </c>
      <c r="C52" s="160"/>
      <c r="E52" s="250"/>
      <c r="F52" s="251"/>
      <c r="G52" s="168"/>
      <c r="H52" s="168"/>
      <c r="I52" s="251"/>
      <c r="J52" s="168"/>
      <c r="K52" s="9"/>
      <c r="M52" s="133"/>
      <c r="N52" s="131"/>
      <c r="P52" s="7"/>
    </row>
    <row r="53" spans="2:16" x14ac:dyDescent="0.2">
      <c r="B53" s="52" t="s">
        <v>211</v>
      </c>
      <c r="C53" s="159">
        <v>0</v>
      </c>
      <c r="E53" s="250"/>
      <c r="F53" s="251"/>
      <c r="G53" s="168"/>
      <c r="H53" s="168"/>
      <c r="I53" s="251"/>
      <c r="J53" s="168"/>
      <c r="K53" s="7"/>
      <c r="M53" s="133"/>
      <c r="N53" s="131"/>
      <c r="P53" s="7"/>
    </row>
    <row r="54" spans="2:16" x14ac:dyDescent="0.2">
      <c r="B54" s="52" t="s">
        <v>210</v>
      </c>
      <c r="C54" s="360">
        <f>total_installed_cost*salvage_percentage/100</f>
        <v>0</v>
      </c>
      <c r="G54" s="168"/>
      <c r="H54" s="168"/>
      <c r="I54" s="251"/>
      <c r="J54" s="168"/>
      <c r="K54" s="9"/>
      <c r="M54" s="133"/>
      <c r="N54" s="131"/>
      <c r="P54" s="7"/>
    </row>
    <row r="55" spans="2:16" x14ac:dyDescent="0.2">
      <c r="B55" s="7"/>
      <c r="C55" s="166"/>
      <c r="E55" s="9"/>
      <c r="G55" s="7"/>
      <c r="H55" s="7"/>
      <c r="I55" s="30"/>
      <c r="J55" s="9"/>
      <c r="K55" s="9"/>
      <c r="M55" s="133"/>
      <c r="N55" s="131"/>
      <c r="P55" s="7"/>
    </row>
    <row r="56" spans="2:16" ht="13.5" thickBot="1" x14ac:dyDescent="0.25">
      <c r="B56" s="310" t="s">
        <v>148</v>
      </c>
      <c r="C56" s="311"/>
      <c r="E56" s="9"/>
      <c r="G56" s="7"/>
      <c r="H56" s="7"/>
      <c r="I56" s="30"/>
      <c r="J56" s="9"/>
      <c r="K56" s="9"/>
      <c r="M56" s="133"/>
      <c r="N56" s="131"/>
      <c r="P56" s="7"/>
    </row>
    <row r="57" spans="2:16" x14ac:dyDescent="0.2">
      <c r="B57" s="356" t="s">
        <v>307</v>
      </c>
      <c r="C57" s="357"/>
      <c r="E57" s="9"/>
      <c r="G57" s="7"/>
      <c r="H57" s="7"/>
      <c r="I57" s="30"/>
      <c r="J57" s="9"/>
      <c r="K57" s="9"/>
      <c r="M57" s="133"/>
      <c r="N57" s="131"/>
      <c r="P57" s="7"/>
    </row>
    <row r="58" spans="2:16" x14ac:dyDescent="0.2">
      <c r="B58" s="351" t="s">
        <v>317</v>
      </c>
      <c r="C58" s="352">
        <v>51.210700000000003</v>
      </c>
      <c r="E58" s="9"/>
      <c r="G58" s="7"/>
      <c r="H58" s="7"/>
      <c r="I58" s="30"/>
      <c r="J58" s="9"/>
      <c r="K58" s="9"/>
      <c r="M58" s="133"/>
      <c r="N58" s="131"/>
      <c r="P58" s="7"/>
    </row>
    <row r="59" spans="2:16" x14ac:dyDescent="0.2">
      <c r="B59" s="375" t="s">
        <v>340</v>
      </c>
      <c r="C59" s="376">
        <v>20482866</v>
      </c>
      <c r="E59" s="9"/>
      <c r="G59" s="7"/>
      <c r="H59" s="7"/>
      <c r="I59" s="30"/>
      <c r="J59" s="9"/>
      <c r="K59" s="9"/>
      <c r="M59" s="133"/>
      <c r="N59" s="131"/>
      <c r="P59" s="7"/>
    </row>
    <row r="60" spans="2:16" ht="13.5" thickBot="1" x14ac:dyDescent="0.25">
      <c r="B60" s="354" t="s">
        <v>318</v>
      </c>
      <c r="C60" s="355" t="s">
        <v>208</v>
      </c>
      <c r="E60" s="9"/>
      <c r="G60" s="7"/>
      <c r="H60" s="7"/>
      <c r="I60" s="30"/>
      <c r="J60" s="9"/>
      <c r="K60" s="9"/>
      <c r="M60" s="133"/>
      <c r="N60" s="131"/>
      <c r="P60" s="7"/>
    </row>
    <row r="61" spans="2:16" x14ac:dyDescent="0.2">
      <c r="B61" s="325" t="s">
        <v>308</v>
      </c>
      <c r="C61" s="312"/>
      <c r="E61" s="166"/>
      <c r="G61" s="7"/>
      <c r="H61" s="7"/>
      <c r="I61" s="30"/>
      <c r="J61" s="9"/>
      <c r="K61" s="9"/>
      <c r="M61" s="133"/>
      <c r="N61" s="131"/>
      <c r="P61" s="7"/>
    </row>
    <row r="62" spans="2:16" x14ac:dyDescent="0.2">
      <c r="B62" s="53" t="s">
        <v>149</v>
      </c>
      <c r="C62" s="154">
        <v>18</v>
      </c>
      <c r="D62" s="115"/>
      <c r="E62" s="166"/>
      <c r="G62" s="7"/>
      <c r="H62" s="7"/>
      <c r="I62" s="30"/>
      <c r="J62" s="9"/>
      <c r="K62" s="9"/>
      <c r="M62" s="133"/>
      <c r="N62" s="131"/>
      <c r="P62" s="7"/>
    </row>
    <row r="63" spans="2:16" x14ac:dyDescent="0.2">
      <c r="B63" s="53" t="s">
        <v>150</v>
      </c>
      <c r="C63" s="164">
        <v>7</v>
      </c>
      <c r="D63" s="115"/>
      <c r="E63" s="166"/>
      <c r="G63" s="7"/>
      <c r="H63" s="7"/>
      <c r="I63" s="30"/>
      <c r="J63" s="9"/>
      <c r="K63" s="9"/>
      <c r="M63" s="133"/>
      <c r="N63" s="131"/>
      <c r="P63" s="7"/>
    </row>
    <row r="64" spans="2:16" x14ac:dyDescent="0.2">
      <c r="B64" s="53" t="s">
        <v>151</v>
      </c>
      <c r="C64" s="247">
        <v>450000</v>
      </c>
      <c r="D64" s="115"/>
      <c r="E64" s="216"/>
      <c r="G64" s="7"/>
      <c r="H64" s="7"/>
      <c r="I64" s="30"/>
      <c r="J64" s="9"/>
      <c r="K64" s="9"/>
      <c r="M64" s="133"/>
      <c r="N64" s="131"/>
      <c r="P64" s="7"/>
    </row>
    <row r="65" spans="2:16" x14ac:dyDescent="0.2">
      <c r="B65" s="53" t="s">
        <v>152</v>
      </c>
      <c r="C65" s="164">
        <v>2.5</v>
      </c>
      <c r="D65" s="115"/>
      <c r="E65" s="216"/>
      <c r="G65" s="7"/>
      <c r="H65" s="7"/>
      <c r="I65" s="30"/>
      <c r="J65" s="9"/>
      <c r="K65" s="9"/>
      <c r="M65" s="133"/>
      <c r="N65" s="131"/>
      <c r="P65" s="7"/>
    </row>
    <row r="66" spans="2:16" x14ac:dyDescent="0.2">
      <c r="B66" s="53" t="s">
        <v>319</v>
      </c>
      <c r="C66" s="359">
        <v>505599</v>
      </c>
      <c r="D66" s="358"/>
      <c r="G66" s="7"/>
      <c r="H66" s="7"/>
      <c r="I66" s="30"/>
      <c r="J66" s="9"/>
      <c r="K66" s="9"/>
      <c r="M66" s="133"/>
      <c r="N66" s="131"/>
      <c r="P66" s="7"/>
    </row>
    <row r="67" spans="2:16" x14ac:dyDescent="0.2">
      <c r="B67" s="7"/>
      <c r="C67" s="143"/>
      <c r="G67" s="7"/>
      <c r="H67" s="7"/>
      <c r="I67" s="30"/>
      <c r="J67" s="9"/>
      <c r="K67" s="9"/>
      <c r="M67" s="133"/>
      <c r="N67" s="131"/>
      <c r="P67" s="7"/>
    </row>
    <row r="68" spans="2:16" x14ac:dyDescent="0.2">
      <c r="B68" s="5" t="s">
        <v>153</v>
      </c>
      <c r="C68" s="144"/>
      <c r="G68" s="7"/>
      <c r="H68" s="7"/>
      <c r="I68" s="30"/>
      <c r="J68" s="9"/>
      <c r="K68" s="9"/>
      <c r="M68" s="133"/>
      <c r="N68" s="131"/>
      <c r="P68" s="7"/>
    </row>
    <row r="69" spans="2:16" x14ac:dyDescent="0.2">
      <c r="B69" s="52" t="s">
        <v>154</v>
      </c>
      <c r="C69" s="145">
        <v>1000</v>
      </c>
      <c r="G69" s="7"/>
      <c r="H69" s="7"/>
      <c r="I69" s="30"/>
      <c r="J69" s="9"/>
      <c r="K69" s="9"/>
      <c r="M69" s="133"/>
      <c r="N69" s="131"/>
      <c r="P69" s="7"/>
    </row>
    <row r="70" spans="2:16" x14ac:dyDescent="0.2">
      <c r="B70" s="7"/>
      <c r="C70" s="143"/>
      <c r="G70" s="7"/>
      <c r="H70" s="7"/>
      <c r="I70" s="30"/>
      <c r="J70" s="9"/>
      <c r="K70" s="9"/>
      <c r="M70" s="133"/>
      <c r="N70" s="131"/>
      <c r="P70" s="7"/>
    </row>
    <row r="71" spans="2:16" x14ac:dyDescent="0.2">
      <c r="B71" s="5" t="s">
        <v>166</v>
      </c>
      <c r="C71" s="144"/>
      <c r="H71" s="7"/>
      <c r="J71" s="9"/>
      <c r="K71" s="9"/>
      <c r="M71" s="133"/>
      <c r="N71" s="131"/>
      <c r="P71" s="7"/>
    </row>
    <row r="72" spans="2:16" x14ac:dyDescent="0.2">
      <c r="B72" s="52" t="s">
        <v>212</v>
      </c>
      <c r="C72" s="145">
        <v>760940</v>
      </c>
      <c r="H72" s="7"/>
      <c r="J72" s="9"/>
      <c r="K72" s="9"/>
      <c r="M72" s="133"/>
      <c r="N72" s="131"/>
      <c r="P72" s="7"/>
    </row>
    <row r="73" spans="2:16" x14ac:dyDescent="0.2">
      <c r="C73" s="146"/>
      <c r="H73" s="7"/>
      <c r="J73" s="9"/>
      <c r="K73" s="9"/>
      <c r="M73" s="133"/>
      <c r="N73" s="131"/>
      <c r="P73" s="7"/>
    </row>
    <row r="74" spans="2:16" x14ac:dyDescent="0.2">
      <c r="B74" s="5" t="s">
        <v>258</v>
      </c>
      <c r="C74" s="8"/>
      <c r="D74" s="8"/>
      <c r="E74" s="8"/>
      <c r="F74" s="8"/>
      <c r="G74" s="8"/>
      <c r="H74" s="8"/>
      <c r="I74" s="6"/>
      <c r="J74" s="9"/>
      <c r="K74" s="9"/>
      <c r="M74" s="133"/>
      <c r="N74" s="131"/>
      <c r="P74" s="7"/>
    </row>
    <row r="75" spans="2:16" ht="25.5" x14ac:dyDescent="0.2">
      <c r="B75" s="52"/>
      <c r="C75" s="303" t="s">
        <v>160</v>
      </c>
      <c r="D75" s="302" t="s">
        <v>161</v>
      </c>
      <c r="E75" s="302" t="s">
        <v>162</v>
      </c>
      <c r="F75" s="302" t="s">
        <v>163</v>
      </c>
      <c r="G75" s="302" t="s">
        <v>32</v>
      </c>
      <c r="H75" s="302" t="s">
        <v>33</v>
      </c>
      <c r="I75" s="304" t="s">
        <v>164</v>
      </c>
      <c r="J75" s="9"/>
      <c r="K75" s="9"/>
      <c r="M75" s="133"/>
      <c r="N75" s="131"/>
      <c r="P75" s="7"/>
    </row>
    <row r="76" spans="2:16" x14ac:dyDescent="0.2">
      <c r="B76" s="52" t="s">
        <v>155</v>
      </c>
      <c r="C76" s="257">
        <v>100</v>
      </c>
      <c r="D76" s="259">
        <v>1</v>
      </c>
      <c r="E76" s="213">
        <v>6</v>
      </c>
      <c r="F76" s="262">
        <v>4</v>
      </c>
      <c r="G76" s="257">
        <f>C76/100*total_installed_cost</f>
        <v>38046976</v>
      </c>
      <c r="H76" s="257">
        <f>G76*F76/100*E76/12*0.5</f>
        <v>380469.76000000001</v>
      </c>
      <c r="I76" s="257">
        <f>H76+D76/100*G76</f>
        <v>760939.52000000002</v>
      </c>
      <c r="J76" s="9"/>
      <c r="K76" s="9"/>
      <c r="M76" s="133"/>
      <c r="N76" s="131"/>
      <c r="P76" s="7"/>
    </row>
    <row r="77" spans="2:16" x14ac:dyDescent="0.2">
      <c r="B77" s="52" t="s">
        <v>156</v>
      </c>
      <c r="C77" s="257">
        <v>0</v>
      </c>
      <c r="D77" s="259">
        <v>0</v>
      </c>
      <c r="E77" s="213">
        <v>0</v>
      </c>
      <c r="F77" s="262">
        <v>0</v>
      </c>
      <c r="G77" s="257">
        <f>C77/100*total_installed_cost</f>
        <v>0</v>
      </c>
      <c r="H77" s="257">
        <f>G77*F77/100*E77/12*0.5</f>
        <v>0</v>
      </c>
      <c r="I77" s="257">
        <f t="shared" ref="I77:I80" si="0">H77+D77/100*G77</f>
        <v>0</v>
      </c>
      <c r="J77" s="9"/>
      <c r="K77" s="9"/>
      <c r="M77" s="133"/>
      <c r="N77" s="131"/>
      <c r="P77" s="7"/>
    </row>
    <row r="78" spans="2:16" x14ac:dyDescent="0.2">
      <c r="B78" s="52" t="s">
        <v>157</v>
      </c>
      <c r="C78" s="257">
        <v>0</v>
      </c>
      <c r="D78" s="259">
        <v>0</v>
      </c>
      <c r="E78" s="213">
        <v>0</v>
      </c>
      <c r="F78" s="262">
        <v>0</v>
      </c>
      <c r="G78" s="257">
        <f>C78/100*total_installed_cost</f>
        <v>0</v>
      </c>
      <c r="H78" s="257">
        <f>G78*F78/100*E78/12*0.5</f>
        <v>0</v>
      </c>
      <c r="I78" s="257">
        <f t="shared" si="0"/>
        <v>0</v>
      </c>
      <c r="J78" s="9"/>
      <c r="K78" s="9"/>
      <c r="M78" s="133"/>
      <c r="N78" s="131"/>
      <c r="P78" s="7"/>
    </row>
    <row r="79" spans="2:16" x14ac:dyDescent="0.2">
      <c r="B79" s="52" t="s">
        <v>158</v>
      </c>
      <c r="C79" s="257">
        <v>0</v>
      </c>
      <c r="D79" s="259">
        <v>0</v>
      </c>
      <c r="E79" s="213">
        <v>0</v>
      </c>
      <c r="F79" s="262">
        <v>0</v>
      </c>
      <c r="G79" s="257">
        <f>C79/100*total_installed_cost</f>
        <v>0</v>
      </c>
      <c r="H79" s="257">
        <f>G79*F79/100*E79/12*0.5</f>
        <v>0</v>
      </c>
      <c r="I79" s="257">
        <f t="shared" si="0"/>
        <v>0</v>
      </c>
      <c r="J79" s="9"/>
      <c r="K79" s="9"/>
      <c r="M79" s="133"/>
      <c r="N79" s="131"/>
      <c r="P79" s="7"/>
    </row>
    <row r="80" spans="2:16" x14ac:dyDescent="0.2">
      <c r="B80" s="52" t="s">
        <v>159</v>
      </c>
      <c r="C80" s="258">
        <v>0</v>
      </c>
      <c r="D80" s="260">
        <v>0</v>
      </c>
      <c r="E80" s="261">
        <v>0</v>
      </c>
      <c r="F80" s="263">
        <v>0</v>
      </c>
      <c r="G80" s="257">
        <f>C80/100*total_installed_cost</f>
        <v>0</v>
      </c>
      <c r="H80" s="257">
        <f>G80*F80/100*E80/12*0.5</f>
        <v>0</v>
      </c>
      <c r="I80" s="257">
        <f t="shared" si="0"/>
        <v>0</v>
      </c>
      <c r="J80" s="9"/>
      <c r="K80" s="9"/>
      <c r="M80" s="133"/>
      <c r="N80" s="131"/>
      <c r="P80" s="7"/>
    </row>
    <row r="81" spans="2:16" x14ac:dyDescent="0.2">
      <c r="B81" s="57" t="s">
        <v>165</v>
      </c>
      <c r="C81" s="58"/>
      <c r="D81" s="44"/>
      <c r="E81" s="44"/>
      <c r="F81" s="59"/>
      <c r="G81" s="60">
        <f>SUM(G76:G80)</f>
        <v>38046976</v>
      </c>
      <c r="H81" s="61">
        <f>SUM(H76:H80)</f>
        <v>380469.76000000001</v>
      </c>
      <c r="I81" s="62">
        <f>SUM(I76:I80)</f>
        <v>760939.52000000002</v>
      </c>
      <c r="J81" s="9"/>
      <c r="K81" s="9"/>
      <c r="M81" s="133"/>
      <c r="N81" s="131"/>
      <c r="P81" s="7"/>
    </row>
    <row r="82" spans="2:16" x14ac:dyDescent="0.2">
      <c r="C82" s="146"/>
      <c r="H82" s="7"/>
      <c r="J82" s="9"/>
      <c r="K82" s="9"/>
      <c r="M82" s="133"/>
      <c r="N82" s="131"/>
      <c r="P82" s="7"/>
    </row>
    <row r="83" spans="2:16" x14ac:dyDescent="0.2">
      <c r="B83" s="5" t="s">
        <v>167</v>
      </c>
      <c r="C83" s="8"/>
      <c r="D83" s="8"/>
      <c r="E83" s="8"/>
      <c r="F83" s="269"/>
      <c r="G83" s="7"/>
      <c r="H83" s="7"/>
      <c r="I83" s="9"/>
      <c r="J83" s="9"/>
      <c r="K83" s="9"/>
      <c r="M83" s="133"/>
      <c r="N83" s="131"/>
      <c r="P83" s="7"/>
    </row>
    <row r="84" spans="2:16" x14ac:dyDescent="0.2">
      <c r="B84" s="52" t="s">
        <v>168</v>
      </c>
      <c r="C84" s="167">
        <v>1.75</v>
      </c>
      <c r="D84" s="9"/>
      <c r="E84" s="9"/>
      <c r="F84" s="269"/>
      <c r="G84" s="7"/>
      <c r="H84" s="7"/>
      <c r="I84" s="9"/>
      <c r="J84" s="9"/>
      <c r="K84" s="9"/>
      <c r="M84" s="133"/>
      <c r="N84" s="131"/>
      <c r="P84" s="7"/>
    </row>
    <row r="85" spans="2:16" x14ac:dyDescent="0.2">
      <c r="B85" s="52" t="s">
        <v>177</v>
      </c>
      <c r="C85" s="167">
        <v>6</v>
      </c>
      <c r="D85" s="9"/>
      <c r="E85" s="9"/>
      <c r="F85" s="269"/>
      <c r="G85" s="7"/>
      <c r="H85" s="7"/>
      <c r="I85" s="9"/>
      <c r="J85" s="9"/>
      <c r="K85" s="9"/>
      <c r="M85" s="133"/>
      <c r="N85" s="131"/>
      <c r="P85" s="7"/>
    </row>
    <row r="86" spans="2:16" x14ac:dyDescent="0.2">
      <c r="B86" s="11" t="s">
        <v>169</v>
      </c>
      <c r="C86" s="329">
        <v>6</v>
      </c>
      <c r="D86" s="9"/>
      <c r="E86" s="9"/>
      <c r="F86" s="269"/>
      <c r="G86" s="7"/>
      <c r="H86" s="7"/>
      <c r="I86" s="9"/>
      <c r="J86" s="9"/>
      <c r="K86" s="9"/>
      <c r="M86" s="133"/>
      <c r="N86" s="131"/>
      <c r="P86" s="7"/>
    </row>
    <row r="87" spans="2:16" x14ac:dyDescent="0.2">
      <c r="B87" s="52" t="s">
        <v>170</v>
      </c>
      <c r="C87" s="141" t="s">
        <v>223</v>
      </c>
      <c r="D87" s="302" t="s">
        <v>174</v>
      </c>
      <c r="E87" s="333" t="s">
        <v>175</v>
      </c>
      <c r="F87" s="269"/>
      <c r="G87" s="7"/>
      <c r="H87" s="7"/>
      <c r="I87" s="9"/>
      <c r="J87" s="9"/>
      <c r="K87" s="9"/>
      <c r="M87" s="133"/>
      <c r="N87" s="131"/>
      <c r="P87" s="7"/>
    </row>
    <row r="88" spans="2:16" x14ac:dyDescent="0.2">
      <c r="B88" s="66" t="s">
        <v>171</v>
      </c>
      <c r="C88" s="167">
        <v>0.25</v>
      </c>
      <c r="D88" s="361">
        <f>C88*system_capacity</f>
        <v>4999.6000000000004</v>
      </c>
      <c r="E88" s="334">
        <v>12</v>
      </c>
      <c r="F88" s="269"/>
      <c r="G88" s="7"/>
      <c r="H88" s="7"/>
      <c r="I88" s="9"/>
      <c r="J88" s="9"/>
      <c r="K88" s="9"/>
      <c r="M88" s="133"/>
      <c r="N88" s="131"/>
      <c r="P88" s="7"/>
    </row>
    <row r="89" spans="2:16" x14ac:dyDescent="0.2">
      <c r="B89" s="53" t="s">
        <v>173</v>
      </c>
      <c r="C89" s="167">
        <v>0</v>
      </c>
      <c r="D89" s="361">
        <f>C89*system_capacity</f>
        <v>0</v>
      </c>
      <c r="E89" s="334">
        <v>15</v>
      </c>
      <c r="F89" s="269"/>
      <c r="G89" s="7"/>
      <c r="H89" s="7"/>
      <c r="I89" s="9"/>
      <c r="J89" s="9"/>
      <c r="K89" s="9"/>
      <c r="M89" s="133"/>
      <c r="N89" s="131"/>
      <c r="P89" s="7"/>
    </row>
    <row r="90" spans="2:16" x14ac:dyDescent="0.2">
      <c r="B90" s="80" t="s">
        <v>172</v>
      </c>
      <c r="C90" s="167">
        <v>0</v>
      </c>
      <c r="D90" s="362">
        <f>C90*system_capacity</f>
        <v>0</v>
      </c>
      <c r="E90" s="334">
        <v>3</v>
      </c>
      <c r="F90" s="269"/>
      <c r="G90" s="7"/>
      <c r="H90" s="7"/>
      <c r="I90" s="9"/>
      <c r="J90" s="9"/>
      <c r="K90" s="9"/>
      <c r="M90" s="133"/>
      <c r="N90" s="131"/>
      <c r="P90" s="7"/>
    </row>
    <row r="91" spans="2:16" x14ac:dyDescent="0.2">
      <c r="B91" s="56" t="s">
        <v>176</v>
      </c>
      <c r="C91" s="45"/>
      <c r="D91" s="332"/>
      <c r="E91" s="332"/>
      <c r="F91" s="269"/>
      <c r="G91" s="7"/>
      <c r="H91" s="7"/>
      <c r="I91" s="9"/>
      <c r="J91" s="9"/>
      <c r="K91" s="9"/>
      <c r="M91" s="133"/>
      <c r="N91" s="131"/>
      <c r="P91" s="7"/>
    </row>
    <row r="92" spans="2:16" x14ac:dyDescent="0.2">
      <c r="B92" s="64" t="s">
        <v>4</v>
      </c>
      <c r="C92" s="331" t="s">
        <v>52</v>
      </c>
      <c r="D92" s="269"/>
      <c r="E92" s="9"/>
      <c r="F92" s="269"/>
      <c r="G92" s="7"/>
      <c r="H92" s="7"/>
      <c r="I92" s="9"/>
      <c r="J92" s="9"/>
      <c r="K92" s="9"/>
      <c r="M92" s="133"/>
      <c r="N92" s="131"/>
      <c r="P92" s="7"/>
    </row>
    <row r="93" spans="2:16" x14ac:dyDescent="0.2">
      <c r="B93" s="64" t="s">
        <v>5</v>
      </c>
      <c r="C93" s="331" t="s">
        <v>52</v>
      </c>
      <c r="D93" s="335"/>
      <c r="E93" s="336"/>
      <c r="F93" s="269"/>
      <c r="G93" s="7"/>
      <c r="H93" s="7"/>
      <c r="I93" s="9"/>
      <c r="J93" s="9"/>
      <c r="K93" s="9"/>
      <c r="M93" s="133"/>
      <c r="N93" s="131"/>
      <c r="P93" s="7"/>
    </row>
    <row r="94" spans="2:16" x14ac:dyDescent="0.2">
      <c r="G94" s="7"/>
      <c r="H94" s="7"/>
      <c r="I94" s="9"/>
      <c r="J94" s="9"/>
      <c r="K94" s="9"/>
      <c r="M94" s="133"/>
      <c r="N94" s="131"/>
      <c r="P94" s="7"/>
    </row>
    <row r="95" spans="2:16" x14ac:dyDescent="0.2">
      <c r="B95" s="5" t="s">
        <v>178</v>
      </c>
      <c r="C95" s="8"/>
      <c r="D95" s="8"/>
      <c r="E95" s="8"/>
      <c r="F95" s="6"/>
      <c r="G95" s="7"/>
      <c r="H95" s="7"/>
      <c r="I95" s="9"/>
      <c r="J95" s="9"/>
      <c r="K95" s="9"/>
      <c r="M95" s="133"/>
      <c r="N95" s="131"/>
      <c r="P95" s="7"/>
    </row>
    <row r="96" spans="2:16" x14ac:dyDescent="0.2">
      <c r="B96" s="43" t="s">
        <v>2</v>
      </c>
      <c r="C96" s="44"/>
      <c r="D96" s="67"/>
      <c r="E96" s="368" t="s">
        <v>297</v>
      </c>
      <c r="F96" s="369"/>
      <c r="G96" s="7"/>
      <c r="H96" s="7"/>
      <c r="I96" s="7"/>
      <c r="J96" s="7"/>
      <c r="K96" s="7"/>
      <c r="M96" s="133"/>
      <c r="N96" s="131"/>
    </row>
    <row r="97" spans="2:17" x14ac:dyDescent="0.2">
      <c r="B97" s="66" t="s">
        <v>180</v>
      </c>
      <c r="C97" s="10" t="s">
        <v>253</v>
      </c>
      <c r="D97" s="78"/>
      <c r="E97" s="302" t="s">
        <v>4</v>
      </c>
      <c r="F97" s="302" t="s">
        <v>5</v>
      </c>
      <c r="G97" s="7"/>
      <c r="H97" s="7"/>
      <c r="I97" s="9"/>
      <c r="J97" s="9"/>
      <c r="K97" s="9"/>
      <c r="M97" s="133"/>
      <c r="N97" s="131"/>
    </row>
    <row r="98" spans="2:17" x14ac:dyDescent="0.2">
      <c r="B98" s="65" t="s">
        <v>181</v>
      </c>
      <c r="C98" s="190">
        <v>0</v>
      </c>
      <c r="D98" s="47"/>
      <c r="E98" s="89" t="s">
        <v>17</v>
      </c>
      <c r="F98" s="89" t="s">
        <v>17</v>
      </c>
      <c r="G98" s="7"/>
      <c r="H98" s="7"/>
      <c r="I98" s="9"/>
      <c r="J98" s="9"/>
      <c r="K98" s="9"/>
      <c r="M98" s="133"/>
      <c r="N98" s="131"/>
    </row>
    <row r="99" spans="2:17" x14ac:dyDescent="0.2">
      <c r="B99" s="65" t="s">
        <v>182</v>
      </c>
      <c r="C99" s="190">
        <v>0</v>
      </c>
      <c r="D99" s="69"/>
      <c r="E99" s="77" t="s">
        <v>18</v>
      </c>
      <c r="F99" s="72" t="s">
        <v>18</v>
      </c>
      <c r="G99" s="7"/>
      <c r="I99" s="9"/>
      <c r="J99" s="9"/>
      <c r="K99" s="9"/>
      <c r="M99" s="133"/>
      <c r="N99" s="131"/>
    </row>
    <row r="100" spans="2:17" x14ac:dyDescent="0.2">
      <c r="B100" s="64" t="s">
        <v>185</v>
      </c>
      <c r="C100" s="12" t="s">
        <v>7</v>
      </c>
      <c r="D100" s="18" t="s">
        <v>205</v>
      </c>
      <c r="E100" s="73"/>
      <c r="F100" s="74"/>
      <c r="G100" s="7"/>
      <c r="H100" s="7"/>
      <c r="I100" s="9"/>
      <c r="J100" s="9"/>
      <c r="K100" s="9"/>
      <c r="M100" s="133"/>
      <c r="N100" s="131"/>
    </row>
    <row r="101" spans="2:17" x14ac:dyDescent="0.2">
      <c r="B101" s="65" t="s">
        <v>183</v>
      </c>
      <c r="C101" s="141">
        <v>30</v>
      </c>
      <c r="D101" s="63">
        <v>9.9999999999999998E+37</v>
      </c>
      <c r="E101" s="70" t="s">
        <v>17</v>
      </c>
      <c r="F101" s="70" t="s">
        <v>17</v>
      </c>
      <c r="G101" s="7"/>
      <c r="I101" s="9"/>
      <c r="J101" s="9"/>
      <c r="K101" s="9"/>
      <c r="M101" s="133"/>
      <c r="N101" s="131"/>
    </row>
    <row r="102" spans="2:17" x14ac:dyDescent="0.2">
      <c r="B102" s="65" t="s">
        <v>184</v>
      </c>
      <c r="C102" s="140">
        <v>0</v>
      </c>
      <c r="D102" s="63">
        <v>9.9999999999999998E+37</v>
      </c>
      <c r="E102" s="89" t="s">
        <v>18</v>
      </c>
      <c r="F102" s="72" t="s">
        <v>18</v>
      </c>
      <c r="G102" s="7"/>
      <c r="I102" s="9"/>
      <c r="J102" s="9"/>
      <c r="K102" s="9"/>
      <c r="M102" s="133"/>
      <c r="N102" s="131"/>
    </row>
    <row r="103" spans="2:17" x14ac:dyDescent="0.2">
      <c r="B103" s="98" t="s">
        <v>6</v>
      </c>
      <c r="C103" s="13" t="s">
        <v>9</v>
      </c>
      <c r="D103" s="75" t="s">
        <v>254</v>
      </c>
      <c r="E103" s="70" t="s">
        <v>252</v>
      </c>
      <c r="F103" s="337"/>
      <c r="G103" s="7"/>
      <c r="I103" s="9"/>
      <c r="J103" s="9"/>
      <c r="K103" s="9"/>
      <c r="M103" s="133"/>
      <c r="N103" s="131"/>
      <c r="Q103" s="7"/>
    </row>
    <row r="104" spans="2:17" x14ac:dyDescent="0.2">
      <c r="B104" s="64" t="s">
        <v>4</v>
      </c>
      <c r="C104" s="151">
        <v>0</v>
      </c>
      <c r="D104" s="191">
        <v>10</v>
      </c>
      <c r="E104" s="141">
        <v>0</v>
      </c>
      <c r="F104" s="338"/>
      <c r="G104" s="7"/>
      <c r="I104" s="9"/>
      <c r="J104" s="9"/>
      <c r="K104" s="9"/>
      <c r="M104" s="133"/>
      <c r="N104" s="131"/>
      <c r="Q104" s="7"/>
    </row>
    <row r="105" spans="2:17" x14ac:dyDescent="0.2">
      <c r="B105" s="64" t="s">
        <v>5</v>
      </c>
      <c r="C105" s="151">
        <v>0</v>
      </c>
      <c r="D105" s="191">
        <v>10</v>
      </c>
      <c r="E105" s="141">
        <v>0</v>
      </c>
      <c r="F105" s="336"/>
      <c r="G105" s="7"/>
      <c r="I105" s="9"/>
      <c r="J105" s="9"/>
      <c r="K105" s="9"/>
      <c r="M105" s="133"/>
      <c r="N105" s="131"/>
      <c r="Q105" s="7"/>
    </row>
    <row r="106" spans="2:17" x14ac:dyDescent="0.2">
      <c r="B106" s="49"/>
      <c r="C106" s="14"/>
      <c r="D106" s="15"/>
      <c r="E106" s="9"/>
      <c r="F106" s="9"/>
      <c r="G106" s="7"/>
      <c r="H106" s="7"/>
      <c r="I106" s="9"/>
      <c r="J106" s="9"/>
      <c r="K106" s="9"/>
      <c r="M106" s="133"/>
      <c r="N106" s="131"/>
      <c r="Q106" s="7"/>
    </row>
    <row r="107" spans="2:17" x14ac:dyDescent="0.2">
      <c r="B107" s="310" t="s">
        <v>179</v>
      </c>
      <c r="C107" s="341"/>
      <c r="D107" s="341"/>
      <c r="E107" s="341"/>
      <c r="F107" s="341"/>
      <c r="G107" s="341"/>
      <c r="H107" s="342"/>
      <c r="I107" s="50"/>
      <c r="K107" s="9"/>
      <c r="M107" s="133"/>
      <c r="N107" s="128"/>
      <c r="Q107" s="7"/>
    </row>
    <row r="108" spans="2:17" x14ac:dyDescent="0.2">
      <c r="B108" s="97" t="s">
        <v>16</v>
      </c>
      <c r="C108" s="330"/>
      <c r="D108" s="44"/>
      <c r="E108" s="96"/>
      <c r="F108" s="96"/>
      <c r="G108" s="96"/>
      <c r="H108" s="71"/>
      <c r="I108" s="9"/>
      <c r="K108" s="9"/>
      <c r="M108" s="133"/>
      <c r="N108" s="128"/>
    </row>
    <row r="109" spans="2:17" x14ac:dyDescent="0.2">
      <c r="B109" s="104" t="s">
        <v>180</v>
      </c>
      <c r="C109" s="92" t="s">
        <v>253</v>
      </c>
      <c r="D109" s="339"/>
      <c r="E109" s="76" t="s">
        <v>289</v>
      </c>
      <c r="F109" s="70" t="s">
        <v>290</v>
      </c>
      <c r="G109" s="70" t="s">
        <v>291</v>
      </c>
      <c r="H109" s="70" t="s">
        <v>292</v>
      </c>
      <c r="I109" s="7"/>
      <c r="K109" s="95"/>
      <c r="M109" s="133"/>
      <c r="N109" s="132"/>
    </row>
    <row r="110" spans="2:17" x14ac:dyDescent="0.2">
      <c r="B110" s="86" t="s">
        <v>181</v>
      </c>
      <c r="C110" s="192">
        <v>5000</v>
      </c>
      <c r="D110" s="340"/>
      <c r="E110" s="91" t="s">
        <v>17</v>
      </c>
      <c r="F110" s="91" t="s">
        <v>17</v>
      </c>
      <c r="G110" s="89" t="s">
        <v>18</v>
      </c>
      <c r="H110" s="89" t="s">
        <v>18</v>
      </c>
      <c r="I110" s="7"/>
      <c r="K110" s="9"/>
      <c r="M110" s="133"/>
      <c r="N110" s="128"/>
    </row>
    <row r="111" spans="2:17" x14ac:dyDescent="0.2">
      <c r="B111" s="86" t="s">
        <v>182</v>
      </c>
      <c r="C111" s="192">
        <v>0</v>
      </c>
      <c r="D111" s="340"/>
      <c r="E111" s="91" t="s">
        <v>17</v>
      </c>
      <c r="F111" s="91" t="s">
        <v>17</v>
      </c>
      <c r="G111" s="89" t="s">
        <v>18</v>
      </c>
      <c r="H111" s="89" t="s">
        <v>18</v>
      </c>
      <c r="I111" s="7"/>
      <c r="K111" s="9"/>
      <c r="M111" s="133"/>
      <c r="N111" s="128"/>
    </row>
    <row r="112" spans="2:17" x14ac:dyDescent="0.2">
      <c r="B112" s="86" t="s">
        <v>192</v>
      </c>
      <c r="C112" s="192">
        <v>0</v>
      </c>
      <c r="D112" s="340"/>
      <c r="E112" s="91" t="s">
        <v>17</v>
      </c>
      <c r="F112" s="91" t="s">
        <v>17</v>
      </c>
      <c r="G112" s="91" t="s">
        <v>18</v>
      </c>
      <c r="H112" s="89" t="s">
        <v>18</v>
      </c>
      <c r="I112" s="7"/>
      <c r="K112" s="9"/>
      <c r="M112" s="133"/>
      <c r="N112" s="128"/>
    </row>
    <row r="113" spans="2:17" x14ac:dyDescent="0.2">
      <c r="B113" s="105" t="s">
        <v>193</v>
      </c>
      <c r="C113" s="193">
        <v>0</v>
      </c>
      <c r="D113" s="340"/>
      <c r="E113" s="91" t="s">
        <v>17</v>
      </c>
      <c r="F113" s="91" t="s">
        <v>17</v>
      </c>
      <c r="G113" s="72" t="s">
        <v>18</v>
      </c>
      <c r="H113" s="72" t="s">
        <v>18</v>
      </c>
      <c r="I113" s="7"/>
      <c r="K113" s="9"/>
      <c r="M113" s="133"/>
      <c r="N113" s="128"/>
    </row>
    <row r="114" spans="2:17" x14ac:dyDescent="0.2">
      <c r="B114" s="88" t="s">
        <v>185</v>
      </c>
      <c r="C114" s="93" t="s">
        <v>7</v>
      </c>
      <c r="D114" s="89" t="s">
        <v>205</v>
      </c>
      <c r="E114" s="94"/>
      <c r="F114" s="99"/>
      <c r="G114" s="99"/>
      <c r="H114" s="100"/>
      <c r="I114" s="126"/>
      <c r="K114" s="16"/>
      <c r="M114" s="133"/>
      <c r="N114" s="131"/>
    </row>
    <row r="115" spans="2:17" x14ac:dyDescent="0.2">
      <c r="B115" s="86" t="s">
        <v>183</v>
      </c>
      <c r="C115" s="141">
        <v>0</v>
      </c>
      <c r="D115" s="348">
        <v>9.9999999999999998E+37</v>
      </c>
      <c r="E115" s="91" t="s">
        <v>17</v>
      </c>
      <c r="F115" s="91" t="s">
        <v>17</v>
      </c>
      <c r="G115" s="89" t="s">
        <v>18</v>
      </c>
      <c r="H115" s="91" t="s">
        <v>18</v>
      </c>
      <c r="I115" s="7"/>
      <c r="K115" s="9"/>
      <c r="L115" s="9"/>
      <c r="M115" s="16"/>
      <c r="N115" s="9"/>
    </row>
    <row r="116" spans="2:17" x14ac:dyDescent="0.2">
      <c r="B116" s="86" t="s">
        <v>184</v>
      </c>
      <c r="C116" s="141">
        <v>0</v>
      </c>
      <c r="D116" s="348">
        <v>9.9999999999999998E+37</v>
      </c>
      <c r="E116" s="91" t="s">
        <v>17</v>
      </c>
      <c r="F116" s="91" t="s">
        <v>17</v>
      </c>
      <c r="G116" s="89" t="s">
        <v>18</v>
      </c>
      <c r="H116" s="89" t="s">
        <v>18</v>
      </c>
      <c r="I116" s="7"/>
      <c r="K116" s="9"/>
      <c r="L116" s="9"/>
      <c r="M116" s="16"/>
      <c r="N116" s="9"/>
    </row>
    <row r="117" spans="2:17" x14ac:dyDescent="0.2">
      <c r="B117" s="86" t="s">
        <v>194</v>
      </c>
      <c r="C117" s="141">
        <v>0</v>
      </c>
      <c r="D117" s="348">
        <v>9.9999999999999998E+37</v>
      </c>
      <c r="E117" s="91" t="s">
        <v>17</v>
      </c>
      <c r="F117" s="91" t="s">
        <v>17</v>
      </c>
      <c r="G117" s="89" t="s">
        <v>18</v>
      </c>
      <c r="H117" s="89" t="s">
        <v>18</v>
      </c>
      <c r="I117" s="7"/>
      <c r="K117" s="9"/>
      <c r="L117" s="9"/>
      <c r="M117" s="16"/>
      <c r="N117" s="9"/>
    </row>
    <row r="118" spans="2:17" ht="13.5" thickBot="1" x14ac:dyDescent="0.25">
      <c r="B118" s="107" t="s">
        <v>195</v>
      </c>
      <c r="C118" s="196">
        <v>0</v>
      </c>
      <c r="D118" s="349">
        <v>9.9999999999999998E+37</v>
      </c>
      <c r="E118" s="346" t="s">
        <v>17</v>
      </c>
      <c r="F118" s="347" t="s">
        <v>17</v>
      </c>
      <c r="G118" s="90" t="s">
        <v>18</v>
      </c>
      <c r="H118" s="90" t="s">
        <v>18</v>
      </c>
      <c r="I118" s="7"/>
      <c r="K118" s="9"/>
      <c r="L118" s="9"/>
      <c r="M118" s="16"/>
      <c r="N118" s="9"/>
    </row>
    <row r="119" spans="2:17" x14ac:dyDescent="0.2">
      <c r="B119" s="106" t="s">
        <v>45</v>
      </c>
      <c r="C119" s="103" t="s">
        <v>200</v>
      </c>
      <c r="D119" s="70" t="s">
        <v>205</v>
      </c>
      <c r="E119" s="343"/>
      <c r="F119" s="344"/>
      <c r="G119" s="344"/>
      <c r="H119" s="345"/>
      <c r="I119" s="7"/>
      <c r="K119" s="84"/>
      <c r="L119" s="84"/>
      <c r="M119" s="16"/>
      <c r="N119" s="84"/>
      <c r="O119" s="17"/>
    </row>
    <row r="120" spans="2:17" x14ac:dyDescent="0.2">
      <c r="B120" s="88" t="s">
        <v>196</v>
      </c>
      <c r="C120" s="154">
        <v>0.05</v>
      </c>
      <c r="D120" s="348">
        <v>9.9999999999999998E+37</v>
      </c>
      <c r="E120" s="91" t="s">
        <v>17</v>
      </c>
      <c r="F120" s="91" t="s">
        <v>17</v>
      </c>
      <c r="G120" s="89" t="s">
        <v>18</v>
      </c>
      <c r="H120" s="94" t="s">
        <v>18</v>
      </c>
      <c r="I120" s="217"/>
      <c r="K120" s="9"/>
      <c r="L120" s="9"/>
      <c r="M120" s="16"/>
      <c r="N120" s="9"/>
    </row>
    <row r="121" spans="2:17" x14ac:dyDescent="0.2">
      <c r="B121" s="88" t="s">
        <v>197</v>
      </c>
      <c r="C121" s="154">
        <v>0</v>
      </c>
      <c r="D121" s="348">
        <v>9.9999999999999998E+37</v>
      </c>
      <c r="E121" s="91" t="s">
        <v>17</v>
      </c>
      <c r="F121" s="91" t="s">
        <v>17</v>
      </c>
      <c r="G121" s="91" t="s">
        <v>18</v>
      </c>
      <c r="H121" s="91" t="s">
        <v>18</v>
      </c>
      <c r="K121" s="9"/>
      <c r="L121" s="9"/>
      <c r="M121" s="16"/>
      <c r="N121" s="9"/>
    </row>
    <row r="122" spans="2:17" x14ac:dyDescent="0.2">
      <c r="B122" s="88" t="s">
        <v>198</v>
      </c>
      <c r="C122" s="154">
        <v>0</v>
      </c>
      <c r="D122" s="348">
        <v>9.9999999999999998E+37</v>
      </c>
      <c r="E122" s="91" t="s">
        <v>17</v>
      </c>
      <c r="F122" s="91" t="s">
        <v>17</v>
      </c>
      <c r="G122" s="89" t="s">
        <v>18</v>
      </c>
      <c r="H122" s="89" t="s">
        <v>18</v>
      </c>
      <c r="K122" s="9"/>
      <c r="L122" s="9"/>
      <c r="M122" s="16"/>
      <c r="N122" s="9"/>
    </row>
    <row r="123" spans="2:17" ht="13.5" thickBot="1" x14ac:dyDescent="0.25">
      <c r="B123" s="110" t="s">
        <v>199</v>
      </c>
      <c r="C123" s="197">
        <v>0</v>
      </c>
      <c r="D123" s="349">
        <v>9.9999999999999998E+37</v>
      </c>
      <c r="E123" s="346" t="s">
        <v>17</v>
      </c>
      <c r="F123" s="347" t="s">
        <v>17</v>
      </c>
      <c r="G123" s="90" t="s">
        <v>18</v>
      </c>
      <c r="H123" s="90" t="s">
        <v>18</v>
      </c>
      <c r="K123" s="9"/>
      <c r="L123" s="9"/>
      <c r="M123" s="16"/>
      <c r="N123" s="9"/>
    </row>
    <row r="124" spans="2:17" x14ac:dyDescent="0.2">
      <c r="B124" s="108" t="s">
        <v>42</v>
      </c>
      <c r="C124" s="103" t="s">
        <v>9</v>
      </c>
      <c r="D124" s="70" t="s">
        <v>254</v>
      </c>
      <c r="E124" s="70" t="s">
        <v>252</v>
      </c>
      <c r="F124" s="70" t="s">
        <v>289</v>
      </c>
      <c r="G124" s="70" t="s">
        <v>290</v>
      </c>
      <c r="H124" s="109" t="s">
        <v>288</v>
      </c>
      <c r="I124" s="16"/>
      <c r="J124" s="16"/>
      <c r="K124" s="16"/>
      <c r="L124" s="84"/>
      <c r="M124" s="16"/>
      <c r="N124" s="16"/>
      <c r="O124" s="17"/>
      <c r="P124" s="17"/>
      <c r="Q124" s="17"/>
    </row>
    <row r="125" spans="2:17" x14ac:dyDescent="0.2">
      <c r="B125" s="88" t="s">
        <v>201</v>
      </c>
      <c r="C125" s="154">
        <v>0</v>
      </c>
      <c r="D125" s="198">
        <v>0</v>
      </c>
      <c r="E125" s="141">
        <v>0</v>
      </c>
      <c r="F125" s="91" t="s">
        <v>17</v>
      </c>
      <c r="G125" s="91" t="s">
        <v>17</v>
      </c>
      <c r="H125" s="139" t="s">
        <v>18</v>
      </c>
      <c r="I125" s="16"/>
      <c r="J125" s="16"/>
      <c r="K125" s="16"/>
      <c r="L125" s="9"/>
      <c r="M125" s="16"/>
      <c r="N125" s="16"/>
      <c r="O125" s="17"/>
      <c r="P125" s="17"/>
      <c r="Q125" s="17"/>
    </row>
    <row r="126" spans="2:17" x14ac:dyDescent="0.2">
      <c r="B126" s="88" t="s">
        <v>202</v>
      </c>
      <c r="C126" s="154">
        <v>0</v>
      </c>
      <c r="D126" s="198">
        <v>0</v>
      </c>
      <c r="E126" s="141">
        <v>0</v>
      </c>
      <c r="F126" s="89" t="s">
        <v>17</v>
      </c>
      <c r="G126" s="91" t="s">
        <v>17</v>
      </c>
      <c r="H126" s="139" t="s">
        <v>18</v>
      </c>
      <c r="I126" s="16"/>
      <c r="J126" s="16"/>
      <c r="K126" s="16"/>
      <c r="L126" s="9"/>
      <c r="M126" s="16"/>
      <c r="N126" s="16"/>
      <c r="O126" s="17"/>
      <c r="P126" s="17"/>
      <c r="Q126" s="17"/>
    </row>
    <row r="127" spans="2:17" x14ac:dyDescent="0.2">
      <c r="B127" s="88" t="s">
        <v>203</v>
      </c>
      <c r="C127" s="154">
        <v>0</v>
      </c>
      <c r="D127" s="198">
        <v>0</v>
      </c>
      <c r="E127" s="141">
        <v>0</v>
      </c>
      <c r="F127" s="91" t="s">
        <v>17</v>
      </c>
      <c r="G127" s="91" t="s">
        <v>17</v>
      </c>
      <c r="H127" s="139" t="s">
        <v>18</v>
      </c>
      <c r="I127" s="16"/>
      <c r="J127" s="16"/>
      <c r="K127" s="16"/>
      <c r="L127" s="16"/>
      <c r="M127" s="16"/>
      <c r="N127" s="16"/>
      <c r="O127" s="17"/>
      <c r="P127" s="17"/>
      <c r="Q127" s="17"/>
    </row>
    <row r="128" spans="2:17" x14ac:dyDescent="0.2">
      <c r="B128" s="88" t="s">
        <v>204</v>
      </c>
      <c r="C128" s="154">
        <v>0</v>
      </c>
      <c r="D128" s="198">
        <v>0</v>
      </c>
      <c r="E128" s="141">
        <v>0</v>
      </c>
      <c r="F128" s="91" t="s">
        <v>17</v>
      </c>
      <c r="G128" s="91" t="s">
        <v>17</v>
      </c>
      <c r="H128" s="91" t="s">
        <v>18</v>
      </c>
      <c r="I128" s="9"/>
      <c r="J128" s="9"/>
      <c r="K128" s="9"/>
      <c r="L128" s="16"/>
      <c r="M128" s="9"/>
      <c r="N128" s="9"/>
      <c r="O128" s="17"/>
      <c r="P128" s="17"/>
      <c r="Q128" s="17"/>
    </row>
    <row r="129" spans="2:43" x14ac:dyDescent="0.2">
      <c r="B129" s="33"/>
      <c r="C129" s="85"/>
      <c r="D129" s="46"/>
      <c r="E129" s="48"/>
      <c r="F129" s="84"/>
      <c r="G129" s="84"/>
      <c r="H129" s="84"/>
      <c r="I129" s="9"/>
      <c r="J129" s="9"/>
      <c r="K129" s="9"/>
      <c r="L129" s="16"/>
      <c r="M129" s="9"/>
      <c r="N129" s="9"/>
      <c r="O129" s="17"/>
      <c r="P129" s="17"/>
      <c r="Q129" s="17"/>
    </row>
    <row r="130" spans="2:43" x14ac:dyDescent="0.2">
      <c r="B130" s="5" t="s">
        <v>207</v>
      </c>
      <c r="C130" s="8"/>
      <c r="D130" s="8"/>
      <c r="E130" s="8"/>
      <c r="F130" s="8"/>
      <c r="G130" s="6"/>
      <c r="H130" s="266"/>
      <c r="I130" s="9"/>
      <c r="J130" s="9"/>
      <c r="K130" s="9"/>
      <c r="L130" s="9"/>
      <c r="M130" s="9"/>
      <c r="N130" s="9"/>
      <c r="O130" s="17"/>
      <c r="P130" s="17"/>
      <c r="Q130" s="17"/>
    </row>
    <row r="131" spans="2:43" ht="12.75" customHeight="1" x14ac:dyDescent="0.2">
      <c r="B131" s="52" t="s">
        <v>206</v>
      </c>
      <c r="C131" s="111" t="s">
        <v>255</v>
      </c>
      <c r="D131" s="93" t="s">
        <v>295</v>
      </c>
      <c r="E131" s="93" t="s">
        <v>296</v>
      </c>
      <c r="F131" s="93" t="s">
        <v>293</v>
      </c>
      <c r="G131" s="93" t="s">
        <v>294</v>
      </c>
      <c r="H131" s="266"/>
      <c r="I131" s="101"/>
      <c r="J131" s="82"/>
      <c r="K131" s="82"/>
      <c r="L131" s="82"/>
      <c r="M131" s="9"/>
      <c r="N131" s="17"/>
    </row>
    <row r="132" spans="2:43" x14ac:dyDescent="0.2">
      <c r="B132" s="88" t="s">
        <v>52</v>
      </c>
      <c r="C132" s="141">
        <v>90</v>
      </c>
      <c r="D132" s="91" t="s">
        <v>17</v>
      </c>
      <c r="E132" s="91" t="s">
        <v>17</v>
      </c>
      <c r="F132" s="91" t="s">
        <v>17</v>
      </c>
      <c r="G132" s="91" t="s">
        <v>17</v>
      </c>
      <c r="H132" s="131"/>
      <c r="I132" s="82"/>
      <c r="J132" s="82"/>
      <c r="K132" s="82"/>
      <c r="L132" s="82"/>
      <c r="M132" s="9"/>
    </row>
    <row r="133" spans="2:43" ht="12.75" customHeight="1" x14ac:dyDescent="0.2">
      <c r="B133" s="88" t="s">
        <v>53</v>
      </c>
      <c r="C133" s="141">
        <v>1.5</v>
      </c>
      <c r="D133" s="91" t="s">
        <v>17</v>
      </c>
      <c r="E133" s="89" t="s">
        <v>17</v>
      </c>
      <c r="F133" s="89" t="s">
        <v>18</v>
      </c>
      <c r="G133" s="89" t="s">
        <v>18</v>
      </c>
      <c r="H133" s="131"/>
      <c r="I133" s="82"/>
      <c r="J133" s="82"/>
      <c r="K133" s="82"/>
      <c r="L133" s="82"/>
      <c r="M133" s="9"/>
    </row>
    <row r="134" spans="2:43" x14ac:dyDescent="0.2">
      <c r="B134" s="88" t="s">
        <v>54</v>
      </c>
      <c r="C134" s="141">
        <v>0</v>
      </c>
      <c r="D134" s="91" t="s">
        <v>18</v>
      </c>
      <c r="E134" s="89" t="s">
        <v>18</v>
      </c>
      <c r="F134" s="89" t="s">
        <v>18</v>
      </c>
      <c r="G134" s="89" t="s">
        <v>18</v>
      </c>
      <c r="H134" s="131"/>
      <c r="I134" s="82"/>
      <c r="J134" s="82"/>
      <c r="K134" s="82"/>
      <c r="L134" s="82"/>
      <c r="M134" s="9"/>
    </row>
    <row r="135" spans="2:43" x14ac:dyDescent="0.2">
      <c r="B135" s="88" t="s">
        <v>55</v>
      </c>
      <c r="C135" s="141">
        <v>2.5</v>
      </c>
      <c r="D135" s="89" t="s">
        <v>18</v>
      </c>
      <c r="E135" s="89" t="s">
        <v>18</v>
      </c>
      <c r="F135" s="89" t="s">
        <v>18</v>
      </c>
      <c r="G135" s="89" t="s">
        <v>18</v>
      </c>
      <c r="H135" s="131"/>
      <c r="I135" s="82"/>
      <c r="J135" s="82"/>
      <c r="K135" s="82"/>
      <c r="L135" s="82"/>
      <c r="M135" s="9"/>
    </row>
    <row r="136" spans="2:43" x14ac:dyDescent="0.2">
      <c r="B136" s="88" t="s">
        <v>56</v>
      </c>
      <c r="C136" s="141">
        <v>3</v>
      </c>
      <c r="D136" s="89" t="s">
        <v>18</v>
      </c>
      <c r="E136" s="89" t="s">
        <v>18</v>
      </c>
      <c r="F136" s="89" t="s">
        <v>18</v>
      </c>
      <c r="G136" s="89" t="s">
        <v>18</v>
      </c>
      <c r="H136" s="131"/>
      <c r="I136" s="82"/>
      <c r="J136" s="82"/>
      <c r="K136" s="82"/>
      <c r="L136" s="82"/>
      <c r="M136" s="9"/>
    </row>
    <row r="137" spans="2:43" x14ac:dyDescent="0.2">
      <c r="B137" s="88" t="s">
        <v>57</v>
      </c>
      <c r="C137" s="141">
        <v>0</v>
      </c>
      <c r="D137" s="72" t="s">
        <v>18</v>
      </c>
      <c r="E137" s="72" t="s">
        <v>18</v>
      </c>
      <c r="F137" s="72" t="s">
        <v>18</v>
      </c>
      <c r="G137" s="72" t="s">
        <v>18</v>
      </c>
      <c r="H137" s="131"/>
      <c r="I137" s="82"/>
      <c r="J137" s="82"/>
      <c r="K137" s="82"/>
      <c r="L137" s="82"/>
      <c r="M137" s="9"/>
    </row>
    <row r="138" spans="2:43" ht="12" customHeight="1" x14ac:dyDescent="0.2">
      <c r="B138" s="88" t="s">
        <v>226</v>
      </c>
      <c r="C138" s="203">
        <f>100-C139</f>
        <v>3</v>
      </c>
      <c r="D138" s="270">
        <v>0</v>
      </c>
      <c r="E138" s="270">
        <v>0</v>
      </c>
      <c r="F138" s="267"/>
      <c r="G138" s="267"/>
      <c r="H138" s="131"/>
      <c r="I138" s="82"/>
      <c r="J138" s="82"/>
      <c r="K138" s="82"/>
      <c r="L138" s="82"/>
      <c r="M138" s="9"/>
    </row>
    <row r="139" spans="2:43" x14ac:dyDescent="0.2">
      <c r="B139" s="88" t="s">
        <v>13</v>
      </c>
      <c r="C139" s="203">
        <f>SUM(C132:C137)</f>
        <v>97</v>
      </c>
      <c r="D139" s="269"/>
      <c r="E139" s="9"/>
      <c r="F139" s="9"/>
      <c r="G139" s="268"/>
      <c r="H139" s="131"/>
      <c r="I139" s="82"/>
      <c r="J139" s="82"/>
      <c r="K139" s="82"/>
      <c r="L139" s="82"/>
      <c r="M139" s="9"/>
    </row>
    <row r="140" spans="2:43" x14ac:dyDescent="0.2">
      <c r="D140" s="82"/>
      <c r="E140" s="102"/>
      <c r="F140" s="82"/>
      <c r="G140" s="82"/>
      <c r="H140" s="82"/>
      <c r="I140" s="82"/>
      <c r="J140" s="82"/>
      <c r="K140" s="82"/>
      <c r="L140" s="82"/>
      <c r="M140" s="9"/>
    </row>
    <row r="141" spans="2:43" x14ac:dyDescent="0.2">
      <c r="B141" s="5" t="s">
        <v>225</v>
      </c>
      <c r="C141" s="8"/>
      <c r="D141" s="264"/>
      <c r="E141" s="265"/>
      <c r="F141" s="264"/>
      <c r="G141" s="264"/>
      <c r="H141" s="264"/>
      <c r="I141" s="264"/>
      <c r="J141" s="264"/>
      <c r="K141" s="264"/>
      <c r="L141" s="264"/>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6"/>
    </row>
    <row r="142" spans="2:43" x14ac:dyDescent="0.2">
      <c r="B142" s="244" t="s">
        <v>257</v>
      </c>
      <c r="C142" s="279">
        <v>0</v>
      </c>
      <c r="D142" s="279">
        <v>37211992</v>
      </c>
      <c r="E142" s="279">
        <v>37025932</v>
      </c>
      <c r="F142" s="279">
        <v>36840804</v>
      </c>
      <c r="G142" s="279">
        <v>36656600</v>
      </c>
      <c r="H142" s="279">
        <v>36473316</v>
      </c>
      <c r="I142" s="279">
        <v>36290948</v>
      </c>
      <c r="J142" s="279">
        <v>36109496</v>
      </c>
      <c r="K142" s="279">
        <v>35928948</v>
      </c>
      <c r="L142" s="279">
        <v>35749304</v>
      </c>
      <c r="M142" s="279">
        <v>35570556</v>
      </c>
      <c r="N142" s="279">
        <v>35392704</v>
      </c>
      <c r="O142" s="279">
        <v>35215740</v>
      </c>
      <c r="P142" s="279">
        <v>35039660</v>
      </c>
      <c r="Q142" s="279">
        <v>34864464</v>
      </c>
      <c r="R142" s="279">
        <v>34690140</v>
      </c>
      <c r="S142" s="279">
        <v>34516688</v>
      </c>
      <c r="T142" s="279">
        <v>34344108</v>
      </c>
      <c r="U142" s="279">
        <v>34172384</v>
      </c>
      <c r="V142" s="279">
        <v>34001524</v>
      </c>
      <c r="W142" s="279">
        <v>33831516</v>
      </c>
      <c r="X142" s="279">
        <v>33662360</v>
      </c>
      <c r="Y142" s="279">
        <v>33494046</v>
      </c>
      <c r="Z142" s="279">
        <v>33326576</v>
      </c>
      <c r="AA142" s="279">
        <v>33159944</v>
      </c>
      <c r="AB142" s="279">
        <v>32994144</v>
      </c>
      <c r="AC142" s="279"/>
      <c r="AD142" s="279"/>
      <c r="AE142" s="279"/>
      <c r="AF142" s="279"/>
      <c r="AG142" s="279"/>
      <c r="AH142" s="279"/>
      <c r="AI142" s="279"/>
      <c r="AJ142" s="279"/>
      <c r="AK142" s="279"/>
      <c r="AL142" s="279"/>
      <c r="AM142" s="279"/>
      <c r="AN142" s="279"/>
      <c r="AO142" s="279"/>
      <c r="AP142" s="279"/>
      <c r="AQ142" s="279"/>
    </row>
    <row r="143" spans="2:43" x14ac:dyDescent="0.2">
      <c r="B143" s="244" t="s">
        <v>242</v>
      </c>
      <c r="C143" s="283">
        <v>0</v>
      </c>
      <c r="D143" s="283">
        <v>9.8976799999999994</v>
      </c>
      <c r="E143" s="283">
        <v>9.9966600000000003</v>
      </c>
      <c r="F143" s="283">
        <v>10.0966</v>
      </c>
      <c r="G143" s="283">
        <v>10.1976</v>
      </c>
      <c r="H143" s="283">
        <v>10.2996</v>
      </c>
      <c r="I143" s="283">
        <v>10.4026</v>
      </c>
      <c r="J143" s="283">
        <v>10.506600000000001</v>
      </c>
      <c r="K143" s="283">
        <v>10.611700000000001</v>
      </c>
      <c r="L143" s="283">
        <v>10.7178</v>
      </c>
      <c r="M143" s="283">
        <v>10.8249</v>
      </c>
      <c r="N143" s="283">
        <v>10.933199999999999</v>
      </c>
      <c r="O143" s="283">
        <v>11.0425</v>
      </c>
      <c r="P143" s="283">
        <v>11.153</v>
      </c>
      <c r="Q143" s="283">
        <v>11.2645</v>
      </c>
      <c r="R143" s="283">
        <v>11.3771</v>
      </c>
      <c r="S143" s="283">
        <v>11.4909</v>
      </c>
      <c r="T143" s="283">
        <v>11.6058</v>
      </c>
      <c r="U143" s="283">
        <v>11.7219</v>
      </c>
      <c r="V143" s="283">
        <v>11.8391</v>
      </c>
      <c r="W143" s="283">
        <v>11.9575</v>
      </c>
      <c r="X143" s="283">
        <v>12.0771</v>
      </c>
      <c r="Y143" s="283">
        <v>12.197800000000001</v>
      </c>
      <c r="Z143" s="283">
        <v>12.319800000000001</v>
      </c>
      <c r="AA143" s="283">
        <v>12.443</v>
      </c>
      <c r="AB143" s="283">
        <v>12.567399999999999</v>
      </c>
      <c r="AC143" s="283"/>
      <c r="AD143" s="283"/>
      <c r="AE143" s="283"/>
      <c r="AF143" s="283"/>
      <c r="AG143" s="283"/>
      <c r="AH143" s="283"/>
      <c r="AI143" s="283"/>
      <c r="AJ143" s="283"/>
      <c r="AK143" s="283"/>
      <c r="AL143" s="283"/>
      <c r="AM143" s="283"/>
      <c r="AN143" s="283"/>
      <c r="AO143" s="283"/>
      <c r="AP143" s="283"/>
      <c r="AQ143" s="283"/>
    </row>
    <row r="144" spans="2:43" ht="13.5" customHeight="1" x14ac:dyDescent="0.2">
      <c r="B144" s="244" t="s">
        <v>298</v>
      </c>
      <c r="C144" s="279">
        <v>0</v>
      </c>
      <c r="D144" s="279">
        <v>3683120</v>
      </c>
      <c r="E144" s="279">
        <v>3701356</v>
      </c>
      <c r="F144" s="279">
        <v>3719680</v>
      </c>
      <c r="G144" s="279">
        <v>3738090</v>
      </c>
      <c r="H144" s="279">
        <v>3756590</v>
      </c>
      <c r="I144" s="279">
        <v>3775190</v>
      </c>
      <c r="J144" s="279">
        <v>3793876</v>
      </c>
      <c r="K144" s="279">
        <v>3812660</v>
      </c>
      <c r="L144" s="279">
        <v>3831530</v>
      </c>
      <c r="M144" s="279">
        <v>3850490</v>
      </c>
      <c r="N144" s="279">
        <v>3869550</v>
      </c>
      <c r="O144" s="279">
        <v>3888710</v>
      </c>
      <c r="P144" s="279">
        <v>3907960</v>
      </c>
      <c r="Q144" s="279">
        <v>3927302</v>
      </c>
      <c r="R144" s="279">
        <v>3946740</v>
      </c>
      <c r="S144" s="279">
        <v>3966280</v>
      </c>
      <c r="T144" s="279">
        <v>3985910</v>
      </c>
      <c r="U144" s="279">
        <v>4005642</v>
      </c>
      <c r="V144" s="279">
        <v>4025470</v>
      </c>
      <c r="W144" s="279">
        <v>4045396</v>
      </c>
      <c r="X144" s="279">
        <v>4065420</v>
      </c>
      <c r="Y144" s="279">
        <v>4085540</v>
      </c>
      <c r="Z144" s="279">
        <v>4105768</v>
      </c>
      <c r="AA144" s="279">
        <v>4126090</v>
      </c>
      <c r="AB144" s="279">
        <v>4146520</v>
      </c>
      <c r="AC144" s="279"/>
      <c r="AD144" s="279"/>
      <c r="AE144" s="279"/>
      <c r="AF144" s="279"/>
      <c r="AG144" s="279"/>
      <c r="AH144" s="279"/>
      <c r="AI144" s="279"/>
      <c r="AJ144" s="279"/>
      <c r="AK144" s="279"/>
      <c r="AL144" s="279"/>
      <c r="AM144" s="279"/>
      <c r="AN144" s="279"/>
      <c r="AO144" s="279"/>
      <c r="AP144" s="279"/>
      <c r="AQ144" s="279"/>
    </row>
    <row r="145" spans="4:13" x14ac:dyDescent="0.2">
      <c r="I145" s="9"/>
      <c r="J145" s="9"/>
      <c r="K145" s="9"/>
      <c r="L145" s="9"/>
      <c r="M145" s="9"/>
    </row>
    <row r="146" spans="4:13" ht="12" customHeight="1" x14ac:dyDescent="0.2">
      <c r="I146" s="81"/>
      <c r="J146" s="9"/>
      <c r="K146" s="9"/>
      <c r="L146" s="9"/>
      <c r="M146" s="9"/>
    </row>
    <row r="147" spans="4:13" x14ac:dyDescent="0.2">
      <c r="I147" s="81"/>
      <c r="J147" s="9"/>
      <c r="K147" s="9"/>
      <c r="L147" s="9"/>
      <c r="M147" s="9"/>
    </row>
    <row r="148" spans="4:13" x14ac:dyDescent="0.2">
      <c r="I148" s="81"/>
      <c r="J148" s="9"/>
      <c r="K148" s="9"/>
      <c r="L148" s="9"/>
      <c r="M148" s="9"/>
    </row>
    <row r="149" spans="4:13" x14ac:dyDescent="0.2">
      <c r="I149" s="81"/>
      <c r="J149" s="9"/>
      <c r="K149" s="9"/>
      <c r="L149" s="9"/>
      <c r="M149" s="9"/>
    </row>
    <row r="150" spans="4:13" x14ac:dyDescent="0.2">
      <c r="I150" s="83"/>
      <c r="J150" s="9"/>
      <c r="K150" s="9"/>
      <c r="L150" s="9"/>
      <c r="M150" s="9"/>
    </row>
    <row r="151" spans="4:13" x14ac:dyDescent="0.2">
      <c r="I151" s="81"/>
      <c r="J151" s="9"/>
      <c r="K151" s="9"/>
      <c r="L151" s="9"/>
      <c r="M151" s="9"/>
    </row>
    <row r="152" spans="4:13" x14ac:dyDescent="0.2">
      <c r="I152" s="9"/>
      <c r="J152" s="9"/>
      <c r="K152" s="9"/>
      <c r="L152" s="9"/>
      <c r="M152" s="9"/>
    </row>
    <row r="153" spans="4:13" x14ac:dyDescent="0.2">
      <c r="I153" s="9"/>
      <c r="J153" s="9"/>
      <c r="K153" s="9"/>
      <c r="L153" s="9"/>
      <c r="M153" s="9"/>
    </row>
    <row r="154" spans="4:13" x14ac:dyDescent="0.2">
      <c r="D154" s="9"/>
      <c r="E154" s="9"/>
      <c r="F154" s="9"/>
      <c r="G154" s="9"/>
      <c r="H154" s="9"/>
      <c r="I154" s="9"/>
      <c r="J154" s="9"/>
      <c r="K154" s="9"/>
      <c r="L154" s="9"/>
      <c r="M154" s="9"/>
    </row>
    <row r="155" spans="4:13" x14ac:dyDescent="0.2">
      <c r="D155" s="9"/>
      <c r="E155" s="9"/>
      <c r="F155" s="9"/>
      <c r="G155" s="9"/>
      <c r="H155" s="9"/>
      <c r="I155" s="9"/>
      <c r="J155" s="9"/>
      <c r="K155" s="9"/>
      <c r="L155" s="9"/>
      <c r="M155" s="9"/>
    </row>
    <row r="156" spans="4:13" x14ac:dyDescent="0.2">
      <c r="D156" s="9"/>
      <c r="E156" s="9"/>
      <c r="F156" s="9"/>
      <c r="G156" s="9"/>
      <c r="H156" s="9"/>
      <c r="I156" s="9"/>
      <c r="J156" s="9"/>
      <c r="K156" s="9"/>
      <c r="L156" s="9"/>
      <c r="M156" s="9"/>
    </row>
    <row r="157" spans="4:13" x14ac:dyDescent="0.2">
      <c r="D157" s="9"/>
      <c r="E157" s="9"/>
      <c r="F157" s="9"/>
      <c r="G157" s="9"/>
      <c r="H157" s="9"/>
      <c r="I157" s="9"/>
      <c r="J157" s="9"/>
      <c r="K157" s="9"/>
      <c r="L157" s="9"/>
      <c r="M157" s="9"/>
    </row>
    <row r="158" spans="4:13" x14ac:dyDescent="0.2">
      <c r="D158" s="9"/>
      <c r="E158" s="9"/>
      <c r="F158" s="9"/>
      <c r="G158" s="9"/>
      <c r="H158" s="9"/>
      <c r="I158" s="9"/>
      <c r="J158" s="9"/>
      <c r="K158" s="9"/>
      <c r="L158" s="9"/>
      <c r="M158" s="9"/>
    </row>
    <row r="159" spans="4:13" x14ac:dyDescent="0.2">
      <c r="D159" s="9"/>
      <c r="E159" s="9"/>
      <c r="F159" s="9"/>
      <c r="G159" s="9"/>
      <c r="H159" s="9"/>
      <c r="I159" s="9"/>
      <c r="J159" s="9"/>
      <c r="K159" s="9"/>
      <c r="L159" s="9"/>
      <c r="M159" s="9"/>
    </row>
    <row r="160" spans="4:1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sheetData>
  <mergeCells count="1">
    <mergeCell ref="E96:F96"/>
  </mergeCells>
  <dataValidations disablePrompts="1" count="8">
    <dataValidation type="list" allowBlank="1" showInputMessage="1" showErrorMessage="1" sqref="H128:H129 E98:F99 E101:F102 E120:F123 G120:H123 F125:F129 G125:G129 E115:F118 G115:H118 E110:F113 G110:H113 E132:F137 D132:D137 G132:G137">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3">
      <formula1>$B$132:$B$137</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2">
      <formula1>$B$132:$B$137</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8"/>
  <sheetViews>
    <sheetView zoomScale="90" zoomScaleNormal="90" workbookViewId="0">
      <pane xSplit="1" ySplit="2" topLeftCell="B528" activePane="bottomRight" state="frozen"/>
      <selection pane="topRight" activeCell="B1" sqref="B1"/>
      <selection pane="bottomLeft" activeCell="A3" sqref="A3"/>
      <selection pane="bottomRight" activeCell="B549" sqref="B549"/>
    </sheetView>
  </sheetViews>
  <sheetFormatPr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05" t="s">
        <v>249</v>
      </c>
    </row>
    <row r="2" spans="1:42" x14ac:dyDescent="0.2">
      <c r="A2" s="114" t="s">
        <v>1</v>
      </c>
      <c r="B2" s="22">
        <v>0</v>
      </c>
      <c r="C2" s="22">
        <f t="shared" ref="C2:AP2" si="0">IF(B2="","",IF(B2+1&lt;=analysis_period,B2+1,""))</f>
        <v>1</v>
      </c>
      <c r="D2" s="22">
        <f t="shared" si="0"/>
        <v>2</v>
      </c>
      <c r="E2" s="22">
        <f t="shared" si="0"/>
        <v>3</v>
      </c>
      <c r="F2" s="22">
        <f t="shared" si="0"/>
        <v>4</v>
      </c>
      <c r="G2" s="22">
        <f t="shared" si="0"/>
        <v>5</v>
      </c>
      <c r="H2" s="22">
        <f t="shared" si="0"/>
        <v>6</v>
      </c>
      <c r="I2" s="22">
        <f t="shared" si="0"/>
        <v>7</v>
      </c>
      <c r="J2" s="22">
        <f t="shared" si="0"/>
        <v>8</v>
      </c>
      <c r="K2" s="22">
        <f t="shared" si="0"/>
        <v>9</v>
      </c>
      <c r="L2" s="22">
        <f t="shared" si="0"/>
        <v>10</v>
      </c>
      <c r="M2" s="22">
        <f t="shared" si="0"/>
        <v>11</v>
      </c>
      <c r="N2" s="22">
        <f t="shared" si="0"/>
        <v>12</v>
      </c>
      <c r="O2" s="22">
        <f t="shared" si="0"/>
        <v>13</v>
      </c>
      <c r="P2" s="22">
        <f t="shared" si="0"/>
        <v>14</v>
      </c>
      <c r="Q2" s="22">
        <f t="shared" si="0"/>
        <v>15</v>
      </c>
      <c r="R2" s="22">
        <f t="shared" si="0"/>
        <v>16</v>
      </c>
      <c r="S2" s="22">
        <f t="shared" si="0"/>
        <v>17</v>
      </c>
      <c r="T2" s="22">
        <f t="shared" si="0"/>
        <v>18</v>
      </c>
      <c r="U2" s="22">
        <f t="shared" si="0"/>
        <v>19</v>
      </c>
      <c r="V2" s="22">
        <f t="shared" si="0"/>
        <v>20</v>
      </c>
      <c r="W2" s="22">
        <f t="shared" si="0"/>
        <v>21</v>
      </c>
      <c r="X2" s="22">
        <f t="shared" si="0"/>
        <v>22</v>
      </c>
      <c r="Y2" s="22">
        <f t="shared" si="0"/>
        <v>23</v>
      </c>
      <c r="Z2" s="22">
        <f t="shared" si="0"/>
        <v>24</v>
      </c>
      <c r="AA2" s="22">
        <f t="shared" si="0"/>
        <v>25</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4" t="s">
        <v>256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330</v>
      </c>
      <c r="B5" s="282"/>
      <c r="C5" s="200">
        <f t="array" ref="C5:AP5">Inputs!D142:AQ142</f>
        <v>37211992</v>
      </c>
      <c r="D5" s="200">
        <v>37025932</v>
      </c>
      <c r="E5" s="200">
        <v>36840804</v>
      </c>
      <c r="F5" s="200">
        <v>36656600</v>
      </c>
      <c r="G5" s="200">
        <v>36473316</v>
      </c>
      <c r="H5" s="200">
        <v>36290948</v>
      </c>
      <c r="I5" s="200">
        <v>36109496</v>
      </c>
      <c r="J5" s="200">
        <v>35928948</v>
      </c>
      <c r="K5" s="200">
        <v>35749304</v>
      </c>
      <c r="L5" s="200">
        <v>35570556</v>
      </c>
      <c r="M5" s="200">
        <v>35392704</v>
      </c>
      <c r="N5" s="200">
        <v>35215740</v>
      </c>
      <c r="O5" s="200">
        <v>35039660</v>
      </c>
      <c r="P5" s="200">
        <v>34864464</v>
      </c>
      <c r="Q5" s="200">
        <v>34690140</v>
      </c>
      <c r="R5" s="200">
        <v>34516688</v>
      </c>
      <c r="S5" s="200">
        <v>34344108</v>
      </c>
      <c r="T5" s="200">
        <v>34172384</v>
      </c>
      <c r="U5" s="200">
        <v>34001524</v>
      </c>
      <c r="V5" s="200">
        <v>33831516</v>
      </c>
      <c r="W5" s="200">
        <v>33662360</v>
      </c>
      <c r="X5" s="200">
        <v>33494046</v>
      </c>
      <c r="Y5" s="200">
        <v>33326576</v>
      </c>
      <c r="Z5" s="200">
        <v>33159944</v>
      </c>
      <c r="AA5" s="200">
        <v>32994144</v>
      </c>
      <c r="AB5" s="200">
        <v>0</v>
      </c>
      <c r="AC5" s="200">
        <v>0</v>
      </c>
      <c r="AD5" s="200">
        <v>0</v>
      </c>
      <c r="AE5" s="200">
        <v>0</v>
      </c>
      <c r="AF5" s="200">
        <v>0</v>
      </c>
      <c r="AG5" s="200">
        <v>0</v>
      </c>
      <c r="AH5" s="200">
        <v>0</v>
      </c>
      <c r="AI5" s="200">
        <v>0</v>
      </c>
      <c r="AJ5" s="200">
        <v>0</v>
      </c>
      <c r="AK5" s="200">
        <v>0</v>
      </c>
      <c r="AL5" s="200">
        <v>0</v>
      </c>
      <c r="AM5" s="200">
        <v>0</v>
      </c>
      <c r="AN5" s="200">
        <v>0</v>
      </c>
      <c r="AO5" s="200">
        <v>0</v>
      </c>
      <c r="AP5" s="200">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4" t="s">
        <v>101</v>
      </c>
      <c r="B7" s="8"/>
      <c r="C7" s="295"/>
      <c r="D7" s="295"/>
      <c r="E7" s="295"/>
      <c r="F7" s="295"/>
      <c r="G7" s="295"/>
      <c r="H7" s="295"/>
      <c r="I7" s="295"/>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296"/>
      <c r="AN7" s="296"/>
      <c r="AO7" s="296"/>
      <c r="AP7" s="296"/>
    </row>
    <row r="8" spans="1:42" x14ac:dyDescent="0.2">
      <c r="A8" s="26" t="s">
        <v>21</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22</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331</v>
      </c>
      <c r="C10" s="200">
        <f>C5</f>
        <v>37211992</v>
      </c>
      <c r="D10" s="200">
        <f t="shared" ref="D10:AP10" si="1">D5</f>
        <v>37025932</v>
      </c>
      <c r="E10" s="200">
        <f t="shared" si="1"/>
        <v>36840804</v>
      </c>
      <c r="F10" s="200">
        <f t="shared" si="1"/>
        <v>36656600</v>
      </c>
      <c r="G10" s="200">
        <f t="shared" si="1"/>
        <v>36473316</v>
      </c>
      <c r="H10" s="200">
        <f t="shared" si="1"/>
        <v>36290948</v>
      </c>
      <c r="I10" s="200">
        <f t="shared" si="1"/>
        <v>36109496</v>
      </c>
      <c r="J10" s="200">
        <f t="shared" si="1"/>
        <v>35928948</v>
      </c>
      <c r="K10" s="200">
        <f t="shared" si="1"/>
        <v>35749304</v>
      </c>
      <c r="L10" s="200">
        <f t="shared" si="1"/>
        <v>35570556</v>
      </c>
      <c r="M10" s="200">
        <f t="shared" si="1"/>
        <v>35392704</v>
      </c>
      <c r="N10" s="200">
        <f t="shared" si="1"/>
        <v>35215740</v>
      </c>
      <c r="O10" s="200">
        <f t="shared" si="1"/>
        <v>35039660</v>
      </c>
      <c r="P10" s="200">
        <f t="shared" si="1"/>
        <v>34864464</v>
      </c>
      <c r="Q10" s="200">
        <f t="shared" si="1"/>
        <v>34690140</v>
      </c>
      <c r="R10" s="200">
        <f t="shared" si="1"/>
        <v>34516688</v>
      </c>
      <c r="S10" s="200">
        <f t="shared" si="1"/>
        <v>34344108</v>
      </c>
      <c r="T10" s="200">
        <f t="shared" si="1"/>
        <v>34172384</v>
      </c>
      <c r="U10" s="200">
        <f t="shared" si="1"/>
        <v>34001524</v>
      </c>
      <c r="V10" s="200">
        <f t="shared" si="1"/>
        <v>33831516</v>
      </c>
      <c r="W10" s="200">
        <f t="shared" si="1"/>
        <v>33662360</v>
      </c>
      <c r="X10" s="200">
        <f t="shared" si="1"/>
        <v>33494046</v>
      </c>
      <c r="Y10" s="200">
        <f t="shared" si="1"/>
        <v>33326576</v>
      </c>
      <c r="Z10" s="200">
        <f t="shared" si="1"/>
        <v>33159944</v>
      </c>
      <c r="AA10" s="200">
        <f t="shared" si="1"/>
        <v>32994144</v>
      </c>
      <c r="AB10" s="200">
        <f t="shared" si="1"/>
        <v>0</v>
      </c>
      <c r="AC10" s="200">
        <f t="shared" si="1"/>
        <v>0</v>
      </c>
      <c r="AD10" s="200">
        <f t="shared" si="1"/>
        <v>0</v>
      </c>
      <c r="AE10" s="200">
        <f t="shared" si="1"/>
        <v>0</v>
      </c>
      <c r="AF10" s="200">
        <f t="shared" si="1"/>
        <v>0</v>
      </c>
      <c r="AG10" s="200">
        <f t="shared" si="1"/>
        <v>0</v>
      </c>
      <c r="AH10" s="200">
        <f t="shared" si="1"/>
        <v>0</v>
      </c>
      <c r="AI10" s="200">
        <f t="shared" si="1"/>
        <v>0</v>
      </c>
      <c r="AJ10" s="200">
        <f t="shared" si="1"/>
        <v>0</v>
      </c>
      <c r="AK10" s="200">
        <f t="shared" si="1"/>
        <v>0</v>
      </c>
      <c r="AL10" s="200">
        <f t="shared" si="1"/>
        <v>0</v>
      </c>
      <c r="AM10" s="200">
        <f t="shared" si="1"/>
        <v>0</v>
      </c>
      <c r="AN10" s="200">
        <f t="shared" si="1"/>
        <v>0</v>
      </c>
      <c r="AO10" s="200">
        <f t="shared" si="1"/>
        <v>0</v>
      </c>
      <c r="AP10" s="200">
        <f t="shared" si="1"/>
        <v>0</v>
      </c>
    </row>
    <row r="11" spans="1:42" x14ac:dyDescent="0.2">
      <c r="A11" s="28" t="s">
        <v>10</v>
      </c>
      <c r="C11" s="204">
        <f t="array" ref="C11:AP11">Inputs!D143:AQ143</f>
        <v>9.8976799999999994</v>
      </c>
      <c r="D11" s="204">
        <v>9.9966600000000003</v>
      </c>
      <c r="E11" s="204">
        <v>10.0966</v>
      </c>
      <c r="F11" s="204">
        <v>10.1976</v>
      </c>
      <c r="G11" s="204">
        <v>10.2996</v>
      </c>
      <c r="H11" s="204">
        <v>10.4026</v>
      </c>
      <c r="I11" s="204">
        <v>10.506600000000001</v>
      </c>
      <c r="J11" s="204">
        <v>10.611700000000001</v>
      </c>
      <c r="K11" s="204">
        <v>10.7178</v>
      </c>
      <c r="L11" s="204">
        <v>10.8249</v>
      </c>
      <c r="M11" s="204">
        <v>10.933199999999999</v>
      </c>
      <c r="N11" s="204">
        <v>11.0425</v>
      </c>
      <c r="O11" s="204">
        <v>11.153</v>
      </c>
      <c r="P11" s="204">
        <v>11.2645</v>
      </c>
      <c r="Q11" s="204">
        <v>11.3771</v>
      </c>
      <c r="R11" s="204">
        <v>11.4909</v>
      </c>
      <c r="S11" s="204">
        <v>11.6058</v>
      </c>
      <c r="T11" s="204">
        <v>11.7219</v>
      </c>
      <c r="U11" s="204">
        <v>11.8391</v>
      </c>
      <c r="V11" s="204">
        <v>11.9575</v>
      </c>
      <c r="W11" s="204">
        <v>12.0771</v>
      </c>
      <c r="X11" s="204">
        <v>12.197800000000001</v>
      </c>
      <c r="Y11" s="204">
        <v>12.319800000000001</v>
      </c>
      <c r="Z11" s="204">
        <v>12.443</v>
      </c>
      <c r="AA11" s="204">
        <v>12.567399999999999</v>
      </c>
      <c r="AB11" s="204">
        <v>0</v>
      </c>
      <c r="AC11" s="204">
        <v>0</v>
      </c>
      <c r="AD11" s="204">
        <v>0</v>
      </c>
      <c r="AE11" s="204">
        <v>0</v>
      </c>
      <c r="AF11" s="204">
        <v>0</v>
      </c>
      <c r="AG11" s="204">
        <v>0</v>
      </c>
      <c r="AH11" s="204">
        <v>0</v>
      </c>
      <c r="AI11" s="204">
        <v>0</v>
      </c>
      <c r="AJ11" s="204">
        <v>0</v>
      </c>
      <c r="AK11" s="204">
        <v>0</v>
      </c>
      <c r="AL11" s="204">
        <v>0</v>
      </c>
      <c r="AM11" s="204">
        <v>0</v>
      </c>
      <c r="AN11" s="204">
        <v>0</v>
      </c>
      <c r="AO11" s="204">
        <v>0</v>
      </c>
      <c r="AP11" s="204">
        <v>0</v>
      </c>
    </row>
    <row r="12" spans="1:42" x14ac:dyDescent="0.2">
      <c r="A12" s="28" t="s">
        <v>20</v>
      </c>
      <c r="C12" s="200">
        <f t="array" ref="C12:AP12">Inputs!D144:AQ144</f>
        <v>3683120</v>
      </c>
      <c r="D12" s="200">
        <v>3701356</v>
      </c>
      <c r="E12" s="200">
        <v>3719680</v>
      </c>
      <c r="F12" s="200">
        <v>3738090</v>
      </c>
      <c r="G12" s="200">
        <v>3756590</v>
      </c>
      <c r="H12" s="200">
        <v>3775190</v>
      </c>
      <c r="I12" s="200">
        <v>3793876</v>
      </c>
      <c r="J12" s="200">
        <v>3812660</v>
      </c>
      <c r="K12" s="200">
        <v>3831530</v>
      </c>
      <c r="L12" s="200">
        <v>3850490</v>
      </c>
      <c r="M12" s="200">
        <v>3869550</v>
      </c>
      <c r="N12" s="200">
        <v>3888710</v>
      </c>
      <c r="O12" s="200">
        <v>3907960</v>
      </c>
      <c r="P12" s="200">
        <v>3927302</v>
      </c>
      <c r="Q12" s="200">
        <v>3946740</v>
      </c>
      <c r="R12" s="200">
        <v>3966280</v>
      </c>
      <c r="S12" s="200">
        <v>3985910</v>
      </c>
      <c r="T12" s="200">
        <v>4005642</v>
      </c>
      <c r="U12" s="200">
        <v>4025470</v>
      </c>
      <c r="V12" s="200">
        <v>4045396</v>
      </c>
      <c r="W12" s="200">
        <v>4065420</v>
      </c>
      <c r="X12" s="200">
        <v>4085540</v>
      </c>
      <c r="Y12" s="200">
        <v>4105768</v>
      </c>
      <c r="Z12" s="200">
        <v>4126090</v>
      </c>
      <c r="AA12" s="200">
        <v>4146520</v>
      </c>
      <c r="AB12" s="200">
        <v>0</v>
      </c>
      <c r="AC12" s="200">
        <v>0</v>
      </c>
      <c r="AD12" s="200">
        <v>0</v>
      </c>
      <c r="AE12" s="200">
        <v>0</v>
      </c>
      <c r="AF12" s="200">
        <v>0</v>
      </c>
      <c r="AG12" s="200">
        <v>0</v>
      </c>
      <c r="AH12" s="200">
        <v>0</v>
      </c>
      <c r="AI12" s="200">
        <v>0</v>
      </c>
      <c r="AJ12" s="200">
        <v>0</v>
      </c>
      <c r="AK12" s="200">
        <v>0</v>
      </c>
      <c r="AL12" s="200">
        <v>0</v>
      </c>
      <c r="AM12" s="200">
        <v>0</v>
      </c>
      <c r="AN12" s="200">
        <v>0</v>
      </c>
      <c r="AO12" s="200">
        <v>0</v>
      </c>
      <c r="AP12" s="200">
        <v>0</v>
      </c>
    </row>
    <row r="13" spans="1:42" x14ac:dyDescent="0.2">
      <c r="A13" s="4" t="s">
        <v>23</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Inputs!B120</f>
        <v>Federal ($/W)</v>
      </c>
      <c r="C14" s="149">
        <f t="shared" ref="C14:AP14" si="2">IF(pbi_fed_for_ds="Yes",C517,0)</f>
        <v>0</v>
      </c>
      <c r="D14" s="149">
        <f t="shared" si="2"/>
        <v>0</v>
      </c>
      <c r="E14" s="149">
        <f t="shared" si="2"/>
        <v>0</v>
      </c>
      <c r="F14" s="149">
        <f t="shared" si="2"/>
        <v>0</v>
      </c>
      <c r="G14" s="149">
        <f t="shared" si="2"/>
        <v>0</v>
      </c>
      <c r="H14" s="149">
        <f t="shared" si="2"/>
        <v>0</v>
      </c>
      <c r="I14" s="149">
        <f t="shared" si="2"/>
        <v>0</v>
      </c>
      <c r="J14" s="149">
        <f t="shared" si="2"/>
        <v>0</v>
      </c>
      <c r="K14" s="149">
        <f t="shared" si="2"/>
        <v>0</v>
      </c>
      <c r="L14" s="149">
        <f t="shared" si="2"/>
        <v>0</v>
      </c>
      <c r="M14" s="149">
        <f t="shared" si="2"/>
        <v>0</v>
      </c>
      <c r="N14" s="149">
        <f t="shared" si="2"/>
        <v>0</v>
      </c>
      <c r="O14" s="149">
        <f t="shared" si="2"/>
        <v>0</v>
      </c>
      <c r="P14" s="149">
        <f t="shared" si="2"/>
        <v>0</v>
      </c>
      <c r="Q14" s="149">
        <f t="shared" si="2"/>
        <v>0</v>
      </c>
      <c r="R14" s="149">
        <f t="shared" si="2"/>
        <v>0</v>
      </c>
      <c r="S14" s="149">
        <f t="shared" si="2"/>
        <v>0</v>
      </c>
      <c r="T14" s="149">
        <f t="shared" si="2"/>
        <v>0</v>
      </c>
      <c r="U14" s="149">
        <f t="shared" si="2"/>
        <v>0</v>
      </c>
      <c r="V14" s="149">
        <f t="shared" si="2"/>
        <v>0</v>
      </c>
      <c r="W14" s="149">
        <f t="shared" si="2"/>
        <v>0</v>
      </c>
      <c r="X14" s="149">
        <f t="shared" si="2"/>
        <v>0</v>
      </c>
      <c r="Y14" s="149">
        <f t="shared" si="2"/>
        <v>0</v>
      </c>
      <c r="Z14" s="149">
        <f t="shared" si="2"/>
        <v>0</v>
      </c>
      <c r="AA14" s="149">
        <f t="shared" si="2"/>
        <v>0</v>
      </c>
      <c r="AB14" s="149">
        <f t="shared" si="2"/>
        <v>0</v>
      </c>
      <c r="AC14" s="149">
        <f t="shared" si="2"/>
        <v>0</v>
      </c>
      <c r="AD14" s="149">
        <f t="shared" si="2"/>
        <v>0</v>
      </c>
      <c r="AE14" s="149">
        <f t="shared" si="2"/>
        <v>0</v>
      </c>
      <c r="AF14" s="149">
        <f t="shared" si="2"/>
        <v>0</v>
      </c>
      <c r="AG14" s="149">
        <f t="shared" si="2"/>
        <v>0</v>
      </c>
      <c r="AH14" s="149">
        <f t="shared" si="2"/>
        <v>0</v>
      </c>
      <c r="AI14" s="149">
        <f t="shared" si="2"/>
        <v>0</v>
      </c>
      <c r="AJ14" s="149">
        <f t="shared" si="2"/>
        <v>0</v>
      </c>
      <c r="AK14" s="149">
        <f t="shared" si="2"/>
        <v>0</v>
      </c>
      <c r="AL14" s="149">
        <f t="shared" si="2"/>
        <v>0</v>
      </c>
      <c r="AM14" s="149">
        <f t="shared" si="2"/>
        <v>0</v>
      </c>
      <c r="AN14" s="149">
        <f t="shared" si="2"/>
        <v>0</v>
      </c>
      <c r="AO14" s="149">
        <f t="shared" si="2"/>
        <v>0</v>
      </c>
      <c r="AP14" s="149">
        <f t="shared" si="2"/>
        <v>0</v>
      </c>
    </row>
    <row r="15" spans="1:42" x14ac:dyDescent="0.2">
      <c r="A15" s="28" t="str">
        <f>Inputs!B121</f>
        <v>State ($/W)</v>
      </c>
      <c r="C15" s="149">
        <f t="shared" ref="C15:AP15" si="3">IF(pbi_sta_for_ds="Yes",C521,0)</f>
        <v>0</v>
      </c>
      <c r="D15" s="149">
        <f t="shared" si="3"/>
        <v>0</v>
      </c>
      <c r="E15" s="149">
        <f t="shared" si="3"/>
        <v>0</v>
      </c>
      <c r="F15" s="149">
        <f t="shared" si="3"/>
        <v>0</v>
      </c>
      <c r="G15" s="149">
        <f t="shared" si="3"/>
        <v>0</v>
      </c>
      <c r="H15" s="149">
        <f t="shared" si="3"/>
        <v>0</v>
      </c>
      <c r="I15" s="149">
        <f t="shared" si="3"/>
        <v>0</v>
      </c>
      <c r="J15" s="149">
        <f t="shared" si="3"/>
        <v>0</v>
      </c>
      <c r="K15" s="149">
        <f t="shared" si="3"/>
        <v>0</v>
      </c>
      <c r="L15" s="149">
        <f t="shared" si="3"/>
        <v>0</v>
      </c>
      <c r="M15" s="149">
        <f t="shared" si="3"/>
        <v>0</v>
      </c>
      <c r="N15" s="149">
        <f t="shared" si="3"/>
        <v>0</v>
      </c>
      <c r="O15" s="149">
        <f t="shared" si="3"/>
        <v>0</v>
      </c>
      <c r="P15" s="149">
        <f t="shared" si="3"/>
        <v>0</v>
      </c>
      <c r="Q15" s="149">
        <f t="shared" si="3"/>
        <v>0</v>
      </c>
      <c r="R15" s="149">
        <f t="shared" si="3"/>
        <v>0</v>
      </c>
      <c r="S15" s="149">
        <f t="shared" si="3"/>
        <v>0</v>
      </c>
      <c r="T15" s="149">
        <f t="shared" si="3"/>
        <v>0</v>
      </c>
      <c r="U15" s="149">
        <f t="shared" si="3"/>
        <v>0</v>
      </c>
      <c r="V15" s="149">
        <f t="shared" si="3"/>
        <v>0</v>
      </c>
      <c r="W15" s="149">
        <f t="shared" si="3"/>
        <v>0</v>
      </c>
      <c r="X15" s="149">
        <f t="shared" si="3"/>
        <v>0</v>
      </c>
      <c r="Y15" s="149">
        <f t="shared" si="3"/>
        <v>0</v>
      </c>
      <c r="Z15" s="149">
        <f t="shared" si="3"/>
        <v>0</v>
      </c>
      <c r="AA15" s="149">
        <f t="shared" si="3"/>
        <v>0</v>
      </c>
      <c r="AB15" s="149">
        <f t="shared" si="3"/>
        <v>0</v>
      </c>
      <c r="AC15" s="149">
        <f t="shared" si="3"/>
        <v>0</v>
      </c>
      <c r="AD15" s="149">
        <f t="shared" si="3"/>
        <v>0</v>
      </c>
      <c r="AE15" s="149">
        <f t="shared" si="3"/>
        <v>0</v>
      </c>
      <c r="AF15" s="149">
        <f t="shared" si="3"/>
        <v>0</v>
      </c>
      <c r="AG15" s="149">
        <f t="shared" si="3"/>
        <v>0</v>
      </c>
      <c r="AH15" s="149">
        <f t="shared" si="3"/>
        <v>0</v>
      </c>
      <c r="AI15" s="149">
        <f t="shared" si="3"/>
        <v>0</v>
      </c>
      <c r="AJ15" s="149">
        <f t="shared" si="3"/>
        <v>0</v>
      </c>
      <c r="AK15" s="149">
        <f t="shared" si="3"/>
        <v>0</v>
      </c>
      <c r="AL15" s="149">
        <f t="shared" si="3"/>
        <v>0</v>
      </c>
      <c r="AM15" s="149">
        <f t="shared" si="3"/>
        <v>0</v>
      </c>
      <c r="AN15" s="149">
        <f t="shared" si="3"/>
        <v>0</v>
      </c>
      <c r="AO15" s="149">
        <f t="shared" si="3"/>
        <v>0</v>
      </c>
      <c r="AP15" s="149">
        <f t="shared" si="3"/>
        <v>0</v>
      </c>
    </row>
    <row r="16" spans="1:42" x14ac:dyDescent="0.2">
      <c r="A16" s="28" t="str">
        <f>Inputs!B122</f>
        <v>Utility ($/W)</v>
      </c>
      <c r="C16" s="149">
        <f t="shared" ref="C16:AP16" si="4">IF(pbi_uti_for_ds="Yes",C525,0)</f>
        <v>0</v>
      </c>
      <c r="D16" s="149">
        <f t="shared" si="4"/>
        <v>0</v>
      </c>
      <c r="E16" s="149">
        <f t="shared" si="4"/>
        <v>0</v>
      </c>
      <c r="F16" s="149">
        <f t="shared" si="4"/>
        <v>0</v>
      </c>
      <c r="G16" s="149">
        <f t="shared" si="4"/>
        <v>0</v>
      </c>
      <c r="H16" s="149">
        <f t="shared" si="4"/>
        <v>0</v>
      </c>
      <c r="I16" s="149">
        <f t="shared" si="4"/>
        <v>0</v>
      </c>
      <c r="J16" s="149">
        <f t="shared" si="4"/>
        <v>0</v>
      </c>
      <c r="K16" s="149">
        <f t="shared" si="4"/>
        <v>0</v>
      </c>
      <c r="L16" s="149">
        <f t="shared" si="4"/>
        <v>0</v>
      </c>
      <c r="M16" s="149">
        <f t="shared" si="4"/>
        <v>0</v>
      </c>
      <c r="N16" s="149">
        <f t="shared" si="4"/>
        <v>0</v>
      </c>
      <c r="O16" s="149">
        <f t="shared" si="4"/>
        <v>0</v>
      </c>
      <c r="P16" s="149">
        <f t="shared" si="4"/>
        <v>0</v>
      </c>
      <c r="Q16" s="149">
        <f t="shared" si="4"/>
        <v>0</v>
      </c>
      <c r="R16" s="149">
        <f t="shared" si="4"/>
        <v>0</v>
      </c>
      <c r="S16" s="149">
        <f t="shared" si="4"/>
        <v>0</v>
      </c>
      <c r="T16" s="149">
        <f t="shared" si="4"/>
        <v>0</v>
      </c>
      <c r="U16" s="149">
        <f t="shared" si="4"/>
        <v>0</v>
      </c>
      <c r="V16" s="149">
        <f t="shared" si="4"/>
        <v>0</v>
      </c>
      <c r="W16" s="149">
        <f t="shared" si="4"/>
        <v>0</v>
      </c>
      <c r="X16" s="149">
        <f t="shared" si="4"/>
        <v>0</v>
      </c>
      <c r="Y16" s="149">
        <f t="shared" si="4"/>
        <v>0</v>
      </c>
      <c r="Z16" s="149">
        <f t="shared" si="4"/>
        <v>0</v>
      </c>
      <c r="AA16" s="149">
        <f t="shared" si="4"/>
        <v>0</v>
      </c>
      <c r="AB16" s="149">
        <f t="shared" si="4"/>
        <v>0</v>
      </c>
      <c r="AC16" s="149">
        <f t="shared" si="4"/>
        <v>0</v>
      </c>
      <c r="AD16" s="149">
        <f t="shared" si="4"/>
        <v>0</v>
      </c>
      <c r="AE16" s="149">
        <f t="shared" si="4"/>
        <v>0</v>
      </c>
      <c r="AF16" s="149">
        <f t="shared" si="4"/>
        <v>0</v>
      </c>
      <c r="AG16" s="149">
        <f t="shared" si="4"/>
        <v>0</v>
      </c>
      <c r="AH16" s="149">
        <f t="shared" si="4"/>
        <v>0</v>
      </c>
      <c r="AI16" s="149">
        <f t="shared" si="4"/>
        <v>0</v>
      </c>
      <c r="AJ16" s="149">
        <f t="shared" si="4"/>
        <v>0</v>
      </c>
      <c r="AK16" s="149">
        <f t="shared" si="4"/>
        <v>0</v>
      </c>
      <c r="AL16" s="149">
        <f t="shared" si="4"/>
        <v>0</v>
      </c>
      <c r="AM16" s="149">
        <f t="shared" si="4"/>
        <v>0</v>
      </c>
      <c r="AN16" s="149">
        <f t="shared" si="4"/>
        <v>0</v>
      </c>
      <c r="AO16" s="149">
        <f t="shared" si="4"/>
        <v>0</v>
      </c>
      <c r="AP16" s="149">
        <f t="shared" si="4"/>
        <v>0</v>
      </c>
    </row>
    <row r="17" spans="1:42" x14ac:dyDescent="0.2">
      <c r="A17" s="28" t="str">
        <f>Inputs!B123</f>
        <v>Other ($/W)</v>
      </c>
      <c r="C17" s="204">
        <f t="shared" ref="C17:AP17" si="5">IF(pbi_oth_for_ds="Yes",C529,0)</f>
        <v>0</v>
      </c>
      <c r="D17" s="204">
        <f t="shared" si="5"/>
        <v>0</v>
      </c>
      <c r="E17" s="204">
        <f t="shared" si="5"/>
        <v>0</v>
      </c>
      <c r="F17" s="204">
        <f t="shared" si="5"/>
        <v>0</v>
      </c>
      <c r="G17" s="204">
        <f t="shared" si="5"/>
        <v>0</v>
      </c>
      <c r="H17" s="204">
        <f t="shared" si="5"/>
        <v>0</v>
      </c>
      <c r="I17" s="204">
        <f t="shared" si="5"/>
        <v>0</v>
      </c>
      <c r="J17" s="204">
        <f t="shared" si="5"/>
        <v>0</v>
      </c>
      <c r="K17" s="204">
        <f t="shared" si="5"/>
        <v>0</v>
      </c>
      <c r="L17" s="204">
        <f t="shared" si="5"/>
        <v>0</v>
      </c>
      <c r="M17" s="204">
        <f t="shared" si="5"/>
        <v>0</v>
      </c>
      <c r="N17" s="204">
        <f t="shared" si="5"/>
        <v>0</v>
      </c>
      <c r="O17" s="204">
        <f t="shared" si="5"/>
        <v>0</v>
      </c>
      <c r="P17" s="204">
        <f t="shared" si="5"/>
        <v>0</v>
      </c>
      <c r="Q17" s="204">
        <f t="shared" si="5"/>
        <v>0</v>
      </c>
      <c r="R17" s="204">
        <f t="shared" si="5"/>
        <v>0</v>
      </c>
      <c r="S17" s="204">
        <f t="shared" si="5"/>
        <v>0</v>
      </c>
      <c r="T17" s="204">
        <f t="shared" si="5"/>
        <v>0</v>
      </c>
      <c r="U17" s="204">
        <f t="shared" si="5"/>
        <v>0</v>
      </c>
      <c r="V17" s="204">
        <f t="shared" si="5"/>
        <v>0</v>
      </c>
      <c r="W17" s="204">
        <f t="shared" si="5"/>
        <v>0</v>
      </c>
      <c r="X17" s="204">
        <f t="shared" si="5"/>
        <v>0</v>
      </c>
      <c r="Y17" s="204">
        <f t="shared" si="5"/>
        <v>0</v>
      </c>
      <c r="Z17" s="204">
        <f t="shared" si="5"/>
        <v>0</v>
      </c>
      <c r="AA17" s="204">
        <f t="shared" si="5"/>
        <v>0</v>
      </c>
      <c r="AB17" s="204">
        <f t="shared" si="5"/>
        <v>0</v>
      </c>
      <c r="AC17" s="204">
        <f t="shared" si="5"/>
        <v>0</v>
      </c>
      <c r="AD17" s="204">
        <f t="shared" si="5"/>
        <v>0</v>
      </c>
      <c r="AE17" s="204">
        <f t="shared" si="5"/>
        <v>0</v>
      </c>
      <c r="AF17" s="204">
        <f t="shared" si="5"/>
        <v>0</v>
      </c>
      <c r="AG17" s="204">
        <f t="shared" si="5"/>
        <v>0</v>
      </c>
      <c r="AH17" s="204">
        <f t="shared" si="5"/>
        <v>0</v>
      </c>
      <c r="AI17" s="204">
        <f t="shared" si="5"/>
        <v>0</v>
      </c>
      <c r="AJ17" s="204">
        <f t="shared" si="5"/>
        <v>0</v>
      </c>
      <c r="AK17" s="204">
        <f t="shared" si="5"/>
        <v>0</v>
      </c>
      <c r="AL17" s="204">
        <f t="shared" si="5"/>
        <v>0</v>
      </c>
      <c r="AM17" s="204">
        <f t="shared" si="5"/>
        <v>0</v>
      </c>
      <c r="AN17" s="204">
        <f t="shared" si="5"/>
        <v>0</v>
      </c>
      <c r="AO17" s="204">
        <f t="shared" si="5"/>
        <v>0</v>
      </c>
      <c r="AP17" s="204">
        <f t="shared" si="5"/>
        <v>0</v>
      </c>
    </row>
    <row r="18" spans="1:42" x14ac:dyDescent="0.2">
      <c r="A18" s="28" t="s">
        <v>24</v>
      </c>
      <c r="C18" s="206">
        <f>SUM(C14:C17)</f>
        <v>0</v>
      </c>
      <c r="D18" s="206">
        <f t="shared" ref="D18:AP18" si="6">SUM(D14:D17)</f>
        <v>0</v>
      </c>
      <c r="E18" s="206">
        <f t="shared" si="6"/>
        <v>0</v>
      </c>
      <c r="F18" s="206">
        <f t="shared" si="6"/>
        <v>0</v>
      </c>
      <c r="G18" s="206">
        <f t="shared" si="6"/>
        <v>0</v>
      </c>
      <c r="H18" s="206">
        <f t="shared" si="6"/>
        <v>0</v>
      </c>
      <c r="I18" s="206">
        <f t="shared" si="6"/>
        <v>0</v>
      </c>
      <c r="J18" s="206">
        <f t="shared" si="6"/>
        <v>0</v>
      </c>
      <c r="K18" s="206">
        <f t="shared" si="6"/>
        <v>0</v>
      </c>
      <c r="L18" s="206">
        <f t="shared" si="6"/>
        <v>0</v>
      </c>
      <c r="M18" s="206">
        <f t="shared" si="6"/>
        <v>0</v>
      </c>
      <c r="N18" s="206">
        <f t="shared" si="6"/>
        <v>0</v>
      </c>
      <c r="O18" s="206">
        <f t="shared" si="6"/>
        <v>0</v>
      </c>
      <c r="P18" s="206">
        <f t="shared" si="6"/>
        <v>0</v>
      </c>
      <c r="Q18" s="206">
        <f t="shared" si="6"/>
        <v>0</v>
      </c>
      <c r="R18" s="206">
        <f t="shared" si="6"/>
        <v>0</v>
      </c>
      <c r="S18" s="206">
        <f t="shared" si="6"/>
        <v>0</v>
      </c>
      <c r="T18" s="206">
        <f t="shared" si="6"/>
        <v>0</v>
      </c>
      <c r="U18" s="206">
        <f t="shared" si="6"/>
        <v>0</v>
      </c>
      <c r="V18" s="206">
        <f t="shared" si="6"/>
        <v>0</v>
      </c>
      <c r="W18" s="206">
        <f t="shared" si="6"/>
        <v>0</v>
      </c>
      <c r="X18" s="206">
        <f t="shared" si="6"/>
        <v>0</v>
      </c>
      <c r="Y18" s="206">
        <f t="shared" si="6"/>
        <v>0</v>
      </c>
      <c r="Z18" s="206">
        <f t="shared" si="6"/>
        <v>0</v>
      </c>
      <c r="AA18" s="206">
        <f t="shared" si="6"/>
        <v>0</v>
      </c>
      <c r="AB18" s="206">
        <f t="shared" si="6"/>
        <v>0</v>
      </c>
      <c r="AC18" s="206">
        <f t="shared" si="6"/>
        <v>0</v>
      </c>
      <c r="AD18" s="206">
        <f t="shared" si="6"/>
        <v>0</v>
      </c>
      <c r="AE18" s="206">
        <f t="shared" si="6"/>
        <v>0</v>
      </c>
      <c r="AF18" s="206">
        <f t="shared" si="6"/>
        <v>0</v>
      </c>
      <c r="AG18" s="206">
        <f t="shared" si="6"/>
        <v>0</v>
      </c>
      <c r="AH18" s="206">
        <f t="shared" si="6"/>
        <v>0</v>
      </c>
      <c r="AI18" s="206">
        <f t="shared" si="6"/>
        <v>0</v>
      </c>
      <c r="AJ18" s="206">
        <f t="shared" si="6"/>
        <v>0</v>
      </c>
      <c r="AK18" s="206">
        <f t="shared" si="6"/>
        <v>0</v>
      </c>
      <c r="AL18" s="206">
        <f t="shared" si="6"/>
        <v>0</v>
      </c>
      <c r="AM18" s="206">
        <f t="shared" si="6"/>
        <v>0</v>
      </c>
      <c r="AN18" s="206">
        <f t="shared" si="6"/>
        <v>0</v>
      </c>
      <c r="AO18" s="206">
        <f t="shared" si="6"/>
        <v>0</v>
      </c>
      <c r="AP18" s="206">
        <f t="shared" si="6"/>
        <v>0</v>
      </c>
    </row>
    <row r="19" spans="1:42" x14ac:dyDescent="0.2">
      <c r="A19" s="24" t="s">
        <v>58</v>
      </c>
      <c r="C19" s="195">
        <f t="shared" ref="C19:AP19" si="7">IF(C2=analysis_period,total_installed_cost*salvage_percentage/100,0)</f>
        <v>0</v>
      </c>
      <c r="D19" s="195">
        <f t="shared" si="7"/>
        <v>0</v>
      </c>
      <c r="E19" s="195">
        <f t="shared" si="7"/>
        <v>0</v>
      </c>
      <c r="F19" s="195">
        <f t="shared" si="7"/>
        <v>0</v>
      </c>
      <c r="G19" s="195">
        <f t="shared" si="7"/>
        <v>0</v>
      </c>
      <c r="H19" s="195">
        <f t="shared" si="7"/>
        <v>0</v>
      </c>
      <c r="I19" s="195">
        <f t="shared" si="7"/>
        <v>0</v>
      </c>
      <c r="J19" s="195">
        <f t="shared" si="7"/>
        <v>0</v>
      </c>
      <c r="K19" s="195">
        <f t="shared" si="7"/>
        <v>0</v>
      </c>
      <c r="L19" s="195">
        <f t="shared" si="7"/>
        <v>0</v>
      </c>
      <c r="M19" s="195">
        <f t="shared" si="7"/>
        <v>0</v>
      </c>
      <c r="N19" s="195">
        <f t="shared" si="7"/>
        <v>0</v>
      </c>
      <c r="O19" s="195">
        <f t="shared" si="7"/>
        <v>0</v>
      </c>
      <c r="P19" s="195">
        <f t="shared" si="7"/>
        <v>0</v>
      </c>
      <c r="Q19" s="195">
        <f t="shared" si="7"/>
        <v>0</v>
      </c>
      <c r="R19" s="195">
        <f t="shared" si="7"/>
        <v>0</v>
      </c>
      <c r="S19" s="195">
        <f t="shared" si="7"/>
        <v>0</v>
      </c>
      <c r="T19" s="195">
        <f t="shared" si="7"/>
        <v>0</v>
      </c>
      <c r="U19" s="195">
        <f t="shared" si="7"/>
        <v>0</v>
      </c>
      <c r="V19" s="195">
        <f t="shared" si="7"/>
        <v>0</v>
      </c>
      <c r="W19" s="195">
        <f t="shared" si="7"/>
        <v>0</v>
      </c>
      <c r="X19" s="195">
        <f t="shared" si="7"/>
        <v>0</v>
      </c>
      <c r="Y19" s="195">
        <f t="shared" si="7"/>
        <v>0</v>
      </c>
      <c r="Z19" s="195">
        <f t="shared" si="7"/>
        <v>0</v>
      </c>
      <c r="AA19" s="195">
        <f t="shared" si="7"/>
        <v>0</v>
      </c>
      <c r="AB19" s="195">
        <f t="shared" si="7"/>
        <v>0</v>
      </c>
      <c r="AC19" s="195">
        <f t="shared" si="7"/>
        <v>0</v>
      </c>
      <c r="AD19" s="195">
        <f t="shared" si="7"/>
        <v>0</v>
      </c>
      <c r="AE19" s="195">
        <f t="shared" si="7"/>
        <v>0</v>
      </c>
      <c r="AF19" s="195">
        <f t="shared" si="7"/>
        <v>0</v>
      </c>
      <c r="AG19" s="195">
        <f t="shared" si="7"/>
        <v>0</v>
      </c>
      <c r="AH19" s="195">
        <f t="shared" si="7"/>
        <v>0</v>
      </c>
      <c r="AI19" s="195">
        <f t="shared" si="7"/>
        <v>0</v>
      </c>
      <c r="AJ19" s="195">
        <f t="shared" si="7"/>
        <v>0</v>
      </c>
      <c r="AK19" s="195">
        <f t="shared" si="7"/>
        <v>0</v>
      </c>
      <c r="AL19" s="195">
        <f t="shared" si="7"/>
        <v>0</v>
      </c>
      <c r="AM19" s="195">
        <f t="shared" si="7"/>
        <v>0</v>
      </c>
      <c r="AN19" s="195">
        <f t="shared" si="7"/>
        <v>0</v>
      </c>
      <c r="AO19" s="195">
        <f t="shared" si="7"/>
        <v>0</v>
      </c>
      <c r="AP19" s="195">
        <f t="shared" si="7"/>
        <v>0</v>
      </c>
    </row>
    <row r="20" spans="1:42" x14ac:dyDescent="0.2">
      <c r="A20" s="285" t="s">
        <v>100</v>
      </c>
      <c r="B20" s="44"/>
      <c r="C20" s="209">
        <f t="shared" ref="C20:AP20" si="8">IF(C2&lt;=analysis_period,C12+C18+C19,0)</f>
        <v>3683120</v>
      </c>
      <c r="D20" s="209">
        <f t="shared" si="8"/>
        <v>3701356</v>
      </c>
      <c r="E20" s="209">
        <f t="shared" si="8"/>
        <v>3719680</v>
      </c>
      <c r="F20" s="209">
        <f t="shared" si="8"/>
        <v>3738090</v>
      </c>
      <c r="G20" s="209">
        <f t="shared" si="8"/>
        <v>3756590</v>
      </c>
      <c r="H20" s="209">
        <f t="shared" si="8"/>
        <v>3775190</v>
      </c>
      <c r="I20" s="209">
        <f t="shared" si="8"/>
        <v>3793876</v>
      </c>
      <c r="J20" s="209">
        <f t="shared" si="8"/>
        <v>3812660</v>
      </c>
      <c r="K20" s="209">
        <f t="shared" si="8"/>
        <v>3831530</v>
      </c>
      <c r="L20" s="209">
        <f t="shared" si="8"/>
        <v>3850490</v>
      </c>
      <c r="M20" s="209">
        <f t="shared" si="8"/>
        <v>3869550</v>
      </c>
      <c r="N20" s="209">
        <f t="shared" si="8"/>
        <v>3888710</v>
      </c>
      <c r="O20" s="209">
        <f t="shared" si="8"/>
        <v>3907960</v>
      </c>
      <c r="P20" s="209">
        <f t="shared" si="8"/>
        <v>3927302</v>
      </c>
      <c r="Q20" s="209">
        <f t="shared" si="8"/>
        <v>3946740</v>
      </c>
      <c r="R20" s="209">
        <f t="shared" si="8"/>
        <v>3966280</v>
      </c>
      <c r="S20" s="209">
        <f t="shared" si="8"/>
        <v>3985910</v>
      </c>
      <c r="T20" s="209">
        <f t="shared" si="8"/>
        <v>4005642</v>
      </c>
      <c r="U20" s="209">
        <f t="shared" si="8"/>
        <v>4025470</v>
      </c>
      <c r="V20" s="209">
        <f t="shared" si="8"/>
        <v>4045396</v>
      </c>
      <c r="W20" s="209">
        <f t="shared" si="8"/>
        <v>4065420</v>
      </c>
      <c r="X20" s="209">
        <f t="shared" si="8"/>
        <v>4085540</v>
      </c>
      <c r="Y20" s="209">
        <f t="shared" si="8"/>
        <v>4105768</v>
      </c>
      <c r="Z20" s="209">
        <f t="shared" si="8"/>
        <v>4126090</v>
      </c>
      <c r="AA20" s="209">
        <f t="shared" si="8"/>
        <v>4146520</v>
      </c>
      <c r="AB20" s="209">
        <f t="shared" si="8"/>
        <v>0</v>
      </c>
      <c r="AC20" s="209">
        <f t="shared" si="8"/>
        <v>0</v>
      </c>
      <c r="AD20" s="209">
        <f t="shared" si="8"/>
        <v>0</v>
      </c>
      <c r="AE20" s="209">
        <f t="shared" si="8"/>
        <v>0</v>
      </c>
      <c r="AF20" s="209">
        <f t="shared" si="8"/>
        <v>0</v>
      </c>
      <c r="AG20" s="209">
        <f t="shared" si="8"/>
        <v>0</v>
      </c>
      <c r="AH20" s="209">
        <f t="shared" si="8"/>
        <v>0</v>
      </c>
      <c r="AI20" s="209">
        <f t="shared" si="8"/>
        <v>0</v>
      </c>
      <c r="AJ20" s="209">
        <f t="shared" si="8"/>
        <v>0</v>
      </c>
      <c r="AK20" s="209">
        <f t="shared" si="8"/>
        <v>0</v>
      </c>
      <c r="AL20" s="209">
        <f t="shared" si="8"/>
        <v>0</v>
      </c>
      <c r="AM20" s="209">
        <f t="shared" si="8"/>
        <v>0</v>
      </c>
      <c r="AN20" s="209">
        <f t="shared" si="8"/>
        <v>0</v>
      </c>
      <c r="AO20" s="209">
        <f t="shared" si="8"/>
        <v>0</v>
      </c>
      <c r="AP20" s="209">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145</v>
      </c>
      <c r="C22" s="200">
        <f t="shared" ref="C22:AP22" si="9">IF(C2&lt;analysis_period,PropertyTaxAssessedValue*(1-prop_tax_assessed_decline/100)^(C2-1),0)</f>
        <v>38046976</v>
      </c>
      <c r="D22" s="200">
        <f t="shared" si="9"/>
        <v>38046976</v>
      </c>
      <c r="E22" s="200">
        <f t="shared" si="9"/>
        <v>38046976</v>
      </c>
      <c r="F22" s="200">
        <f t="shared" si="9"/>
        <v>38046976</v>
      </c>
      <c r="G22" s="200">
        <f t="shared" si="9"/>
        <v>38046976</v>
      </c>
      <c r="H22" s="200">
        <f t="shared" si="9"/>
        <v>38046976</v>
      </c>
      <c r="I22" s="200">
        <f t="shared" si="9"/>
        <v>38046976</v>
      </c>
      <c r="J22" s="200">
        <f t="shared" si="9"/>
        <v>38046976</v>
      </c>
      <c r="K22" s="200">
        <f t="shared" si="9"/>
        <v>38046976</v>
      </c>
      <c r="L22" s="200">
        <f t="shared" si="9"/>
        <v>38046976</v>
      </c>
      <c r="M22" s="200">
        <f t="shared" si="9"/>
        <v>38046976</v>
      </c>
      <c r="N22" s="200">
        <f t="shared" si="9"/>
        <v>38046976</v>
      </c>
      <c r="O22" s="200">
        <f t="shared" si="9"/>
        <v>38046976</v>
      </c>
      <c r="P22" s="200">
        <f t="shared" si="9"/>
        <v>38046976</v>
      </c>
      <c r="Q22" s="200">
        <f t="shared" si="9"/>
        <v>38046976</v>
      </c>
      <c r="R22" s="200">
        <f t="shared" si="9"/>
        <v>38046976</v>
      </c>
      <c r="S22" s="200">
        <f t="shared" si="9"/>
        <v>38046976</v>
      </c>
      <c r="T22" s="200">
        <f t="shared" si="9"/>
        <v>38046976</v>
      </c>
      <c r="U22" s="200">
        <f t="shared" si="9"/>
        <v>38046976</v>
      </c>
      <c r="V22" s="200">
        <f t="shared" si="9"/>
        <v>38046976</v>
      </c>
      <c r="W22" s="200">
        <f t="shared" si="9"/>
        <v>38046976</v>
      </c>
      <c r="X22" s="200">
        <f t="shared" si="9"/>
        <v>38046976</v>
      </c>
      <c r="Y22" s="200">
        <f t="shared" si="9"/>
        <v>38046976</v>
      </c>
      <c r="Z22" s="200">
        <f t="shared" si="9"/>
        <v>38046976</v>
      </c>
      <c r="AA22" s="200">
        <f t="shared" si="9"/>
        <v>0</v>
      </c>
      <c r="AB22" s="200">
        <f t="shared" si="9"/>
        <v>0</v>
      </c>
      <c r="AC22" s="200">
        <f t="shared" si="9"/>
        <v>0</v>
      </c>
      <c r="AD22" s="200">
        <f t="shared" si="9"/>
        <v>0</v>
      </c>
      <c r="AE22" s="200">
        <f t="shared" si="9"/>
        <v>0</v>
      </c>
      <c r="AF22" s="200">
        <f t="shared" si="9"/>
        <v>0</v>
      </c>
      <c r="AG22" s="200">
        <f t="shared" si="9"/>
        <v>0</v>
      </c>
      <c r="AH22" s="200">
        <f t="shared" si="9"/>
        <v>0</v>
      </c>
      <c r="AI22" s="200">
        <f t="shared" si="9"/>
        <v>0</v>
      </c>
      <c r="AJ22" s="200">
        <f t="shared" si="9"/>
        <v>0</v>
      </c>
      <c r="AK22" s="200">
        <f t="shared" si="9"/>
        <v>0</v>
      </c>
      <c r="AL22" s="200">
        <f t="shared" si="9"/>
        <v>0</v>
      </c>
      <c r="AM22" s="200">
        <f t="shared" si="9"/>
        <v>0</v>
      </c>
      <c r="AN22" s="200">
        <f t="shared" si="9"/>
        <v>0</v>
      </c>
      <c r="AO22" s="200">
        <f t="shared" si="9"/>
        <v>0</v>
      </c>
      <c r="AP22" s="200">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301</v>
      </c>
      <c r="C24" s="21"/>
      <c r="D24" s="29"/>
      <c r="E24" s="29"/>
      <c r="F24" s="29"/>
      <c r="G24" s="29"/>
      <c r="H24" s="29"/>
      <c r="I24" s="29"/>
      <c r="J24" s="29"/>
      <c r="K24" s="29"/>
      <c r="L24" s="29"/>
      <c r="M24" s="29"/>
      <c r="N24" s="29"/>
      <c r="O24" s="29"/>
      <c r="P24" s="29"/>
      <c r="Q24" s="29"/>
      <c r="R24" s="29"/>
      <c r="S24" s="29"/>
    </row>
    <row r="25" spans="1:42" x14ac:dyDescent="0.2">
      <c r="A25" s="4" t="s">
        <v>276</v>
      </c>
      <c r="C25" s="21"/>
      <c r="D25" s="29"/>
      <c r="E25" s="29"/>
      <c r="F25" s="29"/>
      <c r="G25" s="29"/>
      <c r="H25" s="29"/>
      <c r="I25" s="29"/>
      <c r="J25" s="29"/>
      <c r="K25" s="29"/>
      <c r="L25" s="29"/>
      <c r="M25" s="29"/>
      <c r="N25" s="29"/>
      <c r="O25" s="29"/>
      <c r="P25" s="29"/>
      <c r="Q25" s="29"/>
      <c r="R25" s="29"/>
      <c r="S25" s="29"/>
    </row>
    <row r="26" spans="1:42" x14ac:dyDescent="0.2">
      <c r="A26" s="122" t="s">
        <v>277</v>
      </c>
      <c r="C26" s="200">
        <f t="shared" ref="C26:AP26" si="10">IF(C$2&lt;=analysis_period,om_fixed*(1+inflation_rate/100+om_fixed_escal/100)^B$2,0)</f>
        <v>0</v>
      </c>
      <c r="D26" s="200">
        <f t="shared" si="10"/>
        <v>0</v>
      </c>
      <c r="E26" s="200">
        <f t="shared" si="10"/>
        <v>0</v>
      </c>
      <c r="F26" s="200">
        <f t="shared" si="10"/>
        <v>0</v>
      </c>
      <c r="G26" s="200">
        <f t="shared" si="10"/>
        <v>0</v>
      </c>
      <c r="H26" s="200">
        <f t="shared" si="10"/>
        <v>0</v>
      </c>
      <c r="I26" s="200">
        <f t="shared" si="10"/>
        <v>0</v>
      </c>
      <c r="J26" s="200">
        <f t="shared" si="10"/>
        <v>0</v>
      </c>
      <c r="K26" s="200">
        <f t="shared" si="10"/>
        <v>0</v>
      </c>
      <c r="L26" s="200">
        <f t="shared" si="10"/>
        <v>0</v>
      </c>
      <c r="M26" s="200">
        <f t="shared" si="10"/>
        <v>0</v>
      </c>
      <c r="N26" s="200">
        <f t="shared" si="10"/>
        <v>0</v>
      </c>
      <c r="O26" s="200">
        <f t="shared" si="10"/>
        <v>0</v>
      </c>
      <c r="P26" s="200">
        <f t="shared" si="10"/>
        <v>0</v>
      </c>
      <c r="Q26" s="200">
        <f t="shared" si="10"/>
        <v>0</v>
      </c>
      <c r="R26" s="200">
        <f t="shared" si="10"/>
        <v>0</v>
      </c>
      <c r="S26" s="200">
        <f t="shared" si="10"/>
        <v>0</v>
      </c>
      <c r="T26" s="200">
        <f t="shared" si="10"/>
        <v>0</v>
      </c>
      <c r="U26" s="200">
        <f t="shared" si="10"/>
        <v>0</v>
      </c>
      <c r="V26" s="200">
        <f t="shared" si="10"/>
        <v>0</v>
      </c>
      <c r="W26" s="200">
        <f t="shared" si="10"/>
        <v>0</v>
      </c>
      <c r="X26" s="200">
        <f t="shared" si="10"/>
        <v>0</v>
      </c>
      <c r="Y26" s="200">
        <f t="shared" si="10"/>
        <v>0</v>
      </c>
      <c r="Z26" s="200">
        <f t="shared" si="10"/>
        <v>0</v>
      </c>
      <c r="AA26" s="200">
        <f t="shared" si="10"/>
        <v>0</v>
      </c>
      <c r="AB26" s="200">
        <f t="shared" si="10"/>
        <v>0</v>
      </c>
      <c r="AC26" s="200">
        <f t="shared" si="10"/>
        <v>0</v>
      </c>
      <c r="AD26" s="200">
        <f t="shared" si="10"/>
        <v>0</v>
      </c>
      <c r="AE26" s="200">
        <f t="shared" si="10"/>
        <v>0</v>
      </c>
      <c r="AF26" s="200">
        <f t="shared" si="10"/>
        <v>0</v>
      </c>
      <c r="AG26" s="200">
        <f t="shared" si="10"/>
        <v>0</v>
      </c>
      <c r="AH26" s="200">
        <f t="shared" si="10"/>
        <v>0</v>
      </c>
      <c r="AI26" s="200">
        <f t="shared" si="10"/>
        <v>0</v>
      </c>
      <c r="AJ26" s="200">
        <f t="shared" si="10"/>
        <v>0</v>
      </c>
      <c r="AK26" s="200">
        <f t="shared" si="10"/>
        <v>0</v>
      </c>
      <c r="AL26" s="200">
        <f t="shared" si="10"/>
        <v>0</v>
      </c>
      <c r="AM26" s="200">
        <f t="shared" si="10"/>
        <v>0</v>
      </c>
      <c r="AN26" s="200">
        <f t="shared" si="10"/>
        <v>0</v>
      </c>
      <c r="AO26" s="200">
        <f t="shared" si="10"/>
        <v>0</v>
      </c>
      <c r="AP26" s="200">
        <f t="shared" si="10"/>
        <v>0</v>
      </c>
    </row>
    <row r="27" spans="1:42" x14ac:dyDescent="0.2">
      <c r="A27" s="122" t="s">
        <v>278</v>
      </c>
    </row>
    <row r="28" spans="1:42" x14ac:dyDescent="0.2">
      <c r="A28" s="124" t="s">
        <v>11</v>
      </c>
      <c r="C28" s="207">
        <f t="shared" ref="C28:AP28" si="11">IF(C$2&lt;=analysis_period,system_capacity,0)</f>
        <v>19998.400000000001</v>
      </c>
      <c r="D28" s="207">
        <f t="shared" si="11"/>
        <v>19998.400000000001</v>
      </c>
      <c r="E28" s="207">
        <f t="shared" si="11"/>
        <v>19998.400000000001</v>
      </c>
      <c r="F28" s="207">
        <f t="shared" si="11"/>
        <v>19998.400000000001</v>
      </c>
      <c r="G28" s="207">
        <f t="shared" si="11"/>
        <v>19998.400000000001</v>
      </c>
      <c r="H28" s="207">
        <f t="shared" si="11"/>
        <v>19998.400000000001</v>
      </c>
      <c r="I28" s="207">
        <f t="shared" si="11"/>
        <v>19998.400000000001</v>
      </c>
      <c r="J28" s="207">
        <f t="shared" si="11"/>
        <v>19998.400000000001</v>
      </c>
      <c r="K28" s="207">
        <f t="shared" si="11"/>
        <v>19998.400000000001</v>
      </c>
      <c r="L28" s="207">
        <f t="shared" si="11"/>
        <v>19998.400000000001</v>
      </c>
      <c r="M28" s="207">
        <f t="shared" si="11"/>
        <v>19998.400000000001</v>
      </c>
      <c r="N28" s="207">
        <f t="shared" si="11"/>
        <v>19998.400000000001</v>
      </c>
      <c r="O28" s="207">
        <f t="shared" si="11"/>
        <v>19998.400000000001</v>
      </c>
      <c r="P28" s="207">
        <f t="shared" si="11"/>
        <v>19998.400000000001</v>
      </c>
      <c r="Q28" s="207">
        <f t="shared" si="11"/>
        <v>19998.400000000001</v>
      </c>
      <c r="R28" s="207">
        <f t="shared" si="11"/>
        <v>19998.400000000001</v>
      </c>
      <c r="S28" s="207">
        <f t="shared" si="11"/>
        <v>19998.400000000001</v>
      </c>
      <c r="T28" s="207">
        <f t="shared" si="11"/>
        <v>19998.400000000001</v>
      </c>
      <c r="U28" s="207">
        <f t="shared" si="11"/>
        <v>19998.400000000001</v>
      </c>
      <c r="V28" s="207">
        <f t="shared" si="11"/>
        <v>19998.400000000001</v>
      </c>
      <c r="W28" s="207">
        <f t="shared" si="11"/>
        <v>19998.400000000001</v>
      </c>
      <c r="X28" s="207">
        <f t="shared" si="11"/>
        <v>19998.400000000001</v>
      </c>
      <c r="Y28" s="207">
        <f t="shared" si="11"/>
        <v>19998.400000000001</v>
      </c>
      <c r="Z28" s="207">
        <f t="shared" si="11"/>
        <v>19998.400000000001</v>
      </c>
      <c r="AA28" s="207">
        <f t="shared" si="11"/>
        <v>19998.400000000001</v>
      </c>
      <c r="AB28" s="207">
        <f t="shared" si="11"/>
        <v>0</v>
      </c>
      <c r="AC28" s="207">
        <f t="shared" si="11"/>
        <v>0</v>
      </c>
      <c r="AD28" s="207">
        <f t="shared" si="11"/>
        <v>0</v>
      </c>
      <c r="AE28" s="207">
        <f t="shared" si="11"/>
        <v>0</v>
      </c>
      <c r="AF28" s="207">
        <f t="shared" si="11"/>
        <v>0</v>
      </c>
      <c r="AG28" s="207">
        <f t="shared" si="11"/>
        <v>0</v>
      </c>
      <c r="AH28" s="207">
        <f t="shared" si="11"/>
        <v>0</v>
      </c>
      <c r="AI28" s="207">
        <f t="shared" si="11"/>
        <v>0</v>
      </c>
      <c r="AJ28" s="207">
        <f t="shared" si="11"/>
        <v>0</v>
      </c>
      <c r="AK28" s="207">
        <f t="shared" si="11"/>
        <v>0</v>
      </c>
      <c r="AL28" s="207">
        <f t="shared" si="11"/>
        <v>0</v>
      </c>
      <c r="AM28" s="207">
        <f t="shared" si="11"/>
        <v>0</v>
      </c>
      <c r="AN28" s="207">
        <f t="shared" si="11"/>
        <v>0</v>
      </c>
      <c r="AO28" s="207">
        <f t="shared" si="11"/>
        <v>0</v>
      </c>
      <c r="AP28" s="207">
        <f t="shared" si="11"/>
        <v>0</v>
      </c>
    </row>
    <row r="29" spans="1:42" x14ac:dyDescent="0.2">
      <c r="A29" s="124" t="s">
        <v>12</v>
      </c>
      <c r="C29" s="204">
        <f t="shared" ref="C29:AP29" si="12">IF(C$2&lt;=analysis_period,om_capacity*(1+inflation_rate/100+om_capacity_escal/100)^B$2,0)</f>
        <v>15</v>
      </c>
      <c r="D29" s="204">
        <f t="shared" si="12"/>
        <v>15.374999999999998</v>
      </c>
      <c r="E29" s="204">
        <f t="shared" si="12"/>
        <v>15.759374999999999</v>
      </c>
      <c r="F29" s="204">
        <f t="shared" si="12"/>
        <v>16.153359374999997</v>
      </c>
      <c r="G29" s="204">
        <f t="shared" si="12"/>
        <v>16.557193359374995</v>
      </c>
      <c r="H29" s="204">
        <f t="shared" si="12"/>
        <v>16.971123193359368</v>
      </c>
      <c r="I29" s="204">
        <f t="shared" si="12"/>
        <v>17.395401273193354</v>
      </c>
      <c r="J29" s="204">
        <f t="shared" si="12"/>
        <v>17.830286305023186</v>
      </c>
      <c r="K29" s="204">
        <f t="shared" si="12"/>
        <v>18.276043462648765</v>
      </c>
      <c r="L29" s="204">
        <f t="shared" si="12"/>
        <v>18.732944549214981</v>
      </c>
      <c r="M29" s="204">
        <f t="shared" si="12"/>
        <v>19.201268162945357</v>
      </c>
      <c r="N29" s="204">
        <f t="shared" si="12"/>
        <v>19.681299867018989</v>
      </c>
      <c r="O29" s="204">
        <f t="shared" si="12"/>
        <v>20.173332363694463</v>
      </c>
      <c r="P29" s="204">
        <f t="shared" si="12"/>
        <v>20.677665672786823</v>
      </c>
      <c r="Q29" s="204">
        <f t="shared" si="12"/>
        <v>21.194607314606493</v>
      </c>
      <c r="R29" s="204">
        <f t="shared" si="12"/>
        <v>21.724472497471659</v>
      </c>
      <c r="S29" s="204">
        <f t="shared" si="12"/>
        <v>22.267584309908447</v>
      </c>
      <c r="T29" s="204">
        <f t="shared" si="12"/>
        <v>22.824273917656154</v>
      </c>
      <c r="U29" s="204">
        <f t="shared" si="12"/>
        <v>23.394880765597559</v>
      </c>
      <c r="V29" s="204">
        <f t="shared" si="12"/>
        <v>23.979752784737499</v>
      </c>
      <c r="W29" s="204">
        <f t="shared" si="12"/>
        <v>24.579246604355934</v>
      </c>
      <c r="X29" s="204">
        <f t="shared" si="12"/>
        <v>25.193727769464829</v>
      </c>
      <c r="Y29" s="204">
        <f t="shared" si="12"/>
        <v>25.823570963701449</v>
      </c>
      <c r="Z29" s="204">
        <f t="shared" si="12"/>
        <v>26.469160237793986</v>
      </c>
      <c r="AA29" s="204">
        <f t="shared" si="12"/>
        <v>27.130889243738835</v>
      </c>
      <c r="AB29" s="204">
        <f t="shared" si="12"/>
        <v>0</v>
      </c>
      <c r="AC29" s="204">
        <f t="shared" si="12"/>
        <v>0</v>
      </c>
      <c r="AD29" s="204">
        <f t="shared" si="12"/>
        <v>0</v>
      </c>
      <c r="AE29" s="204">
        <f t="shared" si="12"/>
        <v>0</v>
      </c>
      <c r="AF29" s="204">
        <f t="shared" si="12"/>
        <v>0</v>
      </c>
      <c r="AG29" s="204">
        <f t="shared" si="12"/>
        <v>0</v>
      </c>
      <c r="AH29" s="204">
        <f t="shared" si="12"/>
        <v>0</v>
      </c>
      <c r="AI29" s="204">
        <f t="shared" si="12"/>
        <v>0</v>
      </c>
      <c r="AJ29" s="204">
        <f t="shared" si="12"/>
        <v>0</v>
      </c>
      <c r="AK29" s="204">
        <f t="shared" si="12"/>
        <v>0</v>
      </c>
      <c r="AL29" s="204">
        <f t="shared" si="12"/>
        <v>0</v>
      </c>
      <c r="AM29" s="204">
        <f t="shared" si="12"/>
        <v>0</v>
      </c>
      <c r="AN29" s="204">
        <f t="shared" si="12"/>
        <v>0</v>
      </c>
      <c r="AO29" s="204">
        <f t="shared" si="12"/>
        <v>0</v>
      </c>
      <c r="AP29" s="204">
        <f t="shared" si="12"/>
        <v>0</v>
      </c>
    </row>
    <row r="30" spans="1:42" x14ac:dyDescent="0.2">
      <c r="A30" s="124" t="s">
        <v>147</v>
      </c>
      <c r="C30" s="200">
        <f>C28*C29</f>
        <v>299976</v>
      </c>
      <c r="D30" s="200">
        <f t="shared" ref="D30:AP30" si="13">D28*D29</f>
        <v>307475.39999999997</v>
      </c>
      <c r="E30" s="200">
        <f t="shared" si="13"/>
        <v>315162.28499999997</v>
      </c>
      <c r="F30" s="200">
        <f t="shared" si="13"/>
        <v>323041.34212499997</v>
      </c>
      <c r="G30" s="200">
        <f t="shared" si="13"/>
        <v>331117.37567812495</v>
      </c>
      <c r="H30" s="200">
        <f t="shared" si="13"/>
        <v>339395.31007007801</v>
      </c>
      <c r="I30" s="200">
        <f t="shared" si="13"/>
        <v>347880.19282182999</v>
      </c>
      <c r="J30" s="200">
        <f t="shared" si="13"/>
        <v>356577.19764237572</v>
      </c>
      <c r="K30" s="200">
        <f t="shared" si="13"/>
        <v>365491.6275834351</v>
      </c>
      <c r="L30" s="200">
        <f t="shared" si="13"/>
        <v>374628.91827302088</v>
      </c>
      <c r="M30" s="200">
        <f t="shared" si="13"/>
        <v>383994.64122984646</v>
      </c>
      <c r="N30" s="200">
        <f t="shared" si="13"/>
        <v>393594.5072605926</v>
      </c>
      <c r="O30" s="200">
        <f t="shared" si="13"/>
        <v>403434.36994210735</v>
      </c>
      <c r="P30" s="200">
        <f t="shared" si="13"/>
        <v>413520.22919066</v>
      </c>
      <c r="Q30" s="200">
        <f t="shared" si="13"/>
        <v>423858.2349204265</v>
      </c>
      <c r="R30" s="200">
        <f t="shared" si="13"/>
        <v>434454.69079343724</v>
      </c>
      <c r="S30" s="200">
        <f t="shared" si="13"/>
        <v>445316.05806327309</v>
      </c>
      <c r="T30" s="200">
        <f t="shared" si="13"/>
        <v>456448.95951485488</v>
      </c>
      <c r="U30" s="200">
        <f t="shared" si="13"/>
        <v>467860.18350272626</v>
      </c>
      <c r="V30" s="200">
        <f t="shared" si="13"/>
        <v>479556.68809029442</v>
      </c>
      <c r="W30" s="200">
        <f t="shared" si="13"/>
        <v>491545.60529255174</v>
      </c>
      <c r="X30" s="200">
        <f t="shared" si="13"/>
        <v>503834.24542486545</v>
      </c>
      <c r="Y30" s="200">
        <f t="shared" si="13"/>
        <v>516430.10156048712</v>
      </c>
      <c r="Z30" s="200">
        <f t="shared" si="13"/>
        <v>529340.85409949929</v>
      </c>
      <c r="AA30" s="200">
        <f t="shared" si="13"/>
        <v>542574.37545198679</v>
      </c>
      <c r="AB30" s="200">
        <f t="shared" si="13"/>
        <v>0</v>
      </c>
      <c r="AC30" s="200">
        <f t="shared" si="13"/>
        <v>0</v>
      </c>
      <c r="AD30" s="200">
        <f t="shared" si="13"/>
        <v>0</v>
      </c>
      <c r="AE30" s="200">
        <f t="shared" si="13"/>
        <v>0</v>
      </c>
      <c r="AF30" s="200">
        <f t="shared" si="13"/>
        <v>0</v>
      </c>
      <c r="AG30" s="200">
        <f t="shared" si="13"/>
        <v>0</v>
      </c>
      <c r="AH30" s="200">
        <f t="shared" si="13"/>
        <v>0</v>
      </c>
      <c r="AI30" s="200">
        <f t="shared" si="13"/>
        <v>0</v>
      </c>
      <c r="AJ30" s="200">
        <f t="shared" si="13"/>
        <v>0</v>
      </c>
      <c r="AK30" s="200">
        <f t="shared" si="13"/>
        <v>0</v>
      </c>
      <c r="AL30" s="200">
        <f t="shared" si="13"/>
        <v>0</v>
      </c>
      <c r="AM30" s="200">
        <f t="shared" si="13"/>
        <v>0</v>
      </c>
      <c r="AN30" s="200">
        <f t="shared" si="13"/>
        <v>0</v>
      </c>
      <c r="AO30" s="200">
        <f t="shared" si="13"/>
        <v>0</v>
      </c>
      <c r="AP30" s="200">
        <f t="shared" si="13"/>
        <v>0</v>
      </c>
    </row>
    <row r="31" spans="1:42" x14ac:dyDescent="0.2">
      <c r="A31" s="122" t="s">
        <v>279</v>
      </c>
    </row>
    <row r="32" spans="1:42" x14ac:dyDescent="0.2">
      <c r="A32" s="124" t="s">
        <v>14</v>
      </c>
      <c r="C32" s="200">
        <f>C5/1000</f>
        <v>37211.991999999998</v>
      </c>
      <c r="D32" s="200">
        <f t="shared" ref="D32:AP32" si="14">D5/1000</f>
        <v>37025.932000000001</v>
      </c>
      <c r="E32" s="200">
        <f t="shared" si="14"/>
        <v>36840.803999999996</v>
      </c>
      <c r="F32" s="200">
        <f t="shared" si="14"/>
        <v>36656.6</v>
      </c>
      <c r="G32" s="200">
        <f t="shared" si="14"/>
        <v>36473.315999999999</v>
      </c>
      <c r="H32" s="200">
        <f t="shared" si="14"/>
        <v>36290.947999999997</v>
      </c>
      <c r="I32" s="200">
        <f t="shared" si="14"/>
        <v>36109.495999999999</v>
      </c>
      <c r="J32" s="200">
        <f t="shared" si="14"/>
        <v>35928.947999999997</v>
      </c>
      <c r="K32" s="200">
        <f t="shared" si="14"/>
        <v>35749.303999999996</v>
      </c>
      <c r="L32" s="200">
        <f t="shared" si="14"/>
        <v>35570.555999999997</v>
      </c>
      <c r="M32" s="200">
        <f t="shared" si="14"/>
        <v>35392.703999999998</v>
      </c>
      <c r="N32" s="200">
        <f t="shared" si="14"/>
        <v>35215.74</v>
      </c>
      <c r="O32" s="200">
        <f t="shared" si="14"/>
        <v>35039.660000000003</v>
      </c>
      <c r="P32" s="200">
        <f t="shared" si="14"/>
        <v>34864.464</v>
      </c>
      <c r="Q32" s="200">
        <f t="shared" si="14"/>
        <v>34690.14</v>
      </c>
      <c r="R32" s="200">
        <f t="shared" si="14"/>
        <v>34516.688000000002</v>
      </c>
      <c r="S32" s="200">
        <f t="shared" si="14"/>
        <v>34344.108</v>
      </c>
      <c r="T32" s="200">
        <f t="shared" si="14"/>
        <v>34172.383999999998</v>
      </c>
      <c r="U32" s="200">
        <f t="shared" si="14"/>
        <v>34001.523999999998</v>
      </c>
      <c r="V32" s="200">
        <f t="shared" si="14"/>
        <v>33831.516000000003</v>
      </c>
      <c r="W32" s="200">
        <f t="shared" si="14"/>
        <v>33662.36</v>
      </c>
      <c r="X32" s="200">
        <f t="shared" si="14"/>
        <v>33494.046000000002</v>
      </c>
      <c r="Y32" s="200">
        <f t="shared" si="14"/>
        <v>33326.576000000001</v>
      </c>
      <c r="Z32" s="200">
        <f t="shared" si="14"/>
        <v>33159.944000000003</v>
      </c>
      <c r="AA32" s="200">
        <f t="shared" si="14"/>
        <v>32994.144</v>
      </c>
      <c r="AB32" s="200">
        <f t="shared" si="14"/>
        <v>0</v>
      </c>
      <c r="AC32" s="200">
        <f t="shared" si="14"/>
        <v>0</v>
      </c>
      <c r="AD32" s="200">
        <f t="shared" si="14"/>
        <v>0</v>
      </c>
      <c r="AE32" s="200">
        <f t="shared" si="14"/>
        <v>0</v>
      </c>
      <c r="AF32" s="200">
        <f t="shared" si="14"/>
        <v>0</v>
      </c>
      <c r="AG32" s="200">
        <f t="shared" si="14"/>
        <v>0</v>
      </c>
      <c r="AH32" s="200">
        <f t="shared" si="14"/>
        <v>0</v>
      </c>
      <c r="AI32" s="200">
        <f t="shared" si="14"/>
        <v>0</v>
      </c>
      <c r="AJ32" s="200">
        <f t="shared" si="14"/>
        <v>0</v>
      </c>
      <c r="AK32" s="200">
        <f t="shared" si="14"/>
        <v>0</v>
      </c>
      <c r="AL32" s="200">
        <f t="shared" si="14"/>
        <v>0</v>
      </c>
      <c r="AM32" s="200">
        <f t="shared" si="14"/>
        <v>0</v>
      </c>
      <c r="AN32" s="200">
        <f t="shared" si="14"/>
        <v>0</v>
      </c>
      <c r="AO32" s="200">
        <f t="shared" si="14"/>
        <v>0</v>
      </c>
      <c r="AP32" s="200">
        <f t="shared" si="14"/>
        <v>0</v>
      </c>
    </row>
    <row r="33" spans="1:42" x14ac:dyDescent="0.2">
      <c r="A33" s="124" t="s">
        <v>15</v>
      </c>
      <c r="C33" s="204">
        <f t="shared" ref="C33:AP33" si="15">IF(C$2&lt;=analysis_period,om_production*(1+inflation_rate/100+om_production_escal/100)^B$2,0)</f>
        <v>0</v>
      </c>
      <c r="D33" s="204">
        <f t="shared" si="15"/>
        <v>0</v>
      </c>
      <c r="E33" s="204">
        <f t="shared" si="15"/>
        <v>0</v>
      </c>
      <c r="F33" s="204">
        <f t="shared" si="15"/>
        <v>0</v>
      </c>
      <c r="G33" s="204">
        <f t="shared" si="15"/>
        <v>0</v>
      </c>
      <c r="H33" s="204">
        <f t="shared" si="15"/>
        <v>0</v>
      </c>
      <c r="I33" s="204">
        <f t="shared" si="15"/>
        <v>0</v>
      </c>
      <c r="J33" s="204">
        <f t="shared" si="15"/>
        <v>0</v>
      </c>
      <c r="K33" s="204">
        <f t="shared" si="15"/>
        <v>0</v>
      </c>
      <c r="L33" s="204">
        <f t="shared" si="15"/>
        <v>0</v>
      </c>
      <c r="M33" s="204">
        <f t="shared" si="15"/>
        <v>0</v>
      </c>
      <c r="N33" s="204">
        <f t="shared" si="15"/>
        <v>0</v>
      </c>
      <c r="O33" s="204">
        <f t="shared" si="15"/>
        <v>0</v>
      </c>
      <c r="P33" s="204">
        <f t="shared" si="15"/>
        <v>0</v>
      </c>
      <c r="Q33" s="204">
        <f t="shared" si="15"/>
        <v>0</v>
      </c>
      <c r="R33" s="204">
        <f t="shared" si="15"/>
        <v>0</v>
      </c>
      <c r="S33" s="204">
        <f t="shared" si="15"/>
        <v>0</v>
      </c>
      <c r="T33" s="204">
        <f t="shared" si="15"/>
        <v>0</v>
      </c>
      <c r="U33" s="204">
        <f t="shared" si="15"/>
        <v>0</v>
      </c>
      <c r="V33" s="204">
        <f t="shared" si="15"/>
        <v>0</v>
      </c>
      <c r="W33" s="204">
        <f t="shared" si="15"/>
        <v>0</v>
      </c>
      <c r="X33" s="204">
        <f t="shared" si="15"/>
        <v>0</v>
      </c>
      <c r="Y33" s="204">
        <f t="shared" si="15"/>
        <v>0</v>
      </c>
      <c r="Z33" s="204">
        <f t="shared" si="15"/>
        <v>0</v>
      </c>
      <c r="AA33" s="204">
        <f t="shared" si="15"/>
        <v>0</v>
      </c>
      <c r="AB33" s="204">
        <f t="shared" si="15"/>
        <v>0</v>
      </c>
      <c r="AC33" s="204">
        <f t="shared" si="15"/>
        <v>0</v>
      </c>
      <c r="AD33" s="204">
        <f t="shared" si="15"/>
        <v>0</v>
      </c>
      <c r="AE33" s="204">
        <f t="shared" si="15"/>
        <v>0</v>
      </c>
      <c r="AF33" s="204">
        <f t="shared" si="15"/>
        <v>0</v>
      </c>
      <c r="AG33" s="204">
        <f t="shared" si="15"/>
        <v>0</v>
      </c>
      <c r="AH33" s="204">
        <f t="shared" si="15"/>
        <v>0</v>
      </c>
      <c r="AI33" s="204">
        <f t="shared" si="15"/>
        <v>0</v>
      </c>
      <c r="AJ33" s="204">
        <f t="shared" si="15"/>
        <v>0</v>
      </c>
      <c r="AK33" s="204">
        <f t="shared" si="15"/>
        <v>0</v>
      </c>
      <c r="AL33" s="204">
        <f t="shared" si="15"/>
        <v>0</v>
      </c>
      <c r="AM33" s="204">
        <f t="shared" si="15"/>
        <v>0</v>
      </c>
      <c r="AN33" s="204">
        <f t="shared" si="15"/>
        <v>0</v>
      </c>
      <c r="AO33" s="204">
        <f t="shared" si="15"/>
        <v>0</v>
      </c>
      <c r="AP33" s="204">
        <f t="shared" si="15"/>
        <v>0</v>
      </c>
    </row>
    <row r="34" spans="1:42" x14ac:dyDescent="0.2">
      <c r="A34" s="124" t="s">
        <v>146</v>
      </c>
      <c r="C34" s="208">
        <f>C32*C33</f>
        <v>0</v>
      </c>
      <c r="D34" s="208">
        <f t="shared" ref="D34:AP34" si="16">D32*D33</f>
        <v>0</v>
      </c>
      <c r="E34" s="208">
        <f t="shared" si="16"/>
        <v>0</v>
      </c>
      <c r="F34" s="208">
        <f t="shared" si="16"/>
        <v>0</v>
      </c>
      <c r="G34" s="208">
        <f t="shared" si="16"/>
        <v>0</v>
      </c>
      <c r="H34" s="208">
        <f t="shared" si="16"/>
        <v>0</v>
      </c>
      <c r="I34" s="208">
        <f t="shared" si="16"/>
        <v>0</v>
      </c>
      <c r="J34" s="208">
        <f t="shared" si="16"/>
        <v>0</v>
      </c>
      <c r="K34" s="208">
        <f t="shared" si="16"/>
        <v>0</v>
      </c>
      <c r="L34" s="208">
        <f t="shared" si="16"/>
        <v>0</v>
      </c>
      <c r="M34" s="208">
        <f t="shared" si="16"/>
        <v>0</v>
      </c>
      <c r="N34" s="208">
        <f t="shared" si="16"/>
        <v>0</v>
      </c>
      <c r="O34" s="208">
        <f t="shared" si="16"/>
        <v>0</v>
      </c>
      <c r="P34" s="208">
        <f t="shared" si="16"/>
        <v>0</v>
      </c>
      <c r="Q34" s="208">
        <f t="shared" si="16"/>
        <v>0</v>
      </c>
      <c r="R34" s="208">
        <f t="shared" si="16"/>
        <v>0</v>
      </c>
      <c r="S34" s="208">
        <f t="shared" si="16"/>
        <v>0</v>
      </c>
      <c r="T34" s="208">
        <f t="shared" si="16"/>
        <v>0</v>
      </c>
      <c r="U34" s="208">
        <f t="shared" si="16"/>
        <v>0</v>
      </c>
      <c r="V34" s="208">
        <f t="shared" si="16"/>
        <v>0</v>
      </c>
      <c r="W34" s="208">
        <f t="shared" si="16"/>
        <v>0</v>
      </c>
      <c r="X34" s="208">
        <f t="shared" si="16"/>
        <v>0</v>
      </c>
      <c r="Y34" s="208">
        <f t="shared" si="16"/>
        <v>0</v>
      </c>
      <c r="Z34" s="208">
        <f t="shared" si="16"/>
        <v>0</v>
      </c>
      <c r="AA34" s="208">
        <f t="shared" si="16"/>
        <v>0</v>
      </c>
      <c r="AB34" s="208">
        <f t="shared" si="16"/>
        <v>0</v>
      </c>
      <c r="AC34" s="208">
        <f t="shared" si="16"/>
        <v>0</v>
      </c>
      <c r="AD34" s="208">
        <f t="shared" si="16"/>
        <v>0</v>
      </c>
      <c r="AE34" s="208">
        <f t="shared" si="16"/>
        <v>0</v>
      </c>
      <c r="AF34" s="208">
        <f t="shared" si="16"/>
        <v>0</v>
      </c>
      <c r="AG34" s="208">
        <f t="shared" si="16"/>
        <v>0</v>
      </c>
      <c r="AH34" s="208">
        <f t="shared" si="16"/>
        <v>0</v>
      </c>
      <c r="AI34" s="208">
        <f t="shared" si="16"/>
        <v>0</v>
      </c>
      <c r="AJ34" s="208">
        <f t="shared" si="16"/>
        <v>0</v>
      </c>
      <c r="AK34" s="208">
        <f t="shared" si="16"/>
        <v>0</v>
      </c>
      <c r="AL34" s="208">
        <f t="shared" si="16"/>
        <v>0</v>
      </c>
      <c r="AM34" s="208">
        <f t="shared" si="16"/>
        <v>0</v>
      </c>
      <c r="AN34" s="208">
        <f t="shared" si="16"/>
        <v>0</v>
      </c>
      <c r="AO34" s="208">
        <f t="shared" si="16"/>
        <v>0</v>
      </c>
      <c r="AP34" s="208">
        <f t="shared" si="16"/>
        <v>0</v>
      </c>
    </row>
    <row r="35" spans="1:42" x14ac:dyDescent="0.2">
      <c r="A35" s="122" t="s">
        <v>280</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row>
    <row r="36" spans="1:42" x14ac:dyDescent="0.2">
      <c r="A36" s="28" t="s">
        <v>281</v>
      </c>
      <c r="C36" s="195">
        <f t="shared" ref="C36:AP36" si="17">IF(C2&lt;analysis_period,om_fuel_cost*annual_fuel_usage/1000*system_heat_rate*(1+om_fuel_cost_escal/100+inflation_rate/100)^B2,0)</f>
        <v>0</v>
      </c>
      <c r="D36" s="195">
        <f t="shared" si="17"/>
        <v>0</v>
      </c>
      <c r="E36" s="195">
        <f t="shared" si="17"/>
        <v>0</v>
      </c>
      <c r="F36" s="195">
        <f t="shared" si="17"/>
        <v>0</v>
      </c>
      <c r="G36" s="195">
        <f t="shared" si="17"/>
        <v>0</v>
      </c>
      <c r="H36" s="195">
        <f t="shared" si="17"/>
        <v>0</v>
      </c>
      <c r="I36" s="195">
        <f t="shared" si="17"/>
        <v>0</v>
      </c>
      <c r="J36" s="195">
        <f t="shared" si="17"/>
        <v>0</v>
      </c>
      <c r="K36" s="195">
        <f t="shared" si="17"/>
        <v>0</v>
      </c>
      <c r="L36" s="195">
        <f t="shared" si="17"/>
        <v>0</v>
      </c>
      <c r="M36" s="195">
        <f t="shared" si="17"/>
        <v>0</v>
      </c>
      <c r="N36" s="195">
        <f t="shared" si="17"/>
        <v>0</v>
      </c>
      <c r="O36" s="195">
        <f t="shared" si="17"/>
        <v>0</v>
      </c>
      <c r="P36" s="195">
        <f t="shared" si="17"/>
        <v>0</v>
      </c>
      <c r="Q36" s="195">
        <f t="shared" si="17"/>
        <v>0</v>
      </c>
      <c r="R36" s="195">
        <f t="shared" si="17"/>
        <v>0</v>
      </c>
      <c r="S36" s="195">
        <f t="shared" si="17"/>
        <v>0</v>
      </c>
      <c r="T36" s="195">
        <f t="shared" si="17"/>
        <v>0</v>
      </c>
      <c r="U36" s="195">
        <f t="shared" si="17"/>
        <v>0</v>
      </c>
      <c r="V36" s="195">
        <f t="shared" si="17"/>
        <v>0</v>
      </c>
      <c r="W36" s="195">
        <f t="shared" si="17"/>
        <v>0</v>
      </c>
      <c r="X36" s="195">
        <f t="shared" si="17"/>
        <v>0</v>
      </c>
      <c r="Y36" s="195">
        <f t="shared" si="17"/>
        <v>0</v>
      </c>
      <c r="Z36" s="195">
        <f t="shared" si="17"/>
        <v>0</v>
      </c>
      <c r="AA36" s="195">
        <f t="shared" si="17"/>
        <v>0</v>
      </c>
      <c r="AB36" s="195">
        <f t="shared" si="17"/>
        <v>0</v>
      </c>
      <c r="AC36" s="195">
        <f t="shared" si="17"/>
        <v>0</v>
      </c>
      <c r="AD36" s="195">
        <f t="shared" si="17"/>
        <v>0</v>
      </c>
      <c r="AE36" s="195">
        <f t="shared" si="17"/>
        <v>0</v>
      </c>
      <c r="AF36" s="195">
        <f t="shared" si="17"/>
        <v>0</v>
      </c>
      <c r="AG36" s="195">
        <f t="shared" si="17"/>
        <v>0</v>
      </c>
      <c r="AH36" s="195">
        <f t="shared" si="17"/>
        <v>0</v>
      </c>
      <c r="AI36" s="195">
        <f t="shared" si="17"/>
        <v>0</v>
      </c>
      <c r="AJ36" s="195">
        <f t="shared" si="17"/>
        <v>0</v>
      </c>
      <c r="AK36" s="195">
        <f t="shared" si="17"/>
        <v>0</v>
      </c>
      <c r="AL36" s="195">
        <f t="shared" si="17"/>
        <v>0</v>
      </c>
      <c r="AM36" s="195">
        <f t="shared" si="17"/>
        <v>0</v>
      </c>
      <c r="AN36" s="195">
        <f t="shared" si="17"/>
        <v>0</v>
      </c>
      <c r="AO36" s="195">
        <f t="shared" si="17"/>
        <v>0</v>
      </c>
      <c r="AP36" s="195">
        <f t="shared" si="17"/>
        <v>0</v>
      </c>
    </row>
    <row r="37" spans="1:42" x14ac:dyDescent="0.2">
      <c r="A37" s="28" t="s">
        <v>282</v>
      </c>
      <c r="C37" s="195">
        <f t="shared" ref="C37:AP37" si="18">IF(C2&lt;analysis_period,om_opt_fuel_1_cost*om_opt_fuel_1_usage*(1+om_opt_fuel_1_cost_escal/100+inflation_rate/100)^B2,0)</f>
        <v>0</v>
      </c>
      <c r="D37" s="195">
        <f t="shared" si="18"/>
        <v>0</v>
      </c>
      <c r="E37" s="195">
        <f t="shared" si="18"/>
        <v>0</v>
      </c>
      <c r="F37" s="195">
        <f t="shared" si="18"/>
        <v>0</v>
      </c>
      <c r="G37" s="195">
        <f t="shared" si="18"/>
        <v>0</v>
      </c>
      <c r="H37" s="195">
        <f t="shared" si="18"/>
        <v>0</v>
      </c>
      <c r="I37" s="195">
        <f t="shared" si="18"/>
        <v>0</v>
      </c>
      <c r="J37" s="195">
        <f t="shared" si="18"/>
        <v>0</v>
      </c>
      <c r="K37" s="195">
        <f t="shared" si="18"/>
        <v>0</v>
      </c>
      <c r="L37" s="195">
        <f t="shared" si="18"/>
        <v>0</v>
      </c>
      <c r="M37" s="195">
        <f t="shared" si="18"/>
        <v>0</v>
      </c>
      <c r="N37" s="195">
        <f t="shared" si="18"/>
        <v>0</v>
      </c>
      <c r="O37" s="195">
        <f t="shared" si="18"/>
        <v>0</v>
      </c>
      <c r="P37" s="195">
        <f t="shared" si="18"/>
        <v>0</v>
      </c>
      <c r="Q37" s="195">
        <f t="shared" si="18"/>
        <v>0</v>
      </c>
      <c r="R37" s="195">
        <f t="shared" si="18"/>
        <v>0</v>
      </c>
      <c r="S37" s="195">
        <f t="shared" si="18"/>
        <v>0</v>
      </c>
      <c r="T37" s="195">
        <f t="shared" si="18"/>
        <v>0</v>
      </c>
      <c r="U37" s="195">
        <f t="shared" si="18"/>
        <v>0</v>
      </c>
      <c r="V37" s="195">
        <f t="shared" si="18"/>
        <v>0</v>
      </c>
      <c r="W37" s="195">
        <f t="shared" si="18"/>
        <v>0</v>
      </c>
      <c r="X37" s="195">
        <f t="shared" si="18"/>
        <v>0</v>
      </c>
      <c r="Y37" s="195">
        <f t="shared" si="18"/>
        <v>0</v>
      </c>
      <c r="Z37" s="195">
        <f t="shared" si="18"/>
        <v>0</v>
      </c>
      <c r="AA37" s="195">
        <f t="shared" si="18"/>
        <v>0</v>
      </c>
      <c r="AB37" s="195">
        <f t="shared" si="18"/>
        <v>0</v>
      </c>
      <c r="AC37" s="195">
        <f t="shared" si="18"/>
        <v>0</v>
      </c>
      <c r="AD37" s="195">
        <f t="shared" si="18"/>
        <v>0</v>
      </c>
      <c r="AE37" s="195">
        <f t="shared" si="18"/>
        <v>0</v>
      </c>
      <c r="AF37" s="195">
        <f t="shared" si="18"/>
        <v>0</v>
      </c>
      <c r="AG37" s="195">
        <f t="shared" si="18"/>
        <v>0</v>
      </c>
      <c r="AH37" s="195">
        <f t="shared" si="18"/>
        <v>0</v>
      </c>
      <c r="AI37" s="195">
        <f t="shared" si="18"/>
        <v>0</v>
      </c>
      <c r="AJ37" s="195">
        <f t="shared" si="18"/>
        <v>0</v>
      </c>
      <c r="AK37" s="195">
        <f t="shared" si="18"/>
        <v>0</v>
      </c>
      <c r="AL37" s="195">
        <f t="shared" si="18"/>
        <v>0</v>
      </c>
      <c r="AM37" s="195">
        <f t="shared" si="18"/>
        <v>0</v>
      </c>
      <c r="AN37" s="195">
        <f t="shared" si="18"/>
        <v>0</v>
      </c>
      <c r="AO37" s="195">
        <f t="shared" si="18"/>
        <v>0</v>
      </c>
      <c r="AP37" s="195">
        <f t="shared" si="18"/>
        <v>0</v>
      </c>
    </row>
    <row r="38" spans="1:42" x14ac:dyDescent="0.2">
      <c r="A38" s="28" t="s">
        <v>283</v>
      </c>
      <c r="C38" s="195">
        <f t="shared" ref="C38:AP38" si="19">IF(C2&lt;analysis_period,om_opt_fuel_2_cost*om_opt_fuel_2_usage*(1+om_opt_fuel_2_cost_escal/100+inflation_rate/100)^B2,0)</f>
        <v>0</v>
      </c>
      <c r="D38" s="195">
        <f t="shared" si="19"/>
        <v>0</v>
      </c>
      <c r="E38" s="195">
        <f t="shared" si="19"/>
        <v>0</v>
      </c>
      <c r="F38" s="195">
        <f t="shared" si="19"/>
        <v>0</v>
      </c>
      <c r="G38" s="195">
        <f t="shared" si="19"/>
        <v>0</v>
      </c>
      <c r="H38" s="195">
        <f t="shared" si="19"/>
        <v>0</v>
      </c>
      <c r="I38" s="195">
        <f t="shared" si="19"/>
        <v>0</v>
      </c>
      <c r="J38" s="195">
        <f t="shared" si="19"/>
        <v>0</v>
      </c>
      <c r="K38" s="195">
        <f t="shared" si="19"/>
        <v>0</v>
      </c>
      <c r="L38" s="195">
        <f t="shared" si="19"/>
        <v>0</v>
      </c>
      <c r="M38" s="195">
        <f t="shared" si="19"/>
        <v>0</v>
      </c>
      <c r="N38" s="195">
        <f t="shared" si="19"/>
        <v>0</v>
      </c>
      <c r="O38" s="195">
        <f t="shared" si="19"/>
        <v>0</v>
      </c>
      <c r="P38" s="195">
        <f t="shared" si="19"/>
        <v>0</v>
      </c>
      <c r="Q38" s="195">
        <f t="shared" si="19"/>
        <v>0</v>
      </c>
      <c r="R38" s="195">
        <f t="shared" si="19"/>
        <v>0</v>
      </c>
      <c r="S38" s="195">
        <f t="shared" si="19"/>
        <v>0</v>
      </c>
      <c r="T38" s="195">
        <f t="shared" si="19"/>
        <v>0</v>
      </c>
      <c r="U38" s="195">
        <f t="shared" si="19"/>
        <v>0</v>
      </c>
      <c r="V38" s="195">
        <f t="shared" si="19"/>
        <v>0</v>
      </c>
      <c r="W38" s="195">
        <f t="shared" si="19"/>
        <v>0</v>
      </c>
      <c r="X38" s="195">
        <f t="shared" si="19"/>
        <v>0</v>
      </c>
      <c r="Y38" s="195">
        <f t="shared" si="19"/>
        <v>0</v>
      </c>
      <c r="Z38" s="195">
        <f t="shared" si="19"/>
        <v>0</v>
      </c>
      <c r="AA38" s="195">
        <f t="shared" si="19"/>
        <v>0</v>
      </c>
      <c r="AB38" s="195">
        <f t="shared" si="19"/>
        <v>0</v>
      </c>
      <c r="AC38" s="195">
        <f t="shared" si="19"/>
        <v>0</v>
      </c>
      <c r="AD38" s="195">
        <f t="shared" si="19"/>
        <v>0</v>
      </c>
      <c r="AE38" s="195">
        <f t="shared" si="19"/>
        <v>0</v>
      </c>
      <c r="AF38" s="195">
        <f t="shared" si="19"/>
        <v>0</v>
      </c>
      <c r="AG38" s="195">
        <f t="shared" si="19"/>
        <v>0</v>
      </c>
      <c r="AH38" s="195">
        <f t="shared" si="19"/>
        <v>0</v>
      </c>
      <c r="AI38" s="195">
        <f t="shared" si="19"/>
        <v>0</v>
      </c>
      <c r="AJ38" s="195">
        <f t="shared" si="19"/>
        <v>0</v>
      </c>
      <c r="AK38" s="195">
        <f t="shared" si="19"/>
        <v>0</v>
      </c>
      <c r="AL38" s="195">
        <f t="shared" si="19"/>
        <v>0</v>
      </c>
      <c r="AM38" s="195">
        <f t="shared" si="19"/>
        <v>0</v>
      </c>
      <c r="AN38" s="195">
        <f t="shared" si="19"/>
        <v>0</v>
      </c>
      <c r="AO38" s="195">
        <f t="shared" si="19"/>
        <v>0</v>
      </c>
      <c r="AP38" s="195">
        <f t="shared" si="19"/>
        <v>0</v>
      </c>
    </row>
    <row r="39" spans="1:42" x14ac:dyDescent="0.2">
      <c r="A39" s="24" t="s">
        <v>0</v>
      </c>
      <c r="C39" s="200">
        <f t="shared" ref="C39:AP39" si="20">C22*property_tax_rate/100</f>
        <v>0</v>
      </c>
      <c r="D39" s="200">
        <f t="shared" si="20"/>
        <v>0</v>
      </c>
      <c r="E39" s="200">
        <f t="shared" si="20"/>
        <v>0</v>
      </c>
      <c r="F39" s="200">
        <f t="shared" si="20"/>
        <v>0</v>
      </c>
      <c r="G39" s="200">
        <f t="shared" si="20"/>
        <v>0</v>
      </c>
      <c r="H39" s="200">
        <f t="shared" si="20"/>
        <v>0</v>
      </c>
      <c r="I39" s="200">
        <f t="shared" si="20"/>
        <v>0</v>
      </c>
      <c r="J39" s="200">
        <f t="shared" si="20"/>
        <v>0</v>
      </c>
      <c r="K39" s="200">
        <f t="shared" si="20"/>
        <v>0</v>
      </c>
      <c r="L39" s="200">
        <f t="shared" si="20"/>
        <v>0</v>
      </c>
      <c r="M39" s="200">
        <f t="shared" si="20"/>
        <v>0</v>
      </c>
      <c r="N39" s="200">
        <f t="shared" si="20"/>
        <v>0</v>
      </c>
      <c r="O39" s="200">
        <f t="shared" si="20"/>
        <v>0</v>
      </c>
      <c r="P39" s="200">
        <f t="shared" si="20"/>
        <v>0</v>
      </c>
      <c r="Q39" s="200">
        <f t="shared" si="20"/>
        <v>0</v>
      </c>
      <c r="R39" s="200">
        <f t="shared" si="20"/>
        <v>0</v>
      </c>
      <c r="S39" s="200">
        <f t="shared" si="20"/>
        <v>0</v>
      </c>
      <c r="T39" s="200">
        <f t="shared" si="20"/>
        <v>0</v>
      </c>
      <c r="U39" s="200">
        <f t="shared" si="20"/>
        <v>0</v>
      </c>
      <c r="V39" s="200">
        <f t="shared" si="20"/>
        <v>0</v>
      </c>
      <c r="W39" s="200">
        <f t="shared" si="20"/>
        <v>0</v>
      </c>
      <c r="X39" s="200">
        <f t="shared" si="20"/>
        <v>0</v>
      </c>
      <c r="Y39" s="200">
        <f t="shared" si="20"/>
        <v>0</v>
      </c>
      <c r="Z39" s="200">
        <f t="shared" si="20"/>
        <v>0</v>
      </c>
      <c r="AA39" s="200">
        <f t="shared" si="20"/>
        <v>0</v>
      </c>
      <c r="AB39" s="200">
        <f t="shared" si="20"/>
        <v>0</v>
      </c>
      <c r="AC39" s="200">
        <f t="shared" si="20"/>
        <v>0</v>
      </c>
      <c r="AD39" s="200">
        <f t="shared" si="20"/>
        <v>0</v>
      </c>
      <c r="AE39" s="200">
        <f t="shared" si="20"/>
        <v>0</v>
      </c>
      <c r="AF39" s="200">
        <f t="shared" si="20"/>
        <v>0</v>
      </c>
      <c r="AG39" s="200">
        <f t="shared" si="20"/>
        <v>0</v>
      </c>
      <c r="AH39" s="200">
        <f t="shared" si="20"/>
        <v>0</v>
      </c>
      <c r="AI39" s="200">
        <f t="shared" si="20"/>
        <v>0</v>
      </c>
      <c r="AJ39" s="200">
        <f t="shared" si="20"/>
        <v>0</v>
      </c>
      <c r="AK39" s="200">
        <f t="shared" si="20"/>
        <v>0</v>
      </c>
      <c r="AL39" s="200">
        <f t="shared" si="20"/>
        <v>0</v>
      </c>
      <c r="AM39" s="200">
        <f t="shared" si="20"/>
        <v>0</v>
      </c>
      <c r="AN39" s="200">
        <f t="shared" si="20"/>
        <v>0</v>
      </c>
      <c r="AO39" s="200">
        <f t="shared" si="20"/>
        <v>0</v>
      </c>
      <c r="AP39" s="200">
        <f t="shared" si="20"/>
        <v>0</v>
      </c>
    </row>
    <row r="40" spans="1:42" x14ac:dyDescent="0.2">
      <c r="A40" s="24" t="s">
        <v>51</v>
      </c>
      <c r="C40" s="195">
        <f t="shared" ref="C40:AP40" si="21">IF(C$2&lt;=analysis_period,total_installed_cost*insurance_rate/100*(1+inflation_rate/100)^B$2,0)</f>
        <v>190234.88</v>
      </c>
      <c r="D40" s="195">
        <f t="shared" si="21"/>
        <v>194990.75199999998</v>
      </c>
      <c r="E40" s="195">
        <f t="shared" si="21"/>
        <v>199865.5208</v>
      </c>
      <c r="F40" s="195">
        <f t="shared" si="21"/>
        <v>204862.15881999998</v>
      </c>
      <c r="G40" s="195">
        <f t="shared" si="21"/>
        <v>209983.71279049997</v>
      </c>
      <c r="H40" s="195">
        <f t="shared" si="21"/>
        <v>215233.30561026244</v>
      </c>
      <c r="I40" s="195">
        <f t="shared" si="21"/>
        <v>220614.138250519</v>
      </c>
      <c r="J40" s="195">
        <f t="shared" si="21"/>
        <v>226129.49170678196</v>
      </c>
      <c r="K40" s="195">
        <f t="shared" si="21"/>
        <v>231782.7289994515</v>
      </c>
      <c r="L40" s="195">
        <f t="shared" si="21"/>
        <v>237577.29722443776</v>
      </c>
      <c r="M40" s="195">
        <f t="shared" si="21"/>
        <v>243516.72965504869</v>
      </c>
      <c r="N40" s="195">
        <f t="shared" si="21"/>
        <v>249604.6478964249</v>
      </c>
      <c r="O40" s="195">
        <f t="shared" si="21"/>
        <v>255844.76409383552</v>
      </c>
      <c r="P40" s="195">
        <f t="shared" si="21"/>
        <v>262240.88319618138</v>
      </c>
      <c r="Q40" s="195">
        <f t="shared" si="21"/>
        <v>268796.90527608589</v>
      </c>
      <c r="R40" s="195">
        <f t="shared" si="21"/>
        <v>275516.8279079881</v>
      </c>
      <c r="S40" s="195">
        <f t="shared" si="21"/>
        <v>282404.74860568775</v>
      </c>
      <c r="T40" s="195">
        <f t="shared" si="21"/>
        <v>289464.86732082989</v>
      </c>
      <c r="U40" s="195">
        <f t="shared" si="21"/>
        <v>296701.48900385067</v>
      </c>
      <c r="V40" s="195">
        <f t="shared" si="21"/>
        <v>304119.02622894692</v>
      </c>
      <c r="W40" s="195">
        <f t="shared" si="21"/>
        <v>311722.00188467058</v>
      </c>
      <c r="X40" s="195">
        <f t="shared" si="21"/>
        <v>319515.05193178728</v>
      </c>
      <c r="Y40" s="195">
        <f t="shared" si="21"/>
        <v>327502.92823008198</v>
      </c>
      <c r="Z40" s="195">
        <f t="shared" si="21"/>
        <v>335690.50143583404</v>
      </c>
      <c r="AA40" s="195">
        <f t="shared" si="21"/>
        <v>344082.76397172984</v>
      </c>
      <c r="AB40" s="195">
        <f t="shared" si="21"/>
        <v>0</v>
      </c>
      <c r="AC40" s="195">
        <f t="shared" si="21"/>
        <v>0</v>
      </c>
      <c r="AD40" s="195">
        <f t="shared" si="21"/>
        <v>0</v>
      </c>
      <c r="AE40" s="195">
        <f t="shared" si="21"/>
        <v>0</v>
      </c>
      <c r="AF40" s="195">
        <f t="shared" si="21"/>
        <v>0</v>
      </c>
      <c r="AG40" s="195">
        <f t="shared" si="21"/>
        <v>0</v>
      </c>
      <c r="AH40" s="195">
        <f t="shared" si="21"/>
        <v>0</v>
      </c>
      <c r="AI40" s="195">
        <f t="shared" si="21"/>
        <v>0</v>
      </c>
      <c r="AJ40" s="195">
        <f t="shared" si="21"/>
        <v>0</v>
      </c>
      <c r="AK40" s="195">
        <f t="shared" si="21"/>
        <v>0</v>
      </c>
      <c r="AL40" s="195">
        <f t="shared" si="21"/>
        <v>0</v>
      </c>
      <c r="AM40" s="195">
        <f t="shared" si="21"/>
        <v>0</v>
      </c>
      <c r="AN40" s="195">
        <f t="shared" si="21"/>
        <v>0</v>
      </c>
      <c r="AO40" s="195">
        <f t="shared" si="21"/>
        <v>0</v>
      </c>
      <c r="AP40" s="195">
        <f t="shared" si="21"/>
        <v>0</v>
      </c>
    </row>
    <row r="41" spans="1:42" x14ac:dyDescent="0.2">
      <c r="A41" s="44" t="s">
        <v>19</v>
      </c>
      <c r="B41" s="44"/>
      <c r="C41" s="209">
        <f>C26+C30+C34+SUM(C36:C38)+C39+C40</f>
        <v>490210.88</v>
      </c>
      <c r="D41" s="209">
        <f t="shared" ref="D41:AP41" si="22">D26+D30+D34+SUM(D36:D38)+D39+D40</f>
        <v>502466.15199999994</v>
      </c>
      <c r="E41" s="209">
        <f t="shared" si="22"/>
        <v>515027.80579999997</v>
      </c>
      <c r="F41" s="209">
        <f t="shared" si="22"/>
        <v>527903.50094499998</v>
      </c>
      <c r="G41" s="209">
        <f t="shared" si="22"/>
        <v>541101.08846862498</v>
      </c>
      <c r="H41" s="209">
        <f t="shared" si="22"/>
        <v>554628.61568034044</v>
      </c>
      <c r="I41" s="209">
        <f t="shared" si="22"/>
        <v>568494.33107234898</v>
      </c>
      <c r="J41" s="209">
        <f t="shared" si="22"/>
        <v>582706.68934915774</v>
      </c>
      <c r="K41" s="209">
        <f t="shared" si="22"/>
        <v>597274.35658288654</v>
      </c>
      <c r="L41" s="209">
        <f t="shared" si="22"/>
        <v>612206.21549745859</v>
      </c>
      <c r="M41" s="209">
        <f t="shared" si="22"/>
        <v>627511.37088489509</v>
      </c>
      <c r="N41" s="209">
        <f t="shared" si="22"/>
        <v>643199.15515701752</v>
      </c>
      <c r="O41" s="209">
        <f t="shared" si="22"/>
        <v>659279.13403594284</v>
      </c>
      <c r="P41" s="209">
        <f t="shared" si="22"/>
        <v>675761.11238684133</v>
      </c>
      <c r="Q41" s="209">
        <f t="shared" si="22"/>
        <v>692655.14019651245</v>
      </c>
      <c r="R41" s="209">
        <f t="shared" si="22"/>
        <v>709971.51870142529</v>
      </c>
      <c r="S41" s="209">
        <f t="shared" si="22"/>
        <v>727720.80666896084</v>
      </c>
      <c r="T41" s="209">
        <f t="shared" si="22"/>
        <v>745913.82683568471</v>
      </c>
      <c r="U41" s="209">
        <f t="shared" si="22"/>
        <v>764561.67250657687</v>
      </c>
      <c r="V41" s="209">
        <f t="shared" si="22"/>
        <v>783675.71431924135</v>
      </c>
      <c r="W41" s="209">
        <f t="shared" si="22"/>
        <v>803267.60717722238</v>
      </c>
      <c r="X41" s="209">
        <f t="shared" si="22"/>
        <v>823349.29735665279</v>
      </c>
      <c r="Y41" s="209">
        <f t="shared" si="22"/>
        <v>843933.0297905691</v>
      </c>
      <c r="Z41" s="209">
        <f t="shared" si="22"/>
        <v>865031.35553533328</v>
      </c>
      <c r="AA41" s="209">
        <f t="shared" si="22"/>
        <v>886657.13942371658</v>
      </c>
      <c r="AB41" s="209">
        <f t="shared" si="22"/>
        <v>0</v>
      </c>
      <c r="AC41" s="209">
        <f t="shared" si="22"/>
        <v>0</v>
      </c>
      <c r="AD41" s="209">
        <f t="shared" si="22"/>
        <v>0</v>
      </c>
      <c r="AE41" s="209">
        <f t="shared" si="22"/>
        <v>0</v>
      </c>
      <c r="AF41" s="209">
        <f t="shared" si="22"/>
        <v>0</v>
      </c>
      <c r="AG41" s="209">
        <f t="shared" si="22"/>
        <v>0</v>
      </c>
      <c r="AH41" s="209">
        <f t="shared" si="22"/>
        <v>0</v>
      </c>
      <c r="AI41" s="209">
        <f t="shared" si="22"/>
        <v>0</v>
      </c>
      <c r="AJ41" s="209">
        <f t="shared" si="22"/>
        <v>0</v>
      </c>
      <c r="AK41" s="209">
        <f t="shared" si="22"/>
        <v>0</v>
      </c>
      <c r="AL41" s="209">
        <f t="shared" si="22"/>
        <v>0</v>
      </c>
      <c r="AM41" s="209">
        <f t="shared" si="22"/>
        <v>0</v>
      </c>
      <c r="AN41" s="209">
        <f t="shared" si="22"/>
        <v>0</v>
      </c>
      <c r="AO41" s="209">
        <f t="shared" si="22"/>
        <v>0</v>
      </c>
      <c r="AP41" s="209">
        <f t="shared" si="22"/>
        <v>0</v>
      </c>
    </row>
    <row r="43" spans="1:42" x14ac:dyDescent="0.2">
      <c r="A43" s="288" t="s">
        <v>37</v>
      </c>
      <c r="B43" s="44"/>
      <c r="C43" s="209">
        <f>C20-C41</f>
        <v>3192909.12</v>
      </c>
      <c r="D43" s="209">
        <f t="shared" ref="D43:AP43" si="23">D20-D41</f>
        <v>3198889.8480000002</v>
      </c>
      <c r="E43" s="209">
        <f t="shared" si="23"/>
        <v>3204652.1941999998</v>
      </c>
      <c r="F43" s="209">
        <f t="shared" si="23"/>
        <v>3210186.499055</v>
      </c>
      <c r="G43" s="209">
        <f t="shared" si="23"/>
        <v>3215488.9115313748</v>
      </c>
      <c r="H43" s="209">
        <f t="shared" si="23"/>
        <v>3220561.3843196593</v>
      </c>
      <c r="I43" s="209">
        <f t="shared" si="23"/>
        <v>3225381.6689276509</v>
      </c>
      <c r="J43" s="209">
        <f t="shared" si="23"/>
        <v>3229953.3106508423</v>
      </c>
      <c r="K43" s="209">
        <f t="shared" si="23"/>
        <v>3234255.6434171135</v>
      </c>
      <c r="L43" s="209">
        <f t="shared" si="23"/>
        <v>3238283.7845025416</v>
      </c>
      <c r="M43" s="209">
        <f t="shared" si="23"/>
        <v>3242038.6291151047</v>
      </c>
      <c r="N43" s="209">
        <f t="shared" si="23"/>
        <v>3245510.8448429825</v>
      </c>
      <c r="O43" s="209">
        <f t="shared" si="23"/>
        <v>3248680.8659640569</v>
      </c>
      <c r="P43" s="209">
        <f t="shared" si="23"/>
        <v>3251540.8876131587</v>
      </c>
      <c r="Q43" s="209">
        <f t="shared" si="23"/>
        <v>3254084.8598034875</v>
      </c>
      <c r="R43" s="209">
        <f t="shared" si="23"/>
        <v>3256308.4812985747</v>
      </c>
      <c r="S43" s="209">
        <f t="shared" si="23"/>
        <v>3258189.193331039</v>
      </c>
      <c r="T43" s="209">
        <f t="shared" si="23"/>
        <v>3259728.1731643155</v>
      </c>
      <c r="U43" s="209">
        <f t="shared" si="23"/>
        <v>3260908.3274934231</v>
      </c>
      <c r="V43" s="209">
        <f t="shared" si="23"/>
        <v>3261720.2856807588</v>
      </c>
      <c r="W43" s="209">
        <f t="shared" si="23"/>
        <v>3262152.3928227779</v>
      </c>
      <c r="X43" s="209">
        <f t="shared" si="23"/>
        <v>3262190.702643347</v>
      </c>
      <c r="Y43" s="209">
        <f t="shared" si="23"/>
        <v>3261834.9702094309</v>
      </c>
      <c r="Z43" s="209">
        <f t="shared" si="23"/>
        <v>3261058.644464667</v>
      </c>
      <c r="AA43" s="209">
        <f t="shared" si="23"/>
        <v>3259862.8605762832</v>
      </c>
      <c r="AB43" s="209">
        <f t="shared" si="23"/>
        <v>0</v>
      </c>
      <c r="AC43" s="209">
        <f t="shared" si="23"/>
        <v>0</v>
      </c>
      <c r="AD43" s="209">
        <f t="shared" si="23"/>
        <v>0</v>
      </c>
      <c r="AE43" s="209">
        <f t="shared" si="23"/>
        <v>0</v>
      </c>
      <c r="AF43" s="209">
        <f t="shared" si="23"/>
        <v>0</v>
      </c>
      <c r="AG43" s="209">
        <f t="shared" si="23"/>
        <v>0</v>
      </c>
      <c r="AH43" s="209">
        <f t="shared" si="23"/>
        <v>0</v>
      </c>
      <c r="AI43" s="209">
        <f t="shared" si="23"/>
        <v>0</v>
      </c>
      <c r="AJ43" s="209">
        <f t="shared" si="23"/>
        <v>0</v>
      </c>
      <c r="AK43" s="209">
        <f t="shared" si="23"/>
        <v>0</v>
      </c>
      <c r="AL43" s="209">
        <f t="shared" si="23"/>
        <v>0</v>
      </c>
      <c r="AM43" s="209">
        <f t="shared" si="23"/>
        <v>0</v>
      </c>
      <c r="AN43" s="209">
        <f t="shared" si="23"/>
        <v>0</v>
      </c>
      <c r="AO43" s="209">
        <f t="shared" si="23"/>
        <v>0</v>
      </c>
      <c r="AP43" s="209">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4" t="s">
        <v>102</v>
      </c>
      <c r="B45" s="8"/>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c r="AG45" s="296"/>
      <c r="AH45" s="296"/>
      <c r="AI45" s="296"/>
      <c r="AJ45" s="296"/>
      <c r="AK45" s="296"/>
      <c r="AL45" s="296"/>
      <c r="AM45" s="296"/>
      <c r="AN45" s="296"/>
      <c r="AO45" s="296"/>
      <c r="AP45" s="296"/>
    </row>
    <row r="46" spans="1:42" x14ac:dyDescent="0.2">
      <c r="A46" s="26" t="s">
        <v>302</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37</v>
      </c>
      <c r="B47" s="200"/>
      <c r="C47" s="200">
        <f>C43</f>
        <v>3192909.12</v>
      </c>
      <c r="D47" s="200">
        <f t="shared" ref="D47:AP47" si="24">D43</f>
        <v>3198889.8480000002</v>
      </c>
      <c r="E47" s="200">
        <f t="shared" si="24"/>
        <v>3204652.1941999998</v>
      </c>
      <c r="F47" s="200">
        <f t="shared" si="24"/>
        <v>3210186.499055</v>
      </c>
      <c r="G47" s="200">
        <f t="shared" si="24"/>
        <v>3215488.9115313748</v>
      </c>
      <c r="H47" s="200">
        <f t="shared" si="24"/>
        <v>3220561.3843196593</v>
      </c>
      <c r="I47" s="200">
        <f t="shared" si="24"/>
        <v>3225381.6689276509</v>
      </c>
      <c r="J47" s="200">
        <f t="shared" si="24"/>
        <v>3229953.3106508423</v>
      </c>
      <c r="K47" s="200">
        <f t="shared" si="24"/>
        <v>3234255.6434171135</v>
      </c>
      <c r="L47" s="200">
        <f t="shared" si="24"/>
        <v>3238283.7845025416</v>
      </c>
      <c r="M47" s="200">
        <f t="shared" si="24"/>
        <v>3242038.6291151047</v>
      </c>
      <c r="N47" s="200">
        <f t="shared" si="24"/>
        <v>3245510.8448429825</v>
      </c>
      <c r="O47" s="200">
        <f t="shared" si="24"/>
        <v>3248680.8659640569</v>
      </c>
      <c r="P47" s="200">
        <f t="shared" si="24"/>
        <v>3251540.8876131587</v>
      </c>
      <c r="Q47" s="200">
        <f t="shared" si="24"/>
        <v>3254084.8598034875</v>
      </c>
      <c r="R47" s="200">
        <f t="shared" si="24"/>
        <v>3256308.4812985747</v>
      </c>
      <c r="S47" s="200">
        <f t="shared" si="24"/>
        <v>3258189.193331039</v>
      </c>
      <c r="T47" s="200">
        <f t="shared" si="24"/>
        <v>3259728.1731643155</v>
      </c>
      <c r="U47" s="200">
        <f t="shared" si="24"/>
        <v>3260908.3274934231</v>
      </c>
      <c r="V47" s="200">
        <f t="shared" si="24"/>
        <v>3261720.2856807588</v>
      </c>
      <c r="W47" s="200">
        <f t="shared" si="24"/>
        <v>3262152.3928227779</v>
      </c>
      <c r="X47" s="200">
        <f t="shared" si="24"/>
        <v>3262190.702643347</v>
      </c>
      <c r="Y47" s="200">
        <f t="shared" si="24"/>
        <v>3261834.9702094309</v>
      </c>
      <c r="Z47" s="200">
        <f t="shared" si="24"/>
        <v>3261058.644464667</v>
      </c>
      <c r="AA47" s="200">
        <f t="shared" si="24"/>
        <v>3259862.8605762832</v>
      </c>
      <c r="AB47" s="200">
        <f t="shared" si="24"/>
        <v>0</v>
      </c>
      <c r="AC47" s="200">
        <f t="shared" si="24"/>
        <v>0</v>
      </c>
      <c r="AD47" s="200">
        <f t="shared" si="24"/>
        <v>0</v>
      </c>
      <c r="AE47" s="200">
        <f t="shared" si="24"/>
        <v>0</v>
      </c>
      <c r="AF47" s="200">
        <f t="shared" si="24"/>
        <v>0</v>
      </c>
      <c r="AG47" s="200">
        <f t="shared" si="24"/>
        <v>0</v>
      </c>
      <c r="AH47" s="200">
        <f t="shared" si="24"/>
        <v>0</v>
      </c>
      <c r="AI47" s="200">
        <f t="shared" si="24"/>
        <v>0</v>
      </c>
      <c r="AJ47" s="200">
        <f t="shared" si="24"/>
        <v>0</v>
      </c>
      <c r="AK47" s="200">
        <f t="shared" si="24"/>
        <v>0</v>
      </c>
      <c r="AL47" s="200">
        <f t="shared" si="24"/>
        <v>0</v>
      </c>
      <c r="AM47" s="200">
        <f t="shared" si="24"/>
        <v>0</v>
      </c>
      <c r="AN47" s="200">
        <f t="shared" si="24"/>
        <v>0</v>
      </c>
      <c r="AO47" s="200">
        <f t="shared" si="24"/>
        <v>0</v>
      </c>
      <c r="AP47" s="200">
        <f t="shared" si="24"/>
        <v>0</v>
      </c>
    </row>
    <row r="48" spans="1:42" x14ac:dyDescent="0.2">
      <c r="A48" s="24" t="s">
        <v>220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2"/>
      <c r="C49" s="149">
        <f t="shared" ref="C49:AP49" si="25">IF(pbi_fed_for_ds="Yes",0,C517)</f>
        <v>0</v>
      </c>
      <c r="D49" s="149">
        <f t="shared" si="25"/>
        <v>0</v>
      </c>
      <c r="E49" s="149">
        <f t="shared" si="25"/>
        <v>0</v>
      </c>
      <c r="F49" s="149">
        <f t="shared" si="25"/>
        <v>0</v>
      </c>
      <c r="G49" s="149">
        <f t="shared" si="25"/>
        <v>0</v>
      </c>
      <c r="H49" s="149">
        <f t="shared" si="25"/>
        <v>0</v>
      </c>
      <c r="I49" s="149">
        <f t="shared" si="25"/>
        <v>0</v>
      </c>
      <c r="J49" s="149">
        <f t="shared" si="25"/>
        <v>0</v>
      </c>
      <c r="K49" s="149">
        <f t="shared" si="25"/>
        <v>0</v>
      </c>
      <c r="L49" s="149">
        <f t="shared" si="25"/>
        <v>0</v>
      </c>
      <c r="M49" s="149">
        <f t="shared" si="25"/>
        <v>0</v>
      </c>
      <c r="N49" s="149">
        <f t="shared" si="25"/>
        <v>0</v>
      </c>
      <c r="O49" s="149">
        <f t="shared" si="25"/>
        <v>0</v>
      </c>
      <c r="P49" s="149">
        <f t="shared" si="25"/>
        <v>0</v>
      </c>
      <c r="Q49" s="149">
        <f t="shared" si="25"/>
        <v>0</v>
      </c>
      <c r="R49" s="149">
        <f t="shared" si="25"/>
        <v>0</v>
      </c>
      <c r="S49" s="149">
        <f t="shared" si="25"/>
        <v>0</v>
      </c>
      <c r="T49" s="149">
        <f t="shared" si="25"/>
        <v>0</v>
      </c>
      <c r="U49" s="149">
        <f t="shared" si="25"/>
        <v>0</v>
      </c>
      <c r="V49" s="149">
        <f t="shared" si="25"/>
        <v>0</v>
      </c>
      <c r="W49" s="149">
        <f t="shared" si="25"/>
        <v>0</v>
      </c>
      <c r="X49" s="149">
        <f t="shared" si="25"/>
        <v>0</v>
      </c>
      <c r="Y49" s="149">
        <f t="shared" si="25"/>
        <v>0</v>
      </c>
      <c r="Z49" s="149">
        <f t="shared" si="25"/>
        <v>0</v>
      </c>
      <c r="AA49" s="149">
        <f t="shared" si="25"/>
        <v>0</v>
      </c>
      <c r="AB49" s="149">
        <f t="shared" si="25"/>
        <v>0</v>
      </c>
      <c r="AC49" s="149">
        <f t="shared" si="25"/>
        <v>0</v>
      </c>
      <c r="AD49" s="149">
        <f t="shared" si="25"/>
        <v>0</v>
      </c>
      <c r="AE49" s="149">
        <f t="shared" si="25"/>
        <v>0</v>
      </c>
      <c r="AF49" s="149">
        <f t="shared" si="25"/>
        <v>0</v>
      </c>
      <c r="AG49" s="149">
        <f t="shared" si="25"/>
        <v>0</v>
      </c>
      <c r="AH49" s="149">
        <f t="shared" si="25"/>
        <v>0</v>
      </c>
      <c r="AI49" s="149">
        <f t="shared" si="25"/>
        <v>0</v>
      </c>
      <c r="AJ49" s="149">
        <f t="shared" si="25"/>
        <v>0</v>
      </c>
      <c r="AK49" s="149">
        <f t="shared" si="25"/>
        <v>0</v>
      </c>
      <c r="AL49" s="149">
        <f t="shared" si="25"/>
        <v>0</v>
      </c>
      <c r="AM49" s="149">
        <f t="shared" si="25"/>
        <v>0</v>
      </c>
      <c r="AN49" s="149">
        <f t="shared" si="25"/>
        <v>0</v>
      </c>
      <c r="AO49" s="149">
        <f t="shared" si="25"/>
        <v>0</v>
      </c>
      <c r="AP49" s="149">
        <f t="shared" si="25"/>
        <v>0</v>
      </c>
    </row>
    <row r="50" spans="1:42" x14ac:dyDescent="0.2">
      <c r="A50" s="28" t="str">
        <f>A15</f>
        <v>State ($/W)</v>
      </c>
      <c r="B50" s="142"/>
      <c r="C50" s="149">
        <f t="shared" ref="C50:AP50" si="26">IF(pbi_sta_for_ds="Yes",0,C521)</f>
        <v>0</v>
      </c>
      <c r="D50" s="149">
        <f t="shared" si="26"/>
        <v>0</v>
      </c>
      <c r="E50" s="149">
        <f t="shared" si="26"/>
        <v>0</v>
      </c>
      <c r="F50" s="149">
        <f t="shared" si="26"/>
        <v>0</v>
      </c>
      <c r="G50" s="149">
        <f t="shared" si="26"/>
        <v>0</v>
      </c>
      <c r="H50" s="149">
        <f t="shared" si="26"/>
        <v>0</v>
      </c>
      <c r="I50" s="149">
        <f t="shared" si="26"/>
        <v>0</v>
      </c>
      <c r="J50" s="149">
        <f t="shared" si="26"/>
        <v>0</v>
      </c>
      <c r="K50" s="149">
        <f t="shared" si="26"/>
        <v>0</v>
      </c>
      <c r="L50" s="149">
        <f t="shared" si="26"/>
        <v>0</v>
      </c>
      <c r="M50" s="149">
        <f t="shared" si="26"/>
        <v>0</v>
      </c>
      <c r="N50" s="149">
        <f t="shared" si="26"/>
        <v>0</v>
      </c>
      <c r="O50" s="149">
        <f t="shared" si="26"/>
        <v>0</v>
      </c>
      <c r="P50" s="149">
        <f t="shared" si="26"/>
        <v>0</v>
      </c>
      <c r="Q50" s="149">
        <f t="shared" si="26"/>
        <v>0</v>
      </c>
      <c r="R50" s="149">
        <f t="shared" si="26"/>
        <v>0</v>
      </c>
      <c r="S50" s="149">
        <f t="shared" si="26"/>
        <v>0</v>
      </c>
      <c r="T50" s="149">
        <f t="shared" si="26"/>
        <v>0</v>
      </c>
      <c r="U50" s="149">
        <f t="shared" si="26"/>
        <v>0</v>
      </c>
      <c r="V50" s="149">
        <f t="shared" si="26"/>
        <v>0</v>
      </c>
      <c r="W50" s="149">
        <f t="shared" si="26"/>
        <v>0</v>
      </c>
      <c r="X50" s="149">
        <f t="shared" si="26"/>
        <v>0</v>
      </c>
      <c r="Y50" s="149">
        <f t="shared" si="26"/>
        <v>0</v>
      </c>
      <c r="Z50" s="149">
        <f t="shared" si="26"/>
        <v>0</v>
      </c>
      <c r="AA50" s="149">
        <f t="shared" si="26"/>
        <v>0</v>
      </c>
      <c r="AB50" s="149">
        <f t="shared" si="26"/>
        <v>0</v>
      </c>
      <c r="AC50" s="149">
        <f t="shared" si="26"/>
        <v>0</v>
      </c>
      <c r="AD50" s="149">
        <f t="shared" si="26"/>
        <v>0</v>
      </c>
      <c r="AE50" s="149">
        <f t="shared" si="26"/>
        <v>0</v>
      </c>
      <c r="AF50" s="149">
        <f t="shared" si="26"/>
        <v>0</v>
      </c>
      <c r="AG50" s="149">
        <f t="shared" si="26"/>
        <v>0</v>
      </c>
      <c r="AH50" s="149">
        <f t="shared" si="26"/>
        <v>0</v>
      </c>
      <c r="AI50" s="149">
        <f t="shared" si="26"/>
        <v>0</v>
      </c>
      <c r="AJ50" s="149">
        <f t="shared" si="26"/>
        <v>0</v>
      </c>
      <c r="AK50" s="149">
        <f t="shared" si="26"/>
        <v>0</v>
      </c>
      <c r="AL50" s="149">
        <f t="shared" si="26"/>
        <v>0</v>
      </c>
      <c r="AM50" s="149">
        <f t="shared" si="26"/>
        <v>0</v>
      </c>
      <c r="AN50" s="149">
        <f t="shared" si="26"/>
        <v>0</v>
      </c>
      <c r="AO50" s="149">
        <f t="shared" si="26"/>
        <v>0</v>
      </c>
      <c r="AP50" s="149">
        <f t="shared" si="26"/>
        <v>0</v>
      </c>
    </row>
    <row r="51" spans="1:42" x14ac:dyDescent="0.2">
      <c r="A51" s="28" t="str">
        <f>A16</f>
        <v>Utility ($/W)</v>
      </c>
      <c r="B51" s="142"/>
      <c r="C51" s="149">
        <f t="shared" ref="C51:AP51" si="27">IF(pbi_uti_for_ds="Yes",0,C525)</f>
        <v>0</v>
      </c>
      <c r="D51" s="149">
        <f t="shared" si="27"/>
        <v>0</v>
      </c>
      <c r="E51" s="149">
        <f t="shared" si="27"/>
        <v>0</v>
      </c>
      <c r="F51" s="149">
        <f t="shared" si="27"/>
        <v>0</v>
      </c>
      <c r="G51" s="149">
        <f t="shared" si="27"/>
        <v>0</v>
      </c>
      <c r="H51" s="149">
        <f t="shared" si="27"/>
        <v>0</v>
      </c>
      <c r="I51" s="149">
        <f t="shared" si="27"/>
        <v>0</v>
      </c>
      <c r="J51" s="149">
        <f t="shared" si="27"/>
        <v>0</v>
      </c>
      <c r="K51" s="149">
        <f t="shared" si="27"/>
        <v>0</v>
      </c>
      <c r="L51" s="149">
        <f t="shared" si="27"/>
        <v>0</v>
      </c>
      <c r="M51" s="149">
        <f t="shared" si="27"/>
        <v>0</v>
      </c>
      <c r="N51" s="149">
        <f t="shared" si="27"/>
        <v>0</v>
      </c>
      <c r="O51" s="149">
        <f t="shared" si="27"/>
        <v>0</v>
      </c>
      <c r="P51" s="149">
        <f t="shared" si="27"/>
        <v>0</v>
      </c>
      <c r="Q51" s="149">
        <f t="shared" si="27"/>
        <v>0</v>
      </c>
      <c r="R51" s="149">
        <f t="shared" si="27"/>
        <v>0</v>
      </c>
      <c r="S51" s="149">
        <f t="shared" si="27"/>
        <v>0</v>
      </c>
      <c r="T51" s="149">
        <f t="shared" si="27"/>
        <v>0</v>
      </c>
      <c r="U51" s="149">
        <f t="shared" si="27"/>
        <v>0</v>
      </c>
      <c r="V51" s="149">
        <f t="shared" si="27"/>
        <v>0</v>
      </c>
      <c r="W51" s="149">
        <f t="shared" si="27"/>
        <v>0</v>
      </c>
      <c r="X51" s="149">
        <f t="shared" si="27"/>
        <v>0</v>
      </c>
      <c r="Y51" s="149">
        <f t="shared" si="27"/>
        <v>0</v>
      </c>
      <c r="Z51" s="149">
        <f t="shared" si="27"/>
        <v>0</v>
      </c>
      <c r="AA51" s="149">
        <f t="shared" si="27"/>
        <v>0</v>
      </c>
      <c r="AB51" s="149">
        <f t="shared" si="27"/>
        <v>0</v>
      </c>
      <c r="AC51" s="149">
        <f t="shared" si="27"/>
        <v>0</v>
      </c>
      <c r="AD51" s="149">
        <f t="shared" si="27"/>
        <v>0</v>
      </c>
      <c r="AE51" s="149">
        <f t="shared" si="27"/>
        <v>0</v>
      </c>
      <c r="AF51" s="149">
        <f t="shared" si="27"/>
        <v>0</v>
      </c>
      <c r="AG51" s="149">
        <f t="shared" si="27"/>
        <v>0</v>
      </c>
      <c r="AH51" s="149">
        <f t="shared" si="27"/>
        <v>0</v>
      </c>
      <c r="AI51" s="149">
        <f t="shared" si="27"/>
        <v>0</v>
      </c>
      <c r="AJ51" s="149">
        <f t="shared" si="27"/>
        <v>0</v>
      </c>
      <c r="AK51" s="149">
        <f t="shared" si="27"/>
        <v>0</v>
      </c>
      <c r="AL51" s="149">
        <f t="shared" si="27"/>
        <v>0</v>
      </c>
      <c r="AM51" s="149">
        <f t="shared" si="27"/>
        <v>0</v>
      </c>
      <c r="AN51" s="149">
        <f t="shared" si="27"/>
        <v>0</v>
      </c>
      <c r="AO51" s="149">
        <f t="shared" si="27"/>
        <v>0</v>
      </c>
      <c r="AP51" s="149">
        <f t="shared" si="27"/>
        <v>0</v>
      </c>
    </row>
    <row r="52" spans="1:42" x14ac:dyDescent="0.2">
      <c r="A52" s="28" t="str">
        <f>A17</f>
        <v>Other ($/W)</v>
      </c>
      <c r="B52" s="204"/>
      <c r="C52" s="204">
        <f t="shared" ref="C52:AP52" si="28">IF(pbi_oth_for_ds="Yes",0,C529)</f>
        <v>0</v>
      </c>
      <c r="D52" s="204">
        <f t="shared" si="28"/>
        <v>0</v>
      </c>
      <c r="E52" s="204">
        <f t="shared" si="28"/>
        <v>0</v>
      </c>
      <c r="F52" s="204">
        <f t="shared" si="28"/>
        <v>0</v>
      </c>
      <c r="G52" s="204">
        <f t="shared" si="28"/>
        <v>0</v>
      </c>
      <c r="H52" s="204">
        <f t="shared" si="28"/>
        <v>0</v>
      </c>
      <c r="I52" s="204">
        <f t="shared" si="28"/>
        <v>0</v>
      </c>
      <c r="J52" s="204">
        <f t="shared" si="28"/>
        <v>0</v>
      </c>
      <c r="K52" s="204">
        <f t="shared" si="28"/>
        <v>0</v>
      </c>
      <c r="L52" s="204">
        <f t="shared" si="28"/>
        <v>0</v>
      </c>
      <c r="M52" s="204">
        <f t="shared" si="28"/>
        <v>0</v>
      </c>
      <c r="N52" s="204">
        <f t="shared" si="28"/>
        <v>0</v>
      </c>
      <c r="O52" s="204">
        <f t="shared" si="28"/>
        <v>0</v>
      </c>
      <c r="P52" s="204">
        <f t="shared" si="28"/>
        <v>0</v>
      </c>
      <c r="Q52" s="204">
        <f t="shared" si="28"/>
        <v>0</v>
      </c>
      <c r="R52" s="204">
        <f t="shared" si="28"/>
        <v>0</v>
      </c>
      <c r="S52" s="204">
        <f t="shared" si="28"/>
        <v>0</v>
      </c>
      <c r="T52" s="204">
        <f t="shared" si="28"/>
        <v>0</v>
      </c>
      <c r="U52" s="204">
        <f t="shared" si="28"/>
        <v>0</v>
      </c>
      <c r="V52" s="204">
        <f t="shared" si="28"/>
        <v>0</v>
      </c>
      <c r="W52" s="204">
        <f t="shared" si="28"/>
        <v>0</v>
      </c>
      <c r="X52" s="204">
        <f t="shared" si="28"/>
        <v>0</v>
      </c>
      <c r="Y52" s="204">
        <f t="shared" si="28"/>
        <v>0</v>
      </c>
      <c r="Z52" s="204">
        <f t="shared" si="28"/>
        <v>0</v>
      </c>
      <c r="AA52" s="204">
        <f t="shared" si="28"/>
        <v>0</v>
      </c>
      <c r="AB52" s="204">
        <f t="shared" si="28"/>
        <v>0</v>
      </c>
      <c r="AC52" s="204">
        <f t="shared" si="28"/>
        <v>0</v>
      </c>
      <c r="AD52" s="204">
        <f t="shared" si="28"/>
        <v>0</v>
      </c>
      <c r="AE52" s="204">
        <f t="shared" si="28"/>
        <v>0</v>
      </c>
      <c r="AF52" s="204">
        <f t="shared" si="28"/>
        <v>0</v>
      </c>
      <c r="AG52" s="204">
        <f t="shared" si="28"/>
        <v>0</v>
      </c>
      <c r="AH52" s="204">
        <f t="shared" si="28"/>
        <v>0</v>
      </c>
      <c r="AI52" s="204">
        <f t="shared" si="28"/>
        <v>0</v>
      </c>
      <c r="AJ52" s="204">
        <f t="shared" si="28"/>
        <v>0</v>
      </c>
      <c r="AK52" s="204">
        <f t="shared" si="28"/>
        <v>0</v>
      </c>
      <c r="AL52" s="204">
        <f t="shared" si="28"/>
        <v>0</v>
      </c>
      <c r="AM52" s="204">
        <f t="shared" si="28"/>
        <v>0</v>
      </c>
      <c r="AN52" s="204">
        <f t="shared" si="28"/>
        <v>0</v>
      </c>
      <c r="AO52" s="204">
        <f t="shared" si="28"/>
        <v>0</v>
      </c>
      <c r="AP52" s="204">
        <f t="shared" si="28"/>
        <v>0</v>
      </c>
    </row>
    <row r="53" spans="1:42" x14ac:dyDescent="0.2">
      <c r="A53" s="28" t="s">
        <v>13</v>
      </c>
      <c r="B53" s="142"/>
      <c r="C53" s="142">
        <f>SUM(C49:C52)</f>
        <v>0</v>
      </c>
      <c r="D53" s="142">
        <f t="shared" ref="D53:AP53" si="29">SUM(D49:D52)</f>
        <v>0</v>
      </c>
      <c r="E53" s="142">
        <f t="shared" si="29"/>
        <v>0</v>
      </c>
      <c r="F53" s="142">
        <f t="shared" si="29"/>
        <v>0</v>
      </c>
      <c r="G53" s="142">
        <f t="shared" si="29"/>
        <v>0</v>
      </c>
      <c r="H53" s="142">
        <f t="shared" si="29"/>
        <v>0</v>
      </c>
      <c r="I53" s="142">
        <f t="shared" si="29"/>
        <v>0</v>
      </c>
      <c r="J53" s="142">
        <f t="shared" si="29"/>
        <v>0</v>
      </c>
      <c r="K53" s="142">
        <f t="shared" si="29"/>
        <v>0</v>
      </c>
      <c r="L53" s="142">
        <f t="shared" si="29"/>
        <v>0</v>
      </c>
      <c r="M53" s="142">
        <f t="shared" si="29"/>
        <v>0</v>
      </c>
      <c r="N53" s="142">
        <f t="shared" si="29"/>
        <v>0</v>
      </c>
      <c r="O53" s="142">
        <f t="shared" si="29"/>
        <v>0</v>
      </c>
      <c r="P53" s="142">
        <f t="shared" si="29"/>
        <v>0</v>
      </c>
      <c r="Q53" s="142">
        <f t="shared" si="29"/>
        <v>0</v>
      </c>
      <c r="R53" s="142">
        <f t="shared" si="29"/>
        <v>0</v>
      </c>
      <c r="S53" s="142">
        <f t="shared" si="29"/>
        <v>0</v>
      </c>
      <c r="T53" s="142">
        <f t="shared" si="29"/>
        <v>0</v>
      </c>
      <c r="U53" s="142">
        <f t="shared" si="29"/>
        <v>0</v>
      </c>
      <c r="V53" s="142">
        <f t="shared" si="29"/>
        <v>0</v>
      </c>
      <c r="W53" s="142">
        <f t="shared" si="29"/>
        <v>0</v>
      </c>
      <c r="X53" s="142">
        <f t="shared" si="29"/>
        <v>0</v>
      </c>
      <c r="Y53" s="142">
        <f t="shared" si="29"/>
        <v>0</v>
      </c>
      <c r="Z53" s="142">
        <f t="shared" si="29"/>
        <v>0</v>
      </c>
      <c r="AA53" s="142">
        <f t="shared" si="29"/>
        <v>0</v>
      </c>
      <c r="AB53" s="142">
        <f t="shared" si="29"/>
        <v>0</v>
      </c>
      <c r="AC53" s="142">
        <f t="shared" si="29"/>
        <v>0</v>
      </c>
      <c r="AD53" s="142">
        <f t="shared" si="29"/>
        <v>0</v>
      </c>
      <c r="AE53" s="142">
        <f t="shared" si="29"/>
        <v>0</v>
      </c>
      <c r="AF53" s="142">
        <f t="shared" si="29"/>
        <v>0</v>
      </c>
      <c r="AG53" s="142">
        <f t="shared" si="29"/>
        <v>0</v>
      </c>
      <c r="AH53" s="142">
        <f t="shared" si="29"/>
        <v>0</v>
      </c>
      <c r="AI53" s="142">
        <f t="shared" si="29"/>
        <v>0</v>
      </c>
      <c r="AJ53" s="142">
        <f t="shared" si="29"/>
        <v>0</v>
      </c>
      <c r="AK53" s="142">
        <f t="shared" si="29"/>
        <v>0</v>
      </c>
      <c r="AL53" s="142">
        <f t="shared" si="29"/>
        <v>0</v>
      </c>
      <c r="AM53" s="142">
        <f t="shared" si="29"/>
        <v>0</v>
      </c>
      <c r="AN53" s="142">
        <f t="shared" si="29"/>
        <v>0</v>
      </c>
      <c r="AO53" s="142">
        <f t="shared" si="29"/>
        <v>0</v>
      </c>
      <c r="AP53" s="142">
        <f t="shared" si="29"/>
        <v>0</v>
      </c>
    </row>
    <row r="54" spans="1:42" x14ac:dyDescent="0.2">
      <c r="A54" s="24" t="s">
        <v>332</v>
      </c>
      <c r="B54" s="200">
        <v>0</v>
      </c>
      <c r="C54" s="200">
        <f t="shared" ref="C54:AP54" si="30">C668</f>
        <v>22106.576436696556</v>
      </c>
      <c r="D54" s="200">
        <f t="shared" si="30"/>
        <v>31780.343229280399</v>
      </c>
      <c r="E54" s="200">
        <f t="shared" si="30"/>
        <v>41456.790862614245</v>
      </c>
      <c r="F54" s="200">
        <f t="shared" si="30"/>
        <v>51135.986357716843</v>
      </c>
      <c r="G54" s="200">
        <f t="shared" si="30"/>
        <v>60817.998411132416</v>
      </c>
      <c r="H54" s="200">
        <f t="shared" si="30"/>
        <v>70502.897436818763</v>
      </c>
      <c r="I54" s="200">
        <f t="shared" si="30"/>
        <v>80190.755609082698</v>
      </c>
      <c r="J54" s="200">
        <f t="shared" si="30"/>
        <v>89881.646906588605</v>
      </c>
      <c r="K54" s="200">
        <f t="shared" si="30"/>
        <v>99575.647157467582</v>
      </c>
      <c r="L54" s="200">
        <f t="shared" si="30"/>
        <v>109272.83408555393</v>
      </c>
      <c r="M54" s="200">
        <f t="shared" si="30"/>
        <v>118973.28735777784</v>
      </c>
      <c r="N54" s="200">
        <f t="shared" si="30"/>
        <v>128677.08863274276</v>
      </c>
      <c r="O54" s="200">
        <f t="shared" si="30"/>
        <v>23585.92365951106</v>
      </c>
      <c r="P54" s="200">
        <f t="shared" si="30"/>
        <v>36596.064507222029</v>
      </c>
      <c r="Q54" s="200">
        <f t="shared" si="30"/>
        <v>49609.81078769725</v>
      </c>
      <c r="R54" s="200">
        <f t="shared" si="30"/>
        <v>62627.252636755846</v>
      </c>
      <c r="S54" s="200">
        <f t="shared" si="30"/>
        <v>75648.482443612389</v>
      </c>
      <c r="T54" s="200">
        <f t="shared" si="30"/>
        <v>88673.594907211824</v>
      </c>
      <c r="U54" s="200">
        <f t="shared" si="30"/>
        <v>83885.455857276174</v>
      </c>
      <c r="V54" s="200">
        <f t="shared" si="30"/>
        <v>96918.627260277601</v>
      </c>
      <c r="W54" s="200">
        <f t="shared" si="30"/>
        <v>109955.97985992553</v>
      </c>
      <c r="X54" s="200">
        <f t="shared" si="30"/>
        <v>122997.61818613615</v>
      </c>
      <c r="Y54" s="200">
        <f t="shared" si="30"/>
        <v>136043.64938207352</v>
      </c>
      <c r="Z54" s="200">
        <f t="shared" si="30"/>
        <v>149094.1832694808</v>
      </c>
      <c r="AA54" s="200">
        <f t="shared" si="30"/>
        <v>7758.2499699575201</v>
      </c>
      <c r="AB54" s="200">
        <f t="shared" si="30"/>
        <v>0</v>
      </c>
      <c r="AC54" s="200">
        <f t="shared" si="30"/>
        <v>0</v>
      </c>
      <c r="AD54" s="200">
        <f t="shared" si="30"/>
        <v>0</v>
      </c>
      <c r="AE54" s="200">
        <f t="shared" si="30"/>
        <v>0</v>
      </c>
      <c r="AF54" s="200">
        <f t="shared" si="30"/>
        <v>0</v>
      </c>
      <c r="AG54" s="200">
        <f t="shared" si="30"/>
        <v>0</v>
      </c>
      <c r="AH54" s="200">
        <f t="shared" si="30"/>
        <v>0</v>
      </c>
      <c r="AI54" s="200">
        <f t="shared" si="30"/>
        <v>0</v>
      </c>
      <c r="AJ54" s="200">
        <f t="shared" si="30"/>
        <v>0</v>
      </c>
      <c r="AK54" s="200">
        <f t="shared" si="30"/>
        <v>0</v>
      </c>
      <c r="AL54" s="200">
        <f t="shared" si="30"/>
        <v>0</v>
      </c>
      <c r="AM54" s="200">
        <f t="shared" si="30"/>
        <v>0</v>
      </c>
      <c r="AN54" s="200">
        <f t="shared" si="30"/>
        <v>0</v>
      </c>
      <c r="AO54" s="200">
        <f t="shared" si="30"/>
        <v>0</v>
      </c>
      <c r="AP54" s="200">
        <f t="shared" si="30"/>
        <v>0</v>
      </c>
    </row>
    <row r="55" spans="1:42" x14ac:dyDescent="0.2">
      <c r="A55" s="24" t="s">
        <v>333</v>
      </c>
      <c r="B55" s="201">
        <v>0</v>
      </c>
      <c r="C55" s="201">
        <f t="shared" ref="C55:AP55" si="31">-C536</f>
        <v>-1433800.62</v>
      </c>
      <c r="D55" s="201">
        <f t="shared" si="31"/>
        <v>-1391628.8135064275</v>
      </c>
      <c r="E55" s="201">
        <f t="shared" si="31"/>
        <v>-1346504.9805583048</v>
      </c>
      <c r="F55" s="201">
        <f t="shared" si="31"/>
        <v>-1298222.4793038138</v>
      </c>
      <c r="G55" s="201">
        <f t="shared" si="31"/>
        <v>-1246560.202961508</v>
      </c>
      <c r="H55" s="201">
        <f t="shared" si="31"/>
        <v>-1191281.567275241</v>
      </c>
      <c r="I55" s="201">
        <f t="shared" si="31"/>
        <v>-1132133.4270909356</v>
      </c>
      <c r="J55" s="201">
        <f t="shared" si="31"/>
        <v>-1068844.9170937284</v>
      </c>
      <c r="K55" s="201">
        <f t="shared" si="31"/>
        <v>-1001126.211396717</v>
      </c>
      <c r="L55" s="201">
        <f t="shared" si="31"/>
        <v>-928667.19630091474</v>
      </c>
      <c r="M55" s="201">
        <f t="shared" si="31"/>
        <v>-851136.0501484063</v>
      </c>
      <c r="N55" s="201">
        <f t="shared" si="31"/>
        <v>-768177.72376522224</v>
      </c>
      <c r="O55" s="201">
        <f t="shared" si="31"/>
        <v>-679412.31453521538</v>
      </c>
      <c r="P55" s="201">
        <f t="shared" si="31"/>
        <v>-584433.32665910805</v>
      </c>
      <c r="Q55" s="201">
        <f t="shared" si="31"/>
        <v>-482805.8096316731</v>
      </c>
      <c r="R55" s="201">
        <f t="shared" si="31"/>
        <v>-374064.36641231773</v>
      </c>
      <c r="S55" s="201">
        <f t="shared" si="31"/>
        <v>-257711.02216760756</v>
      </c>
      <c r="T55" s="201">
        <f t="shared" si="31"/>
        <v>-133212.94382576764</v>
      </c>
      <c r="U55" s="201">
        <f t="shared" si="31"/>
        <v>0</v>
      </c>
      <c r="V55" s="201">
        <f t="shared" si="31"/>
        <v>0</v>
      </c>
      <c r="W55" s="201">
        <f t="shared" si="31"/>
        <v>0</v>
      </c>
      <c r="X55" s="201">
        <f t="shared" si="31"/>
        <v>0</v>
      </c>
      <c r="Y55" s="201">
        <f t="shared" si="31"/>
        <v>0</v>
      </c>
      <c r="Z55" s="201">
        <f t="shared" si="31"/>
        <v>0</v>
      </c>
      <c r="AA55" s="201">
        <f t="shared" si="31"/>
        <v>0</v>
      </c>
      <c r="AB55" s="201">
        <f t="shared" si="31"/>
        <v>0</v>
      </c>
      <c r="AC55" s="201">
        <f t="shared" si="31"/>
        <v>0</v>
      </c>
      <c r="AD55" s="201">
        <f t="shared" si="31"/>
        <v>0</v>
      </c>
      <c r="AE55" s="201">
        <f t="shared" si="31"/>
        <v>0</v>
      </c>
      <c r="AF55" s="201">
        <f t="shared" si="31"/>
        <v>0</v>
      </c>
      <c r="AG55" s="201">
        <f t="shared" si="31"/>
        <v>0</v>
      </c>
      <c r="AH55" s="201">
        <f t="shared" si="31"/>
        <v>0</v>
      </c>
      <c r="AI55" s="201">
        <f t="shared" si="31"/>
        <v>0</v>
      </c>
      <c r="AJ55" s="201">
        <f t="shared" si="31"/>
        <v>0</v>
      </c>
      <c r="AK55" s="201">
        <f t="shared" si="31"/>
        <v>0</v>
      </c>
      <c r="AL55" s="201">
        <f t="shared" si="31"/>
        <v>0</v>
      </c>
      <c r="AM55" s="201">
        <f t="shared" si="31"/>
        <v>0</v>
      </c>
      <c r="AN55" s="201">
        <f t="shared" si="31"/>
        <v>0</v>
      </c>
      <c r="AO55" s="201">
        <f t="shared" si="31"/>
        <v>0</v>
      </c>
      <c r="AP55" s="201">
        <f t="shared" si="31"/>
        <v>0</v>
      </c>
    </row>
    <row r="56" spans="1:42" x14ac:dyDescent="0.2">
      <c r="A56" s="285" t="s">
        <v>13</v>
      </c>
      <c r="B56" s="209">
        <f>B47+B53+B54+B55</f>
        <v>0</v>
      </c>
      <c r="C56" s="209">
        <f>C47+C53+C54+C55</f>
        <v>1781215.0764366966</v>
      </c>
      <c r="D56" s="209">
        <f t="shared" ref="D56:AP56" si="32">D47+D53+D54+D55</f>
        <v>1839041.3777228531</v>
      </c>
      <c r="E56" s="209">
        <f t="shared" si="32"/>
        <v>1899604.0045043093</v>
      </c>
      <c r="F56" s="209">
        <f t="shared" si="32"/>
        <v>1963100.0061089031</v>
      </c>
      <c r="G56" s="209">
        <f t="shared" si="32"/>
        <v>2029746.7069809993</v>
      </c>
      <c r="H56" s="209">
        <f t="shared" si="32"/>
        <v>2099782.7144812369</v>
      </c>
      <c r="I56" s="209">
        <f t="shared" si="32"/>
        <v>2173438.9974457975</v>
      </c>
      <c r="J56" s="209">
        <f t="shared" si="32"/>
        <v>2250990.0404637028</v>
      </c>
      <c r="K56" s="209">
        <f t="shared" si="32"/>
        <v>2332705.0791778639</v>
      </c>
      <c r="L56" s="209">
        <f t="shared" si="32"/>
        <v>2418889.422287181</v>
      </c>
      <c r="M56" s="209">
        <f t="shared" si="32"/>
        <v>2509875.866324476</v>
      </c>
      <c r="N56" s="209">
        <f t="shared" si="32"/>
        <v>2606010.209710503</v>
      </c>
      <c r="O56" s="209">
        <f t="shared" si="32"/>
        <v>2592854.4750883523</v>
      </c>
      <c r="P56" s="209">
        <f t="shared" si="32"/>
        <v>2703703.6254612724</v>
      </c>
      <c r="Q56" s="209">
        <f t="shared" si="32"/>
        <v>2820888.8609595117</v>
      </c>
      <c r="R56" s="209">
        <f t="shared" si="32"/>
        <v>2944871.3675230127</v>
      </c>
      <c r="S56" s="209">
        <f t="shared" si="32"/>
        <v>3076126.6536070439</v>
      </c>
      <c r="T56" s="209">
        <f t="shared" si="32"/>
        <v>3215188.8242457593</v>
      </c>
      <c r="U56" s="209">
        <f t="shared" si="32"/>
        <v>3344793.7833506991</v>
      </c>
      <c r="V56" s="209">
        <f t="shared" si="32"/>
        <v>3358638.9129410363</v>
      </c>
      <c r="W56" s="209">
        <f t="shared" si="32"/>
        <v>3372108.3726827032</v>
      </c>
      <c r="X56" s="209">
        <f t="shared" si="32"/>
        <v>3385188.3208294832</v>
      </c>
      <c r="Y56" s="209">
        <f t="shared" si="32"/>
        <v>3397878.6195915043</v>
      </c>
      <c r="Z56" s="209">
        <f t="shared" si="32"/>
        <v>3410152.8277341477</v>
      </c>
      <c r="AA56" s="209">
        <f t="shared" si="32"/>
        <v>3267621.1105462406</v>
      </c>
      <c r="AB56" s="209">
        <f t="shared" si="32"/>
        <v>0</v>
      </c>
      <c r="AC56" s="209">
        <f t="shared" si="32"/>
        <v>0</v>
      </c>
      <c r="AD56" s="209">
        <f t="shared" si="32"/>
        <v>0</v>
      </c>
      <c r="AE56" s="209">
        <f t="shared" si="32"/>
        <v>0</v>
      </c>
      <c r="AF56" s="209">
        <f t="shared" si="32"/>
        <v>0</v>
      </c>
      <c r="AG56" s="209">
        <f t="shared" si="32"/>
        <v>0</v>
      </c>
      <c r="AH56" s="209">
        <f t="shared" si="32"/>
        <v>0</v>
      </c>
      <c r="AI56" s="209">
        <f t="shared" si="32"/>
        <v>0</v>
      </c>
      <c r="AJ56" s="209">
        <f t="shared" si="32"/>
        <v>0</v>
      </c>
      <c r="AK56" s="209">
        <f t="shared" si="32"/>
        <v>0</v>
      </c>
      <c r="AL56" s="209">
        <f t="shared" si="32"/>
        <v>0</v>
      </c>
      <c r="AM56" s="209">
        <f t="shared" si="32"/>
        <v>0</v>
      </c>
      <c r="AN56" s="209">
        <f t="shared" si="32"/>
        <v>0</v>
      </c>
      <c r="AO56" s="209">
        <f t="shared" si="32"/>
        <v>0</v>
      </c>
      <c r="AP56" s="209">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227</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228</v>
      </c>
      <c r="B60" s="195">
        <f>-total_installed_cost</f>
        <v>-38046976</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320</v>
      </c>
      <c r="B61" s="195">
        <f>-(cost_debt_closing)</f>
        <v>-450000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321</v>
      </c>
      <c r="B62" s="195">
        <f>-CostDebtUpfront</f>
        <v>-505599</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322</v>
      </c>
      <c r="B63" s="195">
        <f>-cost_other_financing</f>
        <v>-1000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229</v>
      </c>
      <c r="B64" s="195">
        <f>-Inputs!I81</f>
        <v>-760939.52000000002</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327</v>
      </c>
      <c r="B65" s="195">
        <f>C498+C504</f>
        <v>5000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328</v>
      </c>
      <c r="B66" s="201">
        <f>C511</f>
        <v>999920.00000000012</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243</v>
      </c>
      <c r="B67" s="200">
        <f>SUM(B60:B66)</f>
        <v>-38759594.520000003</v>
      </c>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row>
    <row r="68" spans="1:42" x14ac:dyDescent="0.2">
      <c r="A68" s="24" t="s">
        <v>230</v>
      </c>
      <c r="B68" s="200"/>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26</v>
      </c>
      <c r="B69" s="200">
        <f>-B560-B561</f>
        <v>-1018127.4992398033</v>
      </c>
      <c r="C69" s="200">
        <f t="shared" ref="C69:AP69" si="33">-C560-C561</f>
        <v>0</v>
      </c>
      <c r="D69" s="200">
        <f t="shared" si="33"/>
        <v>0</v>
      </c>
      <c r="E69" s="200">
        <f t="shared" si="33"/>
        <v>0</v>
      </c>
      <c r="F69" s="200">
        <f t="shared" si="33"/>
        <v>0</v>
      </c>
      <c r="G69" s="200">
        <f t="shared" si="33"/>
        <v>0</v>
      </c>
      <c r="H69" s="200">
        <f t="shared" si="33"/>
        <v>0</v>
      </c>
      <c r="I69" s="200">
        <f t="shared" si="33"/>
        <v>0</v>
      </c>
      <c r="J69" s="200">
        <f t="shared" si="33"/>
        <v>0</v>
      </c>
      <c r="K69" s="200">
        <f t="shared" si="33"/>
        <v>0</v>
      </c>
      <c r="L69" s="200">
        <f t="shared" si="33"/>
        <v>0</v>
      </c>
      <c r="M69" s="200">
        <f t="shared" si="33"/>
        <v>0</v>
      </c>
      <c r="N69" s="200">
        <f t="shared" si="33"/>
        <v>0</v>
      </c>
      <c r="O69" s="200">
        <f t="shared" si="33"/>
        <v>0</v>
      </c>
      <c r="P69" s="200">
        <f t="shared" si="33"/>
        <v>0</v>
      </c>
      <c r="Q69" s="200">
        <f t="shared" si="33"/>
        <v>0</v>
      </c>
      <c r="R69" s="200">
        <f t="shared" si="33"/>
        <v>0</v>
      </c>
      <c r="S69" s="200">
        <f t="shared" si="33"/>
        <v>0</v>
      </c>
      <c r="T69" s="200">
        <f t="shared" si="33"/>
        <v>1018127.4992398033</v>
      </c>
      <c r="U69" s="200">
        <f t="shared" si="33"/>
        <v>0</v>
      </c>
      <c r="V69" s="200">
        <f t="shared" si="33"/>
        <v>0</v>
      </c>
      <c r="W69" s="200">
        <f t="shared" si="33"/>
        <v>0</v>
      </c>
      <c r="X69" s="200">
        <f t="shared" si="33"/>
        <v>0</v>
      </c>
      <c r="Y69" s="200">
        <f t="shared" si="33"/>
        <v>0</v>
      </c>
      <c r="Z69" s="200">
        <f t="shared" si="33"/>
        <v>0</v>
      </c>
      <c r="AA69" s="200">
        <f t="shared" si="33"/>
        <v>0</v>
      </c>
      <c r="AB69" s="200">
        <f t="shared" si="33"/>
        <v>0</v>
      </c>
      <c r="AC69" s="200">
        <f t="shared" si="33"/>
        <v>0</v>
      </c>
      <c r="AD69" s="200">
        <f t="shared" si="33"/>
        <v>0</v>
      </c>
      <c r="AE69" s="200">
        <f t="shared" si="33"/>
        <v>0</v>
      </c>
      <c r="AF69" s="200">
        <f t="shared" si="33"/>
        <v>0</v>
      </c>
      <c r="AG69" s="200">
        <f t="shared" si="33"/>
        <v>0</v>
      </c>
      <c r="AH69" s="200">
        <f t="shared" si="33"/>
        <v>0</v>
      </c>
      <c r="AI69" s="200">
        <f t="shared" si="33"/>
        <v>0</v>
      </c>
      <c r="AJ69" s="200">
        <f t="shared" si="33"/>
        <v>0</v>
      </c>
      <c r="AK69" s="200">
        <f t="shared" si="33"/>
        <v>0</v>
      </c>
      <c r="AL69" s="200">
        <f t="shared" si="33"/>
        <v>0</v>
      </c>
      <c r="AM69" s="200">
        <f t="shared" si="33"/>
        <v>0</v>
      </c>
      <c r="AN69" s="200">
        <f t="shared" si="33"/>
        <v>0</v>
      </c>
      <c r="AO69" s="200">
        <f t="shared" si="33"/>
        <v>0</v>
      </c>
      <c r="AP69" s="200">
        <f t="shared" si="33"/>
        <v>0</v>
      </c>
    </row>
    <row r="70" spans="1:42" x14ac:dyDescent="0.2">
      <c r="A70" s="28" t="s">
        <v>231</v>
      </c>
      <c r="B70" s="200">
        <f t="shared" ref="B70:AP70" si="34">-B566-B567</f>
        <v>-245105.44</v>
      </c>
      <c r="C70" s="200">
        <f t="shared" si="34"/>
        <v>-6127.6359999999695</v>
      </c>
      <c r="D70" s="200">
        <f t="shared" si="34"/>
        <v>-6280.8269000000146</v>
      </c>
      <c r="E70" s="200">
        <f t="shared" si="34"/>
        <v>-6437.8475725000026</v>
      </c>
      <c r="F70" s="200">
        <f t="shared" si="34"/>
        <v>-6598.7937618124997</v>
      </c>
      <c r="G70" s="200">
        <f t="shared" si="34"/>
        <v>-6763.7636058577336</v>
      </c>
      <c r="H70" s="200">
        <f t="shared" si="34"/>
        <v>-6932.8576960042701</v>
      </c>
      <c r="I70" s="200">
        <f t="shared" si="34"/>
        <v>-7106.1791384043754</v>
      </c>
      <c r="J70" s="200">
        <f t="shared" si="34"/>
        <v>-7283.8336168644018</v>
      </c>
      <c r="K70" s="200">
        <f t="shared" si="34"/>
        <v>-7465.9294572860235</v>
      </c>
      <c r="L70" s="200">
        <f t="shared" si="34"/>
        <v>-7652.5776937182527</v>
      </c>
      <c r="M70" s="200">
        <f t="shared" si="34"/>
        <v>-7843.8921360612148</v>
      </c>
      <c r="N70" s="200">
        <f t="shared" si="34"/>
        <v>-8039.9894394626608</v>
      </c>
      <c r="O70" s="200">
        <f t="shared" si="34"/>
        <v>-8240.9891754492419</v>
      </c>
      <c r="P70" s="200">
        <f t="shared" si="34"/>
        <v>-8447.0139048355632</v>
      </c>
      <c r="Q70" s="200">
        <f t="shared" si="34"/>
        <v>-8658.1892524564173</v>
      </c>
      <c r="R70" s="200">
        <f t="shared" si="34"/>
        <v>-8874.6439837677754</v>
      </c>
      <c r="S70" s="200">
        <f t="shared" si="34"/>
        <v>-9096.5100833619363</v>
      </c>
      <c r="T70" s="200">
        <f t="shared" si="34"/>
        <v>-9323.9228354460793</v>
      </c>
      <c r="U70" s="200">
        <f t="shared" si="34"/>
        <v>-9557.02090633224</v>
      </c>
      <c r="V70" s="200">
        <f t="shared" si="34"/>
        <v>-9795.9464289905154</v>
      </c>
      <c r="W70" s="200">
        <f t="shared" si="34"/>
        <v>-10040.845089715207</v>
      </c>
      <c r="X70" s="200">
        <f t="shared" si="34"/>
        <v>-10291.866216958151</v>
      </c>
      <c r="Y70" s="200">
        <f t="shared" si="34"/>
        <v>-10549.16287238209</v>
      </c>
      <c r="Z70" s="200">
        <f t="shared" si="34"/>
        <v>-10812.891944191651</v>
      </c>
      <c r="AA70" s="200">
        <f t="shared" si="34"/>
        <v>443328.56971185829</v>
      </c>
      <c r="AB70" s="200">
        <f t="shared" si="34"/>
        <v>0</v>
      </c>
      <c r="AC70" s="200">
        <f t="shared" si="34"/>
        <v>0</v>
      </c>
      <c r="AD70" s="200">
        <f t="shared" si="34"/>
        <v>0</v>
      </c>
      <c r="AE70" s="200">
        <f t="shared" si="34"/>
        <v>0</v>
      </c>
      <c r="AF70" s="200">
        <f t="shared" si="34"/>
        <v>0</v>
      </c>
      <c r="AG70" s="200">
        <f t="shared" si="34"/>
        <v>0</v>
      </c>
      <c r="AH70" s="200">
        <f t="shared" si="34"/>
        <v>0</v>
      </c>
      <c r="AI70" s="200">
        <f t="shared" si="34"/>
        <v>0</v>
      </c>
      <c r="AJ70" s="200">
        <f t="shared" si="34"/>
        <v>0</v>
      </c>
      <c r="AK70" s="200">
        <f t="shared" si="34"/>
        <v>0</v>
      </c>
      <c r="AL70" s="200">
        <f t="shared" si="34"/>
        <v>0</v>
      </c>
      <c r="AM70" s="200">
        <f t="shared" si="34"/>
        <v>0</v>
      </c>
      <c r="AN70" s="200">
        <f t="shared" si="34"/>
        <v>0</v>
      </c>
      <c r="AO70" s="200">
        <f t="shared" si="34"/>
        <v>0</v>
      </c>
      <c r="AP70" s="200">
        <f t="shared" si="34"/>
        <v>0</v>
      </c>
    </row>
    <row r="71" spans="1:42" x14ac:dyDescent="0.2">
      <c r="A71" s="28" t="s">
        <v>106</v>
      </c>
      <c r="B71" s="195">
        <f>-B572-B573</f>
        <v>0</v>
      </c>
      <c r="C71" s="195">
        <f t="shared" ref="C71:AP71" si="35">-C572-C573</f>
        <v>-546659.03786193405</v>
      </c>
      <c r="D71" s="195">
        <f t="shared" si="35"/>
        <v>-546659.03786193405</v>
      </c>
      <c r="E71" s="195">
        <f t="shared" si="35"/>
        <v>-546659.03786193405</v>
      </c>
      <c r="F71" s="195">
        <f t="shared" si="35"/>
        <v>-546659.03786193405</v>
      </c>
      <c r="G71" s="195">
        <f t="shared" si="35"/>
        <v>-546659.03786193405</v>
      </c>
      <c r="H71" s="195">
        <f t="shared" si="35"/>
        <v>-546659.03786193405</v>
      </c>
      <c r="I71" s="195">
        <f t="shared" si="35"/>
        <v>-546659.03786193405</v>
      </c>
      <c r="J71" s="195">
        <f t="shared" si="35"/>
        <v>-546659.03786193405</v>
      </c>
      <c r="K71" s="195">
        <f t="shared" si="35"/>
        <v>-546659.03786193405</v>
      </c>
      <c r="L71" s="195">
        <f t="shared" si="35"/>
        <v>-546659.03786193405</v>
      </c>
      <c r="M71" s="195">
        <f t="shared" si="35"/>
        <v>-546659.03786193405</v>
      </c>
      <c r="N71" s="195">
        <f t="shared" si="35"/>
        <v>6013249.4164812751</v>
      </c>
      <c r="O71" s="195">
        <f t="shared" si="35"/>
        <v>-735195.63069374894</v>
      </c>
      <c r="P71" s="195">
        <f t="shared" si="35"/>
        <v>-735195.63069374894</v>
      </c>
      <c r="Q71" s="195">
        <f t="shared" si="35"/>
        <v>-735195.63069374894</v>
      </c>
      <c r="R71" s="195">
        <f t="shared" si="35"/>
        <v>-735195.63069374894</v>
      </c>
      <c r="S71" s="195">
        <f t="shared" si="35"/>
        <v>-735195.63069374894</v>
      </c>
      <c r="T71" s="195">
        <f t="shared" si="35"/>
        <v>-735195.63069374894</v>
      </c>
      <c r="U71" s="195">
        <f t="shared" si="35"/>
        <v>-735195.63069374894</v>
      </c>
      <c r="V71" s="195">
        <f t="shared" si="35"/>
        <v>-735195.63069374894</v>
      </c>
      <c r="W71" s="195">
        <f t="shared" si="35"/>
        <v>-735195.63069374894</v>
      </c>
      <c r="X71" s="195">
        <f t="shared" si="35"/>
        <v>-735195.63069374894</v>
      </c>
      <c r="Y71" s="195">
        <f t="shared" si="35"/>
        <v>-735195.63069374894</v>
      </c>
      <c r="Z71" s="195">
        <f t="shared" si="35"/>
        <v>8087151.9376312383</v>
      </c>
      <c r="AA71" s="195">
        <f t="shared" si="35"/>
        <v>0</v>
      </c>
      <c r="AB71" s="195">
        <f t="shared" si="35"/>
        <v>0</v>
      </c>
      <c r="AC71" s="195">
        <f t="shared" si="35"/>
        <v>0</v>
      </c>
      <c r="AD71" s="195">
        <f t="shared" si="35"/>
        <v>0</v>
      </c>
      <c r="AE71" s="195">
        <f t="shared" si="35"/>
        <v>0</v>
      </c>
      <c r="AF71" s="195">
        <f t="shared" si="35"/>
        <v>0</v>
      </c>
      <c r="AG71" s="195">
        <f t="shared" si="35"/>
        <v>0</v>
      </c>
      <c r="AH71" s="195">
        <f t="shared" si="35"/>
        <v>0</v>
      </c>
      <c r="AI71" s="195">
        <f t="shared" si="35"/>
        <v>0</v>
      </c>
      <c r="AJ71" s="195">
        <f t="shared" si="35"/>
        <v>0</v>
      </c>
      <c r="AK71" s="195">
        <f t="shared" si="35"/>
        <v>0</v>
      </c>
      <c r="AL71" s="195">
        <f t="shared" si="35"/>
        <v>0</v>
      </c>
      <c r="AM71" s="195">
        <f t="shared" si="35"/>
        <v>0</v>
      </c>
      <c r="AN71" s="195">
        <f t="shared" si="35"/>
        <v>0</v>
      </c>
      <c r="AO71" s="195">
        <f t="shared" si="35"/>
        <v>0</v>
      </c>
      <c r="AP71" s="195">
        <f t="shared" si="35"/>
        <v>0</v>
      </c>
    </row>
    <row r="72" spans="1:42" x14ac:dyDescent="0.2">
      <c r="A72" s="28" t="s">
        <v>107</v>
      </c>
      <c r="B72" s="195">
        <f>-B604-B605</f>
        <v>0</v>
      </c>
      <c r="C72" s="195">
        <f t="shared" ref="C72:AP72" si="36">-C604-C605</f>
        <v>0</v>
      </c>
      <c r="D72" s="195">
        <f t="shared" si="36"/>
        <v>0</v>
      </c>
      <c r="E72" s="195">
        <f t="shared" si="36"/>
        <v>0</v>
      </c>
      <c r="F72" s="195">
        <f t="shared" si="36"/>
        <v>0</v>
      </c>
      <c r="G72" s="195">
        <f t="shared" si="36"/>
        <v>0</v>
      </c>
      <c r="H72" s="195">
        <f t="shared" si="36"/>
        <v>0</v>
      </c>
      <c r="I72" s="195">
        <f t="shared" si="36"/>
        <v>0</v>
      </c>
      <c r="J72" s="195">
        <f t="shared" si="36"/>
        <v>0</v>
      </c>
      <c r="K72" s="195">
        <f t="shared" si="36"/>
        <v>0</v>
      </c>
      <c r="L72" s="195">
        <f t="shared" si="36"/>
        <v>0</v>
      </c>
      <c r="M72" s="195">
        <f t="shared" si="36"/>
        <v>0</v>
      </c>
      <c r="N72" s="195">
        <f t="shared" si="36"/>
        <v>0</v>
      </c>
      <c r="O72" s="195">
        <f t="shared" si="36"/>
        <v>0</v>
      </c>
      <c r="P72" s="195">
        <f t="shared" si="36"/>
        <v>0</v>
      </c>
      <c r="Q72" s="195">
        <f t="shared" si="36"/>
        <v>0</v>
      </c>
      <c r="R72" s="195">
        <f t="shared" si="36"/>
        <v>0</v>
      </c>
      <c r="S72" s="195">
        <f t="shared" si="36"/>
        <v>0</v>
      </c>
      <c r="T72" s="195">
        <f t="shared" si="36"/>
        <v>0</v>
      </c>
      <c r="U72" s="195">
        <f t="shared" si="36"/>
        <v>0</v>
      </c>
      <c r="V72" s="195">
        <f t="shared" si="36"/>
        <v>0</v>
      </c>
      <c r="W72" s="195">
        <f t="shared" si="36"/>
        <v>0</v>
      </c>
      <c r="X72" s="195">
        <f t="shared" si="36"/>
        <v>0</v>
      </c>
      <c r="Y72" s="195">
        <f t="shared" si="36"/>
        <v>0</v>
      </c>
      <c r="Z72" s="195">
        <f t="shared" si="36"/>
        <v>0</v>
      </c>
      <c r="AA72" s="195">
        <f t="shared" si="36"/>
        <v>0</v>
      </c>
      <c r="AB72" s="195">
        <f t="shared" si="36"/>
        <v>0</v>
      </c>
      <c r="AC72" s="195">
        <f t="shared" si="36"/>
        <v>0</v>
      </c>
      <c r="AD72" s="195">
        <f t="shared" si="36"/>
        <v>0</v>
      </c>
      <c r="AE72" s="195">
        <f t="shared" si="36"/>
        <v>0</v>
      </c>
      <c r="AF72" s="195">
        <f t="shared" si="36"/>
        <v>0</v>
      </c>
      <c r="AG72" s="195">
        <f t="shared" si="36"/>
        <v>0</v>
      </c>
      <c r="AH72" s="195">
        <f t="shared" si="36"/>
        <v>0</v>
      </c>
      <c r="AI72" s="195">
        <f t="shared" si="36"/>
        <v>0</v>
      </c>
      <c r="AJ72" s="195">
        <f t="shared" si="36"/>
        <v>0</v>
      </c>
      <c r="AK72" s="195">
        <f t="shared" si="36"/>
        <v>0</v>
      </c>
      <c r="AL72" s="195">
        <f t="shared" si="36"/>
        <v>0</v>
      </c>
      <c r="AM72" s="195">
        <f t="shared" si="36"/>
        <v>0</v>
      </c>
      <c r="AN72" s="195">
        <f t="shared" si="36"/>
        <v>0</v>
      </c>
      <c r="AO72" s="195">
        <f t="shared" si="36"/>
        <v>0</v>
      </c>
      <c r="AP72" s="195">
        <f t="shared" si="36"/>
        <v>0</v>
      </c>
    </row>
    <row r="73" spans="1:42" x14ac:dyDescent="0.2">
      <c r="A73" s="28" t="s">
        <v>108</v>
      </c>
      <c r="B73" s="201">
        <f>-B636-B637</f>
        <v>0</v>
      </c>
      <c r="C73" s="201">
        <f t="shared" ref="C73:AP73" si="37">-C636-C637</f>
        <v>0</v>
      </c>
      <c r="D73" s="201">
        <f t="shared" si="37"/>
        <v>0</v>
      </c>
      <c r="E73" s="201">
        <f t="shared" si="37"/>
        <v>0</v>
      </c>
      <c r="F73" s="201">
        <f t="shared" si="37"/>
        <v>0</v>
      </c>
      <c r="G73" s="201">
        <f t="shared" si="37"/>
        <v>0</v>
      </c>
      <c r="H73" s="201">
        <f t="shared" si="37"/>
        <v>0</v>
      </c>
      <c r="I73" s="201">
        <f t="shared" si="37"/>
        <v>0</v>
      </c>
      <c r="J73" s="201">
        <f t="shared" si="37"/>
        <v>0</v>
      </c>
      <c r="K73" s="201">
        <f t="shared" si="37"/>
        <v>0</v>
      </c>
      <c r="L73" s="201">
        <f t="shared" si="37"/>
        <v>0</v>
      </c>
      <c r="M73" s="201">
        <f t="shared" si="37"/>
        <v>0</v>
      </c>
      <c r="N73" s="201">
        <f t="shared" si="37"/>
        <v>0</v>
      </c>
      <c r="O73" s="201">
        <f t="shared" si="37"/>
        <v>0</v>
      </c>
      <c r="P73" s="201">
        <f t="shared" si="37"/>
        <v>0</v>
      </c>
      <c r="Q73" s="201">
        <f t="shared" si="37"/>
        <v>0</v>
      </c>
      <c r="R73" s="201">
        <f t="shared" si="37"/>
        <v>0</v>
      </c>
      <c r="S73" s="201">
        <f t="shared" si="37"/>
        <v>0</v>
      </c>
      <c r="T73" s="201">
        <f t="shared" si="37"/>
        <v>0</v>
      </c>
      <c r="U73" s="201">
        <f t="shared" si="37"/>
        <v>0</v>
      </c>
      <c r="V73" s="201">
        <f t="shared" si="37"/>
        <v>0</v>
      </c>
      <c r="W73" s="201">
        <f t="shared" si="37"/>
        <v>0</v>
      </c>
      <c r="X73" s="201">
        <f t="shared" si="37"/>
        <v>0</v>
      </c>
      <c r="Y73" s="201">
        <f t="shared" si="37"/>
        <v>0</v>
      </c>
      <c r="Z73" s="201">
        <f t="shared" si="37"/>
        <v>0</v>
      </c>
      <c r="AA73" s="201">
        <f t="shared" si="37"/>
        <v>0</v>
      </c>
      <c r="AB73" s="201">
        <f t="shared" si="37"/>
        <v>0</v>
      </c>
      <c r="AC73" s="201">
        <f t="shared" si="37"/>
        <v>0</v>
      </c>
      <c r="AD73" s="201">
        <f t="shared" si="37"/>
        <v>0</v>
      </c>
      <c r="AE73" s="201">
        <f t="shared" si="37"/>
        <v>0</v>
      </c>
      <c r="AF73" s="201">
        <f t="shared" si="37"/>
        <v>0</v>
      </c>
      <c r="AG73" s="201">
        <f t="shared" si="37"/>
        <v>0</v>
      </c>
      <c r="AH73" s="201">
        <f t="shared" si="37"/>
        <v>0</v>
      </c>
      <c r="AI73" s="201">
        <f t="shared" si="37"/>
        <v>0</v>
      </c>
      <c r="AJ73" s="201">
        <f t="shared" si="37"/>
        <v>0</v>
      </c>
      <c r="AK73" s="201">
        <f t="shared" si="37"/>
        <v>0</v>
      </c>
      <c r="AL73" s="201">
        <f t="shared" si="37"/>
        <v>0</v>
      </c>
      <c r="AM73" s="201">
        <f t="shared" si="37"/>
        <v>0</v>
      </c>
      <c r="AN73" s="201">
        <f t="shared" si="37"/>
        <v>0</v>
      </c>
      <c r="AO73" s="201">
        <f t="shared" si="37"/>
        <v>0</v>
      </c>
      <c r="AP73" s="201">
        <f t="shared" si="37"/>
        <v>0</v>
      </c>
    </row>
    <row r="74" spans="1:42" x14ac:dyDescent="0.2">
      <c r="A74" s="28" t="s">
        <v>13</v>
      </c>
      <c r="B74" s="200">
        <f>SUM(B69:B73)</f>
        <v>-1263232.9392398032</v>
      </c>
      <c r="C74" s="200">
        <f t="shared" ref="C74:AP74" si="38">SUM(C69:C73)</f>
        <v>-552786.67386193399</v>
      </c>
      <c r="D74" s="200">
        <f t="shared" si="38"/>
        <v>-552939.86476193403</v>
      </c>
      <c r="E74" s="200">
        <f t="shared" si="38"/>
        <v>-553096.88543443405</v>
      </c>
      <c r="F74" s="200">
        <f t="shared" si="38"/>
        <v>-553257.83162374655</v>
      </c>
      <c r="G74" s="200">
        <f t="shared" si="38"/>
        <v>-553422.80146779178</v>
      </c>
      <c r="H74" s="200">
        <f t="shared" si="38"/>
        <v>-553591.89555793838</v>
      </c>
      <c r="I74" s="200">
        <f t="shared" si="38"/>
        <v>-553765.21700033848</v>
      </c>
      <c r="J74" s="200">
        <f t="shared" si="38"/>
        <v>-553942.87147879845</v>
      </c>
      <c r="K74" s="200">
        <f t="shared" si="38"/>
        <v>-554124.96731922007</v>
      </c>
      <c r="L74" s="200">
        <f t="shared" si="38"/>
        <v>-554311.6155556523</v>
      </c>
      <c r="M74" s="200">
        <f t="shared" si="38"/>
        <v>-554502.92999799526</v>
      </c>
      <c r="N74" s="200">
        <f t="shared" si="38"/>
        <v>6005209.4270418128</v>
      </c>
      <c r="O74" s="200">
        <f t="shared" si="38"/>
        <v>-743436.61986919818</v>
      </c>
      <c r="P74" s="200">
        <f t="shared" si="38"/>
        <v>-743642.64459858451</v>
      </c>
      <c r="Q74" s="200">
        <f t="shared" si="38"/>
        <v>-743853.81994620536</v>
      </c>
      <c r="R74" s="200">
        <f t="shared" si="38"/>
        <v>-744070.27467751666</v>
      </c>
      <c r="S74" s="200">
        <f t="shared" si="38"/>
        <v>-744292.14077711082</v>
      </c>
      <c r="T74" s="200">
        <f t="shared" si="38"/>
        <v>273607.94571060827</v>
      </c>
      <c r="U74" s="200">
        <f t="shared" si="38"/>
        <v>-744752.65160008124</v>
      </c>
      <c r="V74" s="200">
        <f t="shared" si="38"/>
        <v>-744991.57712273952</v>
      </c>
      <c r="W74" s="200">
        <f t="shared" si="38"/>
        <v>-745236.47578346415</v>
      </c>
      <c r="X74" s="200">
        <f t="shared" si="38"/>
        <v>-745487.49691070709</v>
      </c>
      <c r="Y74" s="200">
        <f t="shared" si="38"/>
        <v>-745744.79356613103</v>
      </c>
      <c r="Z74" s="200">
        <f t="shared" si="38"/>
        <v>8076339.0456870468</v>
      </c>
      <c r="AA74" s="200">
        <f t="shared" si="38"/>
        <v>443328.56971185829</v>
      </c>
      <c r="AB74" s="200">
        <f t="shared" si="38"/>
        <v>0</v>
      </c>
      <c r="AC74" s="200">
        <f t="shared" si="38"/>
        <v>0</v>
      </c>
      <c r="AD74" s="200">
        <f t="shared" si="38"/>
        <v>0</v>
      </c>
      <c r="AE74" s="200">
        <f t="shared" si="38"/>
        <v>0</v>
      </c>
      <c r="AF74" s="200">
        <f t="shared" si="38"/>
        <v>0</v>
      </c>
      <c r="AG74" s="200">
        <f t="shared" si="38"/>
        <v>0</v>
      </c>
      <c r="AH74" s="200">
        <f t="shared" si="38"/>
        <v>0</v>
      </c>
      <c r="AI74" s="200">
        <f t="shared" si="38"/>
        <v>0</v>
      </c>
      <c r="AJ74" s="200">
        <f t="shared" si="38"/>
        <v>0</v>
      </c>
      <c r="AK74" s="200">
        <f t="shared" si="38"/>
        <v>0</v>
      </c>
      <c r="AL74" s="200">
        <f t="shared" si="38"/>
        <v>0</v>
      </c>
      <c r="AM74" s="200">
        <f t="shared" si="38"/>
        <v>0</v>
      </c>
      <c r="AN74" s="200">
        <f t="shared" si="38"/>
        <v>0</v>
      </c>
      <c r="AO74" s="200">
        <f t="shared" si="38"/>
        <v>0</v>
      </c>
      <c r="AP74" s="200">
        <f t="shared" si="38"/>
        <v>0</v>
      </c>
    </row>
    <row r="75" spans="1:42" x14ac:dyDescent="0.2">
      <c r="A75" s="24" t="s">
        <v>303</v>
      </c>
    </row>
    <row r="76" spans="1:42" x14ac:dyDescent="0.2">
      <c r="A76" s="28" t="s">
        <v>112</v>
      </c>
      <c r="B76" s="195">
        <f>B573</f>
        <v>0</v>
      </c>
      <c r="C76" s="195">
        <f t="shared" ref="C76:AP76" si="39">C573</f>
        <v>0</v>
      </c>
      <c r="D76" s="195">
        <f t="shared" si="39"/>
        <v>0</v>
      </c>
      <c r="E76" s="195">
        <f t="shared" si="39"/>
        <v>0</v>
      </c>
      <c r="F76" s="195">
        <f t="shared" si="39"/>
        <v>0</v>
      </c>
      <c r="G76" s="195">
        <f t="shared" si="39"/>
        <v>0</v>
      </c>
      <c r="H76" s="195">
        <f t="shared" si="39"/>
        <v>0</v>
      </c>
      <c r="I76" s="195">
        <f t="shared" si="39"/>
        <v>0</v>
      </c>
      <c r="J76" s="195">
        <f t="shared" si="39"/>
        <v>0</v>
      </c>
      <c r="K76" s="195">
        <f t="shared" si="39"/>
        <v>0</v>
      </c>
      <c r="L76" s="195">
        <f t="shared" si="39"/>
        <v>0</v>
      </c>
      <c r="M76" s="195">
        <f t="shared" si="39"/>
        <v>0</v>
      </c>
      <c r="N76" s="195">
        <f t="shared" si="39"/>
        <v>-6559908.454343209</v>
      </c>
      <c r="O76" s="195">
        <f t="shared" si="39"/>
        <v>0</v>
      </c>
      <c r="P76" s="195">
        <f t="shared" si="39"/>
        <v>0</v>
      </c>
      <c r="Q76" s="195">
        <f t="shared" si="39"/>
        <v>0</v>
      </c>
      <c r="R76" s="195">
        <f t="shared" si="39"/>
        <v>0</v>
      </c>
      <c r="S76" s="195">
        <f t="shared" si="39"/>
        <v>0</v>
      </c>
      <c r="T76" s="195">
        <f t="shared" si="39"/>
        <v>0</v>
      </c>
      <c r="U76" s="195">
        <f t="shared" si="39"/>
        <v>0</v>
      </c>
      <c r="V76" s="195">
        <f t="shared" si="39"/>
        <v>0</v>
      </c>
      <c r="W76" s="195">
        <f t="shared" si="39"/>
        <v>0</v>
      </c>
      <c r="X76" s="195">
        <f t="shared" si="39"/>
        <v>0</v>
      </c>
      <c r="Y76" s="195">
        <f t="shared" si="39"/>
        <v>0</v>
      </c>
      <c r="Z76" s="195">
        <f t="shared" si="39"/>
        <v>-8822347.5683249868</v>
      </c>
      <c r="AA76" s="195">
        <f t="shared" si="39"/>
        <v>0</v>
      </c>
      <c r="AB76" s="195">
        <f t="shared" si="39"/>
        <v>0</v>
      </c>
      <c r="AC76" s="195">
        <f t="shared" si="39"/>
        <v>0</v>
      </c>
      <c r="AD76" s="195">
        <f t="shared" si="39"/>
        <v>0</v>
      </c>
      <c r="AE76" s="195">
        <f t="shared" si="39"/>
        <v>0</v>
      </c>
      <c r="AF76" s="195">
        <f t="shared" si="39"/>
        <v>0</v>
      </c>
      <c r="AG76" s="195">
        <f t="shared" si="39"/>
        <v>0</v>
      </c>
      <c r="AH76" s="195">
        <f t="shared" si="39"/>
        <v>0</v>
      </c>
      <c r="AI76" s="195">
        <f t="shared" si="39"/>
        <v>0</v>
      </c>
      <c r="AJ76" s="195">
        <f t="shared" si="39"/>
        <v>0</v>
      </c>
      <c r="AK76" s="195">
        <f t="shared" si="39"/>
        <v>0</v>
      </c>
      <c r="AL76" s="195">
        <f t="shared" si="39"/>
        <v>0</v>
      </c>
      <c r="AM76" s="195">
        <f t="shared" si="39"/>
        <v>0</v>
      </c>
      <c r="AN76" s="195">
        <f t="shared" si="39"/>
        <v>0</v>
      </c>
      <c r="AO76" s="195">
        <f t="shared" si="39"/>
        <v>0</v>
      </c>
      <c r="AP76" s="195">
        <f t="shared" si="39"/>
        <v>0</v>
      </c>
    </row>
    <row r="77" spans="1:42" x14ac:dyDescent="0.2">
      <c r="A77" s="28" t="s">
        <v>113</v>
      </c>
      <c r="B77" s="195">
        <f>B605</f>
        <v>0</v>
      </c>
      <c r="C77" s="195">
        <f t="shared" ref="C77:AP77" si="40">C605</f>
        <v>0</v>
      </c>
      <c r="D77" s="195">
        <f t="shared" si="40"/>
        <v>0</v>
      </c>
      <c r="E77" s="195">
        <f t="shared" si="40"/>
        <v>0</v>
      </c>
      <c r="F77" s="195">
        <f t="shared" si="40"/>
        <v>0</v>
      </c>
      <c r="G77" s="195">
        <f t="shared" si="40"/>
        <v>0</v>
      </c>
      <c r="H77" s="195">
        <f t="shared" si="40"/>
        <v>0</v>
      </c>
      <c r="I77" s="195">
        <f t="shared" si="40"/>
        <v>0</v>
      </c>
      <c r="J77" s="195">
        <f t="shared" si="40"/>
        <v>0</v>
      </c>
      <c r="K77" s="195">
        <f t="shared" si="40"/>
        <v>0</v>
      </c>
      <c r="L77" s="195">
        <f t="shared" si="40"/>
        <v>0</v>
      </c>
      <c r="M77" s="195">
        <f t="shared" si="40"/>
        <v>0</v>
      </c>
      <c r="N77" s="195">
        <f t="shared" si="40"/>
        <v>0</v>
      </c>
      <c r="O77" s="195">
        <f t="shared" si="40"/>
        <v>0</v>
      </c>
      <c r="P77" s="195">
        <f t="shared" si="40"/>
        <v>0</v>
      </c>
      <c r="Q77" s="195">
        <f t="shared" si="40"/>
        <v>0</v>
      </c>
      <c r="R77" s="195">
        <f t="shared" si="40"/>
        <v>0</v>
      </c>
      <c r="S77" s="195">
        <f t="shared" si="40"/>
        <v>0</v>
      </c>
      <c r="T77" s="195">
        <f t="shared" si="40"/>
        <v>0</v>
      </c>
      <c r="U77" s="195">
        <f t="shared" si="40"/>
        <v>0</v>
      </c>
      <c r="V77" s="195">
        <f t="shared" si="40"/>
        <v>0</v>
      </c>
      <c r="W77" s="195">
        <f t="shared" si="40"/>
        <v>0</v>
      </c>
      <c r="X77" s="195">
        <f t="shared" si="40"/>
        <v>0</v>
      </c>
      <c r="Y77" s="195">
        <f t="shared" si="40"/>
        <v>0</v>
      </c>
      <c r="Z77" s="195">
        <f t="shared" si="40"/>
        <v>0</v>
      </c>
      <c r="AA77" s="195">
        <f t="shared" si="40"/>
        <v>0</v>
      </c>
      <c r="AB77" s="195">
        <f t="shared" si="40"/>
        <v>0</v>
      </c>
      <c r="AC77" s="195">
        <f t="shared" si="40"/>
        <v>0</v>
      </c>
      <c r="AD77" s="195">
        <f t="shared" si="40"/>
        <v>0</v>
      </c>
      <c r="AE77" s="195">
        <f t="shared" si="40"/>
        <v>0</v>
      </c>
      <c r="AF77" s="195">
        <f t="shared" si="40"/>
        <v>0</v>
      </c>
      <c r="AG77" s="195">
        <f t="shared" si="40"/>
        <v>0</v>
      </c>
      <c r="AH77" s="195">
        <f t="shared" si="40"/>
        <v>0</v>
      </c>
      <c r="AI77" s="195">
        <f t="shared" si="40"/>
        <v>0</v>
      </c>
      <c r="AJ77" s="195">
        <f t="shared" si="40"/>
        <v>0</v>
      </c>
      <c r="AK77" s="195">
        <f t="shared" si="40"/>
        <v>0</v>
      </c>
      <c r="AL77" s="195">
        <f t="shared" si="40"/>
        <v>0</v>
      </c>
      <c r="AM77" s="195">
        <f t="shared" si="40"/>
        <v>0</v>
      </c>
      <c r="AN77" s="195">
        <f t="shared" si="40"/>
        <v>0</v>
      </c>
      <c r="AO77" s="195">
        <f t="shared" si="40"/>
        <v>0</v>
      </c>
      <c r="AP77" s="195">
        <f t="shared" si="40"/>
        <v>0</v>
      </c>
    </row>
    <row r="78" spans="1:42" x14ac:dyDescent="0.2">
      <c r="A78" s="28" t="s">
        <v>114</v>
      </c>
      <c r="B78" s="201">
        <f>B637</f>
        <v>0</v>
      </c>
      <c r="C78" s="201">
        <f t="shared" ref="C78:AP78" si="41">C637</f>
        <v>0</v>
      </c>
      <c r="D78" s="201">
        <f t="shared" si="41"/>
        <v>0</v>
      </c>
      <c r="E78" s="201">
        <f t="shared" si="41"/>
        <v>0</v>
      </c>
      <c r="F78" s="201">
        <f t="shared" si="41"/>
        <v>0</v>
      </c>
      <c r="G78" s="201">
        <f t="shared" si="41"/>
        <v>0</v>
      </c>
      <c r="H78" s="201">
        <f t="shared" si="41"/>
        <v>0</v>
      </c>
      <c r="I78" s="201">
        <f t="shared" si="41"/>
        <v>0</v>
      </c>
      <c r="J78" s="201">
        <f t="shared" si="41"/>
        <v>0</v>
      </c>
      <c r="K78" s="201">
        <f t="shared" si="41"/>
        <v>0</v>
      </c>
      <c r="L78" s="201">
        <f t="shared" si="41"/>
        <v>0</v>
      </c>
      <c r="M78" s="201">
        <f t="shared" si="41"/>
        <v>0</v>
      </c>
      <c r="N78" s="201">
        <f t="shared" si="41"/>
        <v>0</v>
      </c>
      <c r="O78" s="201">
        <f t="shared" si="41"/>
        <v>0</v>
      </c>
      <c r="P78" s="201">
        <f t="shared" si="41"/>
        <v>0</v>
      </c>
      <c r="Q78" s="201">
        <f t="shared" si="41"/>
        <v>0</v>
      </c>
      <c r="R78" s="201">
        <f t="shared" si="41"/>
        <v>0</v>
      </c>
      <c r="S78" s="201">
        <f t="shared" si="41"/>
        <v>0</v>
      </c>
      <c r="T78" s="201">
        <f t="shared" si="41"/>
        <v>0</v>
      </c>
      <c r="U78" s="201">
        <f t="shared" si="41"/>
        <v>0</v>
      </c>
      <c r="V78" s="201">
        <f t="shared" si="41"/>
        <v>0</v>
      </c>
      <c r="W78" s="201">
        <f t="shared" si="41"/>
        <v>0</v>
      </c>
      <c r="X78" s="201">
        <f t="shared" si="41"/>
        <v>0</v>
      </c>
      <c r="Y78" s="201">
        <f t="shared" si="41"/>
        <v>0</v>
      </c>
      <c r="Z78" s="201">
        <f t="shared" si="41"/>
        <v>0</v>
      </c>
      <c r="AA78" s="201">
        <f t="shared" si="41"/>
        <v>0</v>
      </c>
      <c r="AB78" s="201">
        <f t="shared" si="41"/>
        <v>0</v>
      </c>
      <c r="AC78" s="201">
        <f t="shared" si="41"/>
        <v>0</v>
      </c>
      <c r="AD78" s="201">
        <f t="shared" si="41"/>
        <v>0</v>
      </c>
      <c r="AE78" s="201">
        <f t="shared" si="41"/>
        <v>0</v>
      </c>
      <c r="AF78" s="201">
        <f t="shared" si="41"/>
        <v>0</v>
      </c>
      <c r="AG78" s="201">
        <f t="shared" si="41"/>
        <v>0</v>
      </c>
      <c r="AH78" s="201">
        <f t="shared" si="41"/>
        <v>0</v>
      </c>
      <c r="AI78" s="201">
        <f t="shared" si="41"/>
        <v>0</v>
      </c>
      <c r="AJ78" s="201">
        <f t="shared" si="41"/>
        <v>0</v>
      </c>
      <c r="AK78" s="201">
        <f t="shared" si="41"/>
        <v>0</v>
      </c>
      <c r="AL78" s="201">
        <f t="shared" si="41"/>
        <v>0</v>
      </c>
      <c r="AM78" s="201">
        <f t="shared" si="41"/>
        <v>0</v>
      </c>
      <c r="AN78" s="201">
        <f t="shared" si="41"/>
        <v>0</v>
      </c>
      <c r="AO78" s="201">
        <f t="shared" si="41"/>
        <v>0</v>
      </c>
      <c r="AP78" s="201">
        <f t="shared" si="41"/>
        <v>0</v>
      </c>
    </row>
    <row r="79" spans="1:42" x14ac:dyDescent="0.2">
      <c r="A79" s="28" t="s">
        <v>13</v>
      </c>
      <c r="B79" s="284">
        <f>SUM(B76:B78)</f>
        <v>0</v>
      </c>
      <c r="C79" s="284">
        <f t="shared" ref="C79:AP79" si="42">SUM(C76:C78)</f>
        <v>0</v>
      </c>
      <c r="D79" s="284">
        <f t="shared" si="42"/>
        <v>0</v>
      </c>
      <c r="E79" s="284">
        <f t="shared" si="42"/>
        <v>0</v>
      </c>
      <c r="F79" s="284">
        <f t="shared" si="42"/>
        <v>0</v>
      </c>
      <c r="G79" s="284">
        <f t="shared" si="42"/>
        <v>0</v>
      </c>
      <c r="H79" s="284">
        <f t="shared" si="42"/>
        <v>0</v>
      </c>
      <c r="I79" s="284">
        <f t="shared" si="42"/>
        <v>0</v>
      </c>
      <c r="J79" s="284">
        <f t="shared" si="42"/>
        <v>0</v>
      </c>
      <c r="K79" s="284">
        <f t="shared" si="42"/>
        <v>0</v>
      </c>
      <c r="L79" s="284">
        <f t="shared" si="42"/>
        <v>0</v>
      </c>
      <c r="M79" s="284">
        <f t="shared" si="42"/>
        <v>0</v>
      </c>
      <c r="N79" s="284">
        <f t="shared" si="42"/>
        <v>-6559908.454343209</v>
      </c>
      <c r="O79" s="284">
        <f t="shared" si="42"/>
        <v>0</v>
      </c>
      <c r="P79" s="284">
        <f t="shared" si="42"/>
        <v>0</v>
      </c>
      <c r="Q79" s="284">
        <f t="shared" si="42"/>
        <v>0</v>
      </c>
      <c r="R79" s="284">
        <f t="shared" si="42"/>
        <v>0</v>
      </c>
      <c r="S79" s="284">
        <f t="shared" si="42"/>
        <v>0</v>
      </c>
      <c r="T79" s="284">
        <f t="shared" si="42"/>
        <v>0</v>
      </c>
      <c r="U79" s="284">
        <f t="shared" si="42"/>
        <v>0</v>
      </c>
      <c r="V79" s="284">
        <f t="shared" si="42"/>
        <v>0</v>
      </c>
      <c r="W79" s="284">
        <f t="shared" si="42"/>
        <v>0</v>
      </c>
      <c r="X79" s="284">
        <f t="shared" si="42"/>
        <v>0</v>
      </c>
      <c r="Y79" s="284">
        <f t="shared" si="42"/>
        <v>0</v>
      </c>
      <c r="Z79" s="284">
        <f t="shared" si="42"/>
        <v>-8822347.5683249868</v>
      </c>
      <c r="AA79" s="284">
        <f t="shared" si="42"/>
        <v>0</v>
      </c>
      <c r="AB79" s="284">
        <f t="shared" si="42"/>
        <v>0</v>
      </c>
      <c r="AC79" s="284">
        <f t="shared" si="42"/>
        <v>0</v>
      </c>
      <c r="AD79" s="284">
        <f t="shared" si="42"/>
        <v>0</v>
      </c>
      <c r="AE79" s="284">
        <f t="shared" si="42"/>
        <v>0</v>
      </c>
      <c r="AF79" s="284">
        <f t="shared" si="42"/>
        <v>0</v>
      </c>
      <c r="AG79" s="284">
        <f t="shared" si="42"/>
        <v>0</v>
      </c>
      <c r="AH79" s="284">
        <f t="shared" si="42"/>
        <v>0</v>
      </c>
      <c r="AI79" s="284">
        <f t="shared" si="42"/>
        <v>0</v>
      </c>
      <c r="AJ79" s="284">
        <f t="shared" si="42"/>
        <v>0</v>
      </c>
      <c r="AK79" s="284">
        <f t="shared" si="42"/>
        <v>0</v>
      </c>
      <c r="AL79" s="284">
        <f t="shared" si="42"/>
        <v>0</v>
      </c>
      <c r="AM79" s="284">
        <f t="shared" si="42"/>
        <v>0</v>
      </c>
      <c r="AN79" s="284">
        <f t="shared" si="42"/>
        <v>0</v>
      </c>
      <c r="AO79" s="284">
        <f t="shared" si="42"/>
        <v>0</v>
      </c>
      <c r="AP79" s="284">
        <f t="shared" si="42"/>
        <v>0</v>
      </c>
    </row>
    <row r="80" spans="1:42" x14ac:dyDescent="0.2">
      <c r="A80" s="285" t="s">
        <v>13</v>
      </c>
      <c r="B80" s="209">
        <f>B67+B74+B79</f>
        <v>-40022827.459239803</v>
      </c>
      <c r="C80" s="209">
        <f t="shared" ref="C80:AP80" si="43">C67+C74+C79</f>
        <v>-552786.67386193399</v>
      </c>
      <c r="D80" s="209">
        <f t="shared" si="43"/>
        <v>-552939.86476193403</v>
      </c>
      <c r="E80" s="209">
        <f t="shared" si="43"/>
        <v>-553096.88543443405</v>
      </c>
      <c r="F80" s="209">
        <f t="shared" si="43"/>
        <v>-553257.83162374655</v>
      </c>
      <c r="G80" s="209">
        <f t="shared" si="43"/>
        <v>-553422.80146779178</v>
      </c>
      <c r="H80" s="209">
        <f t="shared" si="43"/>
        <v>-553591.89555793838</v>
      </c>
      <c r="I80" s="209">
        <f t="shared" si="43"/>
        <v>-553765.21700033848</v>
      </c>
      <c r="J80" s="209">
        <f t="shared" si="43"/>
        <v>-553942.87147879845</v>
      </c>
      <c r="K80" s="209">
        <f t="shared" si="43"/>
        <v>-554124.96731922007</v>
      </c>
      <c r="L80" s="209">
        <f t="shared" si="43"/>
        <v>-554311.6155556523</v>
      </c>
      <c r="M80" s="209">
        <f t="shared" si="43"/>
        <v>-554502.92999799526</v>
      </c>
      <c r="N80" s="209">
        <f t="shared" si="43"/>
        <v>-554699.02730139624</v>
      </c>
      <c r="O80" s="209">
        <f t="shared" si="43"/>
        <v>-743436.61986919818</v>
      </c>
      <c r="P80" s="209">
        <f t="shared" si="43"/>
        <v>-743642.64459858451</v>
      </c>
      <c r="Q80" s="209">
        <f t="shared" si="43"/>
        <v>-743853.81994620536</v>
      </c>
      <c r="R80" s="209">
        <f t="shared" si="43"/>
        <v>-744070.27467751666</v>
      </c>
      <c r="S80" s="209">
        <f t="shared" si="43"/>
        <v>-744292.14077711082</v>
      </c>
      <c r="T80" s="209">
        <f t="shared" si="43"/>
        <v>273607.94571060827</v>
      </c>
      <c r="U80" s="209">
        <f t="shared" si="43"/>
        <v>-744752.65160008124</v>
      </c>
      <c r="V80" s="209">
        <f t="shared" si="43"/>
        <v>-744991.57712273952</v>
      </c>
      <c r="W80" s="209">
        <f t="shared" si="43"/>
        <v>-745236.47578346415</v>
      </c>
      <c r="X80" s="209">
        <f t="shared" si="43"/>
        <v>-745487.49691070709</v>
      </c>
      <c r="Y80" s="209">
        <f t="shared" si="43"/>
        <v>-745744.79356613103</v>
      </c>
      <c r="Z80" s="209">
        <f t="shared" si="43"/>
        <v>-746008.52263794001</v>
      </c>
      <c r="AA80" s="209">
        <f t="shared" si="43"/>
        <v>443328.56971185829</v>
      </c>
      <c r="AB80" s="209">
        <f t="shared" si="43"/>
        <v>0</v>
      </c>
      <c r="AC80" s="209">
        <f t="shared" si="43"/>
        <v>0</v>
      </c>
      <c r="AD80" s="209">
        <f t="shared" si="43"/>
        <v>0</v>
      </c>
      <c r="AE80" s="209">
        <f t="shared" si="43"/>
        <v>0</v>
      </c>
      <c r="AF80" s="209">
        <f t="shared" si="43"/>
        <v>0</v>
      </c>
      <c r="AG80" s="209">
        <f t="shared" si="43"/>
        <v>0</v>
      </c>
      <c r="AH80" s="209">
        <f t="shared" si="43"/>
        <v>0</v>
      </c>
      <c r="AI80" s="209">
        <f t="shared" si="43"/>
        <v>0</v>
      </c>
      <c r="AJ80" s="209">
        <f t="shared" si="43"/>
        <v>0</v>
      </c>
      <c r="AK80" s="209">
        <f t="shared" si="43"/>
        <v>0</v>
      </c>
      <c r="AL80" s="209">
        <f t="shared" si="43"/>
        <v>0</v>
      </c>
      <c r="AM80" s="209">
        <f t="shared" si="43"/>
        <v>0</v>
      </c>
      <c r="AN80" s="209">
        <f t="shared" si="43"/>
        <v>0</v>
      </c>
      <c r="AO80" s="209">
        <f t="shared" si="43"/>
        <v>0</v>
      </c>
      <c r="AP80" s="209">
        <f t="shared" si="43"/>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82</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261</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2" t="s">
        <v>327</v>
      </c>
      <c r="B84" s="200">
        <f>C498+C504</f>
        <v>5000</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0"/>
      <c r="AN84" s="200"/>
      <c r="AO84" s="200"/>
      <c r="AP84" s="200"/>
    </row>
    <row r="85" spans="1:42" x14ac:dyDescent="0.2">
      <c r="A85" s="122" t="s">
        <v>328</v>
      </c>
      <c r="B85" s="195">
        <f>C511</f>
        <v>999920.00000000012</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0"/>
      <c r="AN85" s="200"/>
      <c r="AO85" s="200"/>
      <c r="AP85" s="200"/>
    </row>
    <row r="86" spans="1:42" x14ac:dyDescent="0.2">
      <c r="A86" s="122" t="s">
        <v>262</v>
      </c>
      <c r="B86" s="201">
        <f>IF(DebtPercent="Calculated",B548,B549)</f>
        <v>20482866</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row>
    <row r="87" spans="1:42" x14ac:dyDescent="0.2">
      <c r="A87" s="122" t="s">
        <v>13</v>
      </c>
      <c r="B87" s="200">
        <f>SUM(B84:B86)</f>
        <v>21487786</v>
      </c>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200"/>
    </row>
    <row r="88" spans="1:42" x14ac:dyDescent="0.2">
      <c r="A88" s="24" t="s">
        <v>260</v>
      </c>
      <c r="B88" s="200">
        <f>-B80-B86</f>
        <v>19539961.459239803</v>
      </c>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row>
    <row r="89" spans="1:42" x14ac:dyDescent="0.2">
      <c r="A89" s="24" t="s">
        <v>259</v>
      </c>
      <c r="B89" s="201">
        <v>0</v>
      </c>
      <c r="C89" s="201">
        <f>-C537</f>
        <v>-602454.37847960647</v>
      </c>
      <c r="D89" s="201">
        <f t="shared" ref="D89:AP89" si="44">-D537</f>
        <v>-644626.18497317913</v>
      </c>
      <c r="E89" s="201">
        <f t="shared" si="44"/>
        <v>-689750.01792130177</v>
      </c>
      <c r="F89" s="201">
        <f t="shared" si="44"/>
        <v>-738032.51917579281</v>
      </c>
      <c r="G89" s="201">
        <f t="shared" si="44"/>
        <v>-789694.79551809863</v>
      </c>
      <c r="H89" s="201">
        <f t="shared" si="44"/>
        <v>-844973.43120436557</v>
      </c>
      <c r="I89" s="201">
        <f t="shared" si="44"/>
        <v>-904121.57138867094</v>
      </c>
      <c r="J89" s="201">
        <f t="shared" si="44"/>
        <v>-967410.08138587815</v>
      </c>
      <c r="K89" s="201">
        <f t="shared" si="44"/>
        <v>-1035128.7870828896</v>
      </c>
      <c r="L89" s="201">
        <f t="shared" si="44"/>
        <v>-1107587.8021786918</v>
      </c>
      <c r="M89" s="201">
        <f t="shared" si="44"/>
        <v>-1185118.9483312003</v>
      </c>
      <c r="N89" s="201">
        <f t="shared" si="44"/>
        <v>-1268077.2747143842</v>
      </c>
      <c r="O89" s="201">
        <f t="shared" si="44"/>
        <v>-1356842.6839443911</v>
      </c>
      <c r="P89" s="201">
        <f t="shared" si="44"/>
        <v>-1451821.6718204985</v>
      </c>
      <c r="Q89" s="201">
        <f t="shared" si="44"/>
        <v>-1553449.1888479334</v>
      </c>
      <c r="R89" s="201">
        <f t="shared" si="44"/>
        <v>-1662190.6320672887</v>
      </c>
      <c r="S89" s="201">
        <f t="shared" si="44"/>
        <v>-1778543.9763119989</v>
      </c>
      <c r="T89" s="201">
        <f t="shared" si="44"/>
        <v>-1903042.054653839</v>
      </c>
      <c r="U89" s="201">
        <f t="shared" si="44"/>
        <v>0</v>
      </c>
      <c r="V89" s="201">
        <f t="shared" si="44"/>
        <v>0</v>
      </c>
      <c r="W89" s="201">
        <f t="shared" si="44"/>
        <v>0</v>
      </c>
      <c r="X89" s="201">
        <f t="shared" si="44"/>
        <v>0</v>
      </c>
      <c r="Y89" s="201">
        <f t="shared" si="44"/>
        <v>0</v>
      </c>
      <c r="Z89" s="201">
        <f t="shared" si="44"/>
        <v>0</v>
      </c>
      <c r="AA89" s="201">
        <f t="shared" si="44"/>
        <v>0</v>
      </c>
      <c r="AB89" s="201">
        <f t="shared" si="44"/>
        <v>0</v>
      </c>
      <c r="AC89" s="201">
        <f t="shared" si="44"/>
        <v>0</v>
      </c>
      <c r="AD89" s="201">
        <f t="shared" si="44"/>
        <v>0</v>
      </c>
      <c r="AE89" s="201">
        <f t="shared" si="44"/>
        <v>0</v>
      </c>
      <c r="AF89" s="201">
        <f t="shared" si="44"/>
        <v>0</v>
      </c>
      <c r="AG89" s="201">
        <f t="shared" si="44"/>
        <v>0</v>
      </c>
      <c r="AH89" s="201">
        <f t="shared" si="44"/>
        <v>0</v>
      </c>
      <c r="AI89" s="201">
        <f t="shared" si="44"/>
        <v>0</v>
      </c>
      <c r="AJ89" s="201">
        <f t="shared" si="44"/>
        <v>0</v>
      </c>
      <c r="AK89" s="201">
        <f t="shared" si="44"/>
        <v>0</v>
      </c>
      <c r="AL89" s="201">
        <f t="shared" si="44"/>
        <v>0</v>
      </c>
      <c r="AM89" s="201">
        <f t="shared" si="44"/>
        <v>0</v>
      </c>
      <c r="AN89" s="201">
        <f t="shared" si="44"/>
        <v>0</v>
      </c>
      <c r="AO89" s="201">
        <f t="shared" si="44"/>
        <v>0</v>
      </c>
      <c r="AP89" s="201">
        <f t="shared" si="44"/>
        <v>0</v>
      </c>
    </row>
    <row r="90" spans="1:42" x14ac:dyDescent="0.2">
      <c r="A90" s="286" t="s">
        <v>13</v>
      </c>
      <c r="B90" s="195">
        <f>SUM(B87:B89)</f>
        <v>41027747.459239803</v>
      </c>
      <c r="C90" s="284">
        <f>SUM(C87:C89)</f>
        <v>-602454.37847960647</v>
      </c>
      <c r="D90" s="284">
        <f t="shared" ref="D90:AP90" si="45">SUM(D87:D89)</f>
        <v>-644626.18497317913</v>
      </c>
      <c r="E90" s="284">
        <f t="shared" si="45"/>
        <v>-689750.01792130177</v>
      </c>
      <c r="F90" s="284">
        <f t="shared" si="45"/>
        <v>-738032.51917579281</v>
      </c>
      <c r="G90" s="284">
        <f t="shared" si="45"/>
        <v>-789694.79551809863</v>
      </c>
      <c r="H90" s="284">
        <f t="shared" si="45"/>
        <v>-844973.43120436557</v>
      </c>
      <c r="I90" s="284">
        <f t="shared" si="45"/>
        <v>-904121.57138867094</v>
      </c>
      <c r="J90" s="284">
        <f t="shared" si="45"/>
        <v>-967410.08138587815</v>
      </c>
      <c r="K90" s="284">
        <f t="shared" si="45"/>
        <v>-1035128.7870828896</v>
      </c>
      <c r="L90" s="284">
        <f t="shared" si="45"/>
        <v>-1107587.8021786918</v>
      </c>
      <c r="M90" s="284">
        <f t="shared" si="45"/>
        <v>-1185118.9483312003</v>
      </c>
      <c r="N90" s="284">
        <f t="shared" si="45"/>
        <v>-1268077.2747143842</v>
      </c>
      <c r="O90" s="284">
        <f t="shared" si="45"/>
        <v>-1356842.6839443911</v>
      </c>
      <c r="P90" s="284">
        <f t="shared" si="45"/>
        <v>-1451821.6718204985</v>
      </c>
      <c r="Q90" s="284">
        <f t="shared" si="45"/>
        <v>-1553449.1888479334</v>
      </c>
      <c r="R90" s="284">
        <f t="shared" si="45"/>
        <v>-1662190.6320672887</v>
      </c>
      <c r="S90" s="284">
        <f t="shared" si="45"/>
        <v>-1778543.9763119989</v>
      </c>
      <c r="T90" s="284">
        <f t="shared" si="45"/>
        <v>-1903042.054653839</v>
      </c>
      <c r="U90" s="284">
        <f t="shared" si="45"/>
        <v>0</v>
      </c>
      <c r="V90" s="284">
        <f t="shared" si="45"/>
        <v>0</v>
      </c>
      <c r="W90" s="284">
        <f t="shared" si="45"/>
        <v>0</v>
      </c>
      <c r="X90" s="284">
        <f t="shared" si="45"/>
        <v>0</v>
      </c>
      <c r="Y90" s="284">
        <f t="shared" si="45"/>
        <v>0</v>
      </c>
      <c r="Z90" s="284">
        <f t="shared" si="45"/>
        <v>0</v>
      </c>
      <c r="AA90" s="284">
        <f t="shared" si="45"/>
        <v>0</v>
      </c>
      <c r="AB90" s="284">
        <f t="shared" si="45"/>
        <v>0</v>
      </c>
      <c r="AC90" s="284">
        <f t="shared" si="45"/>
        <v>0</v>
      </c>
      <c r="AD90" s="284">
        <f t="shared" si="45"/>
        <v>0</v>
      </c>
      <c r="AE90" s="284">
        <f t="shared" si="45"/>
        <v>0</v>
      </c>
      <c r="AF90" s="284">
        <f t="shared" si="45"/>
        <v>0</v>
      </c>
      <c r="AG90" s="284">
        <f t="shared" si="45"/>
        <v>0</v>
      </c>
      <c r="AH90" s="284">
        <f t="shared" si="45"/>
        <v>0</v>
      </c>
      <c r="AI90" s="284">
        <f t="shared" si="45"/>
        <v>0</v>
      </c>
      <c r="AJ90" s="284">
        <f t="shared" si="45"/>
        <v>0</v>
      </c>
      <c r="AK90" s="284">
        <f t="shared" si="45"/>
        <v>0</v>
      </c>
      <c r="AL90" s="284">
        <f t="shared" si="45"/>
        <v>0</v>
      </c>
      <c r="AM90" s="284">
        <f t="shared" si="45"/>
        <v>0</v>
      </c>
      <c r="AN90" s="284">
        <f t="shared" si="45"/>
        <v>0</v>
      </c>
      <c r="AO90" s="284">
        <f t="shared" si="45"/>
        <v>0</v>
      </c>
      <c r="AP90" s="284">
        <f t="shared" si="45"/>
        <v>0</v>
      </c>
    </row>
    <row r="91" spans="1:42" s="287" customFormat="1" ht="13.5" thickBot="1" x14ac:dyDescent="0.25">
      <c r="A91" s="286"/>
      <c r="B91" s="284"/>
      <c r="C91" s="284"/>
      <c r="D91" s="284"/>
      <c r="E91" s="284"/>
      <c r="F91" s="284"/>
      <c r="G91" s="284"/>
      <c r="H91" s="284"/>
      <c r="I91" s="284"/>
      <c r="J91" s="284"/>
      <c r="K91" s="284"/>
      <c r="L91" s="284"/>
      <c r="M91" s="284"/>
      <c r="N91" s="284"/>
      <c r="O91" s="284"/>
      <c r="P91" s="284"/>
      <c r="Q91" s="284"/>
      <c r="R91" s="284"/>
      <c r="S91" s="284"/>
      <c r="T91" s="284"/>
      <c r="U91" s="284"/>
      <c r="V91" s="284"/>
      <c r="W91" s="284"/>
      <c r="X91" s="284"/>
      <c r="Y91" s="284"/>
      <c r="Z91" s="284"/>
      <c r="AA91" s="284"/>
      <c r="AB91" s="284"/>
      <c r="AC91" s="284"/>
      <c r="AD91" s="284"/>
      <c r="AE91" s="284"/>
      <c r="AF91" s="284"/>
      <c r="AG91" s="284"/>
      <c r="AH91" s="284"/>
      <c r="AI91" s="284"/>
      <c r="AJ91" s="284"/>
      <c r="AK91" s="284"/>
      <c r="AL91" s="284"/>
      <c r="AM91" s="284"/>
      <c r="AN91" s="284"/>
      <c r="AO91" s="284"/>
      <c r="AP91" s="284"/>
    </row>
    <row r="92" spans="1:42" s="127" customFormat="1" ht="13.5" thickTop="1" x14ac:dyDescent="0.2">
      <c r="A92" s="114" t="s">
        <v>335</v>
      </c>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c r="AA92" s="297"/>
      <c r="AB92" s="297"/>
      <c r="AC92" s="297"/>
      <c r="AD92" s="297"/>
      <c r="AE92" s="297"/>
      <c r="AF92" s="297"/>
      <c r="AG92" s="297"/>
      <c r="AH92" s="297"/>
      <c r="AI92" s="297"/>
      <c r="AJ92" s="297"/>
      <c r="AK92" s="297"/>
      <c r="AL92" s="297"/>
      <c r="AM92" s="297"/>
      <c r="AN92" s="297"/>
      <c r="AO92" s="297"/>
      <c r="AP92" s="297"/>
    </row>
    <row r="93" spans="1:42" s="127" customFormat="1" x14ac:dyDescent="0.2">
      <c r="A93" s="30" t="s">
        <v>336</v>
      </c>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row>
    <row r="94" spans="1:42" x14ac:dyDescent="0.2">
      <c r="A94" s="122" t="s">
        <v>260</v>
      </c>
      <c r="B94" s="195">
        <f t="shared" ref="B94:AP94" si="46">-B88</f>
        <v>-19539961.459239803</v>
      </c>
      <c r="C94" s="195">
        <f t="shared" si="46"/>
        <v>0</v>
      </c>
      <c r="D94" s="195">
        <f t="shared" si="46"/>
        <v>0</v>
      </c>
      <c r="E94" s="195">
        <f t="shared" si="46"/>
        <v>0</v>
      </c>
      <c r="F94" s="195">
        <f t="shared" si="46"/>
        <v>0</v>
      </c>
      <c r="G94" s="195">
        <f t="shared" si="46"/>
        <v>0</v>
      </c>
      <c r="H94" s="195">
        <f t="shared" si="46"/>
        <v>0</v>
      </c>
      <c r="I94" s="195">
        <f t="shared" si="46"/>
        <v>0</v>
      </c>
      <c r="J94" s="195">
        <f t="shared" si="46"/>
        <v>0</v>
      </c>
      <c r="K94" s="195">
        <f t="shared" si="46"/>
        <v>0</v>
      </c>
      <c r="L94" s="195">
        <f t="shared" si="46"/>
        <v>0</v>
      </c>
      <c r="M94" s="195">
        <f t="shared" si="46"/>
        <v>0</v>
      </c>
      <c r="N94" s="195">
        <f t="shared" si="46"/>
        <v>0</v>
      </c>
      <c r="O94" s="195">
        <f t="shared" si="46"/>
        <v>0</v>
      </c>
      <c r="P94" s="195">
        <f t="shared" si="46"/>
        <v>0</v>
      </c>
      <c r="Q94" s="195">
        <f t="shared" si="46"/>
        <v>0</v>
      </c>
      <c r="R94" s="195">
        <f t="shared" si="46"/>
        <v>0</v>
      </c>
      <c r="S94" s="195">
        <f t="shared" si="46"/>
        <v>0</v>
      </c>
      <c r="T94" s="195">
        <f t="shared" si="46"/>
        <v>0</v>
      </c>
      <c r="U94" s="195">
        <f t="shared" si="46"/>
        <v>0</v>
      </c>
      <c r="V94" s="195">
        <f t="shared" si="46"/>
        <v>0</v>
      </c>
      <c r="W94" s="195">
        <f t="shared" si="46"/>
        <v>0</v>
      </c>
      <c r="X94" s="195">
        <f t="shared" si="46"/>
        <v>0</v>
      </c>
      <c r="Y94" s="195">
        <f t="shared" si="46"/>
        <v>0</v>
      </c>
      <c r="Z94" s="195">
        <f t="shared" si="46"/>
        <v>0</v>
      </c>
      <c r="AA94" s="195">
        <f t="shared" si="46"/>
        <v>0</v>
      </c>
      <c r="AB94" s="195">
        <f t="shared" si="46"/>
        <v>0</v>
      </c>
      <c r="AC94" s="195">
        <f t="shared" si="46"/>
        <v>0</v>
      </c>
      <c r="AD94" s="195">
        <f t="shared" si="46"/>
        <v>0</v>
      </c>
      <c r="AE94" s="195">
        <f t="shared" si="46"/>
        <v>0</v>
      </c>
      <c r="AF94" s="195">
        <f t="shared" si="46"/>
        <v>0</v>
      </c>
      <c r="AG94" s="195">
        <f t="shared" si="46"/>
        <v>0</v>
      </c>
      <c r="AH94" s="195">
        <f t="shared" si="46"/>
        <v>0</v>
      </c>
      <c r="AI94" s="195">
        <f t="shared" si="46"/>
        <v>0</v>
      </c>
      <c r="AJ94" s="195">
        <f t="shared" si="46"/>
        <v>0</v>
      </c>
      <c r="AK94" s="195">
        <f t="shared" si="46"/>
        <v>0</v>
      </c>
      <c r="AL94" s="195">
        <f t="shared" si="46"/>
        <v>0</v>
      </c>
      <c r="AM94" s="195">
        <f t="shared" si="46"/>
        <v>0</v>
      </c>
      <c r="AN94" s="195">
        <f t="shared" si="46"/>
        <v>0</v>
      </c>
      <c r="AO94" s="195">
        <f t="shared" si="46"/>
        <v>0</v>
      </c>
      <c r="AP94" s="195">
        <f t="shared" si="46"/>
        <v>0</v>
      </c>
    </row>
    <row r="95" spans="1:42" x14ac:dyDescent="0.2">
      <c r="A95" s="122" t="s">
        <v>334</v>
      </c>
      <c r="B95" s="201">
        <f>B56+B80+B90</f>
        <v>1004920</v>
      </c>
      <c r="C95" s="201">
        <f>C56+C80+C90</f>
        <v>625974.02409515623</v>
      </c>
      <c r="D95" s="201">
        <f t="shared" ref="D95:AP95" si="47">D56+D80+D90</f>
        <v>641475.32798774005</v>
      </c>
      <c r="E95" s="201">
        <f t="shared" si="47"/>
        <v>656757.10114857345</v>
      </c>
      <c r="F95" s="201">
        <f t="shared" si="47"/>
        <v>671809.65530936373</v>
      </c>
      <c r="G95" s="201">
        <f t="shared" si="47"/>
        <v>686629.1099951088</v>
      </c>
      <c r="H95" s="201">
        <f t="shared" si="47"/>
        <v>701217.38771893294</v>
      </c>
      <c r="I95" s="201">
        <f t="shared" si="47"/>
        <v>715552.20905678812</v>
      </c>
      <c r="J95" s="201">
        <f t="shared" si="47"/>
        <v>729637.08759902627</v>
      </c>
      <c r="K95" s="201">
        <f t="shared" si="47"/>
        <v>743451.32477575424</v>
      </c>
      <c r="L95" s="201">
        <f t="shared" si="47"/>
        <v>756990.00455283676</v>
      </c>
      <c r="M95" s="201">
        <f t="shared" si="47"/>
        <v>770253.98799528042</v>
      </c>
      <c r="N95" s="201">
        <f t="shared" si="47"/>
        <v>783233.90769472253</v>
      </c>
      <c r="O95" s="201">
        <f t="shared" si="47"/>
        <v>492575.17127476307</v>
      </c>
      <c r="P95" s="201">
        <f t="shared" si="47"/>
        <v>508239.30904218927</v>
      </c>
      <c r="Q95" s="201">
        <f t="shared" si="47"/>
        <v>523585.85216537304</v>
      </c>
      <c r="R95" s="201">
        <f t="shared" si="47"/>
        <v>538610.46077820705</v>
      </c>
      <c r="S95" s="201">
        <f t="shared" si="47"/>
        <v>553290.53651793441</v>
      </c>
      <c r="T95" s="201">
        <f t="shared" si="47"/>
        <v>1585754.7153025286</v>
      </c>
      <c r="U95" s="201">
        <f t="shared" si="47"/>
        <v>2600041.1317506181</v>
      </c>
      <c r="V95" s="201">
        <f t="shared" si="47"/>
        <v>2613647.3358182968</v>
      </c>
      <c r="W95" s="201">
        <f t="shared" si="47"/>
        <v>2626871.8968992392</v>
      </c>
      <c r="X95" s="201">
        <f t="shared" si="47"/>
        <v>2639700.8239187761</v>
      </c>
      <c r="Y95" s="201">
        <f t="shared" si="47"/>
        <v>2652133.8260253733</v>
      </c>
      <c r="Z95" s="201">
        <f t="shared" si="47"/>
        <v>2664144.3050962077</v>
      </c>
      <c r="AA95" s="201">
        <f t="shared" si="47"/>
        <v>3710949.680258099</v>
      </c>
      <c r="AB95" s="201">
        <f t="shared" si="47"/>
        <v>0</v>
      </c>
      <c r="AC95" s="201">
        <f t="shared" si="47"/>
        <v>0</v>
      </c>
      <c r="AD95" s="201">
        <f t="shared" si="47"/>
        <v>0</v>
      </c>
      <c r="AE95" s="201">
        <f t="shared" si="47"/>
        <v>0</v>
      </c>
      <c r="AF95" s="201">
        <f t="shared" si="47"/>
        <v>0</v>
      </c>
      <c r="AG95" s="201">
        <f t="shared" si="47"/>
        <v>0</v>
      </c>
      <c r="AH95" s="201">
        <f t="shared" si="47"/>
        <v>0</v>
      </c>
      <c r="AI95" s="201">
        <f t="shared" si="47"/>
        <v>0</v>
      </c>
      <c r="AJ95" s="201">
        <f t="shared" si="47"/>
        <v>0</v>
      </c>
      <c r="AK95" s="201">
        <f t="shared" si="47"/>
        <v>0</v>
      </c>
      <c r="AL95" s="201">
        <f t="shared" si="47"/>
        <v>0</v>
      </c>
      <c r="AM95" s="201">
        <f t="shared" si="47"/>
        <v>0</v>
      </c>
      <c r="AN95" s="201">
        <f t="shared" si="47"/>
        <v>0</v>
      </c>
      <c r="AO95" s="201">
        <f t="shared" si="47"/>
        <v>0</v>
      </c>
      <c r="AP95" s="201">
        <f t="shared" si="47"/>
        <v>0</v>
      </c>
    </row>
    <row r="96" spans="1:42" x14ac:dyDescent="0.2">
      <c r="A96" s="289" t="s">
        <v>13</v>
      </c>
      <c r="B96" s="209">
        <f>SUM(B94:B95)</f>
        <v>-18535041.459239803</v>
      </c>
      <c r="C96" s="209">
        <f t="shared" ref="C96:AP96" si="48">SUM(C94:C95)</f>
        <v>625974.02409515623</v>
      </c>
      <c r="D96" s="209">
        <f t="shared" si="48"/>
        <v>641475.32798774005</v>
      </c>
      <c r="E96" s="209">
        <f t="shared" si="48"/>
        <v>656757.10114857345</v>
      </c>
      <c r="F96" s="209">
        <f t="shared" si="48"/>
        <v>671809.65530936373</v>
      </c>
      <c r="G96" s="209">
        <f t="shared" si="48"/>
        <v>686629.1099951088</v>
      </c>
      <c r="H96" s="209">
        <f t="shared" si="48"/>
        <v>701217.38771893294</v>
      </c>
      <c r="I96" s="209">
        <f t="shared" si="48"/>
        <v>715552.20905678812</v>
      </c>
      <c r="J96" s="209">
        <f t="shared" si="48"/>
        <v>729637.08759902627</v>
      </c>
      <c r="K96" s="209">
        <f t="shared" si="48"/>
        <v>743451.32477575424</v>
      </c>
      <c r="L96" s="209">
        <f t="shared" si="48"/>
        <v>756990.00455283676</v>
      </c>
      <c r="M96" s="209">
        <f t="shared" si="48"/>
        <v>770253.98799528042</v>
      </c>
      <c r="N96" s="209">
        <f t="shared" si="48"/>
        <v>783233.90769472253</v>
      </c>
      <c r="O96" s="209">
        <f t="shared" si="48"/>
        <v>492575.17127476307</v>
      </c>
      <c r="P96" s="209">
        <f t="shared" si="48"/>
        <v>508239.30904218927</v>
      </c>
      <c r="Q96" s="209">
        <f t="shared" si="48"/>
        <v>523585.85216537304</v>
      </c>
      <c r="R96" s="209">
        <f t="shared" si="48"/>
        <v>538610.46077820705</v>
      </c>
      <c r="S96" s="209">
        <f t="shared" si="48"/>
        <v>553290.53651793441</v>
      </c>
      <c r="T96" s="209">
        <f t="shared" si="48"/>
        <v>1585754.7153025286</v>
      </c>
      <c r="U96" s="209">
        <f t="shared" si="48"/>
        <v>2600041.1317506181</v>
      </c>
      <c r="V96" s="209">
        <f t="shared" si="48"/>
        <v>2613647.3358182968</v>
      </c>
      <c r="W96" s="209">
        <f t="shared" si="48"/>
        <v>2626871.8968992392</v>
      </c>
      <c r="X96" s="209">
        <f t="shared" si="48"/>
        <v>2639700.8239187761</v>
      </c>
      <c r="Y96" s="209">
        <f t="shared" si="48"/>
        <v>2652133.8260253733</v>
      </c>
      <c r="Z96" s="209">
        <f t="shared" si="48"/>
        <v>2664144.3050962077</v>
      </c>
      <c r="AA96" s="209">
        <f t="shared" si="48"/>
        <v>3710949.680258099</v>
      </c>
      <c r="AB96" s="209">
        <f t="shared" si="48"/>
        <v>0</v>
      </c>
      <c r="AC96" s="209">
        <f t="shared" si="48"/>
        <v>0</v>
      </c>
      <c r="AD96" s="209">
        <f t="shared" si="48"/>
        <v>0</v>
      </c>
      <c r="AE96" s="209">
        <f t="shared" si="48"/>
        <v>0</v>
      </c>
      <c r="AF96" s="209">
        <f t="shared" si="48"/>
        <v>0</v>
      </c>
      <c r="AG96" s="209">
        <f t="shared" si="48"/>
        <v>0</v>
      </c>
      <c r="AH96" s="209">
        <f t="shared" si="48"/>
        <v>0</v>
      </c>
      <c r="AI96" s="209">
        <f t="shared" si="48"/>
        <v>0</v>
      </c>
      <c r="AJ96" s="209">
        <f t="shared" si="48"/>
        <v>0</v>
      </c>
      <c r="AK96" s="209">
        <f t="shared" si="48"/>
        <v>0</v>
      </c>
      <c r="AL96" s="209">
        <f t="shared" si="48"/>
        <v>0</v>
      </c>
      <c r="AM96" s="209">
        <f t="shared" si="48"/>
        <v>0</v>
      </c>
      <c r="AN96" s="209">
        <f t="shared" si="48"/>
        <v>0</v>
      </c>
      <c r="AO96" s="209">
        <f t="shared" si="48"/>
        <v>0</v>
      </c>
      <c r="AP96" s="209">
        <f t="shared" si="48"/>
        <v>0</v>
      </c>
    </row>
    <row r="97" spans="1:42" s="127" customFormat="1" x14ac:dyDescent="0.2">
      <c r="A97" s="24"/>
      <c r="G97" s="210"/>
      <c r="H97" s="210"/>
      <c r="I97" s="210"/>
      <c r="J97" s="210"/>
      <c r="K97" s="210"/>
      <c r="L97" s="210"/>
      <c r="M97" s="210"/>
      <c r="N97" s="210"/>
      <c r="O97" s="210"/>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row>
    <row r="98" spans="1:42" s="127" customFormat="1" x14ac:dyDescent="0.2">
      <c r="A98" s="30" t="s">
        <v>337</v>
      </c>
      <c r="G98" s="210"/>
      <c r="H98" s="210"/>
      <c r="I98" s="210"/>
      <c r="J98" s="210"/>
      <c r="K98" s="210"/>
      <c r="L98" s="210"/>
      <c r="M98" s="210"/>
      <c r="N98" s="210"/>
      <c r="O98" s="210"/>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row>
    <row r="99" spans="1:42" s="127" customFormat="1" x14ac:dyDescent="0.2">
      <c r="A99" s="122" t="s">
        <v>2</v>
      </c>
      <c r="G99" s="210"/>
      <c r="H99" s="210"/>
      <c r="I99" s="210"/>
      <c r="J99" s="210"/>
      <c r="K99" s="210"/>
      <c r="L99" s="210"/>
      <c r="M99" s="210"/>
      <c r="N99" s="210"/>
      <c r="O99" s="210"/>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c r="AP99" s="210"/>
    </row>
    <row r="100" spans="1:42" x14ac:dyDescent="0.2">
      <c r="A100" s="124" t="s">
        <v>5</v>
      </c>
      <c r="B100" s="200"/>
      <c r="C100" s="200">
        <f>I220+K220</f>
        <v>0</v>
      </c>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0"/>
      <c r="AD100" s="200"/>
      <c r="AE100" s="200"/>
      <c r="AF100" s="200"/>
      <c r="AG100" s="200"/>
      <c r="AH100" s="200"/>
      <c r="AI100" s="200"/>
      <c r="AJ100" s="200"/>
      <c r="AK100" s="200"/>
      <c r="AL100" s="200"/>
      <c r="AM100" s="200"/>
      <c r="AN100" s="200"/>
      <c r="AO100" s="200"/>
      <c r="AP100" s="200"/>
    </row>
    <row r="101" spans="1:42" x14ac:dyDescent="0.2">
      <c r="A101" s="124" t="s">
        <v>4</v>
      </c>
      <c r="B101" s="201"/>
      <c r="C101" s="201">
        <f>I353+K353</f>
        <v>10806163.413994746</v>
      </c>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124" t="s">
        <v>13</v>
      </c>
      <c r="B102" s="200"/>
      <c r="C102" s="200">
        <f>SUM(C100:C101)</f>
        <v>10806163.413994746</v>
      </c>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0"/>
      <c r="AC102" s="200"/>
      <c r="AD102" s="200"/>
      <c r="AE102" s="200"/>
      <c r="AF102" s="200"/>
      <c r="AG102" s="200"/>
      <c r="AH102" s="200"/>
      <c r="AI102" s="200"/>
      <c r="AJ102" s="200"/>
      <c r="AK102" s="200"/>
      <c r="AL102" s="200"/>
      <c r="AM102" s="200"/>
      <c r="AN102" s="200"/>
      <c r="AO102" s="200"/>
      <c r="AP102" s="200"/>
    </row>
    <row r="103" spans="1:42" s="127" customFormat="1" x14ac:dyDescent="0.2">
      <c r="A103" s="122" t="s">
        <v>6</v>
      </c>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c r="AP103" s="210"/>
    </row>
    <row r="104" spans="1:42" x14ac:dyDescent="0.2">
      <c r="A104" s="124" t="s">
        <v>5</v>
      </c>
      <c r="B104" s="200">
        <f>B484</f>
        <v>0</v>
      </c>
      <c r="C104" s="200">
        <f t="shared" ref="C104:AO104" si="49">C484</f>
        <v>0</v>
      </c>
      <c r="D104" s="200">
        <f t="shared" si="49"/>
        <v>0</v>
      </c>
      <c r="E104" s="200">
        <f t="shared" si="49"/>
        <v>0</v>
      </c>
      <c r="F104" s="200">
        <f t="shared" si="49"/>
        <v>0</v>
      </c>
      <c r="G104" s="200">
        <f t="shared" si="49"/>
        <v>0</v>
      </c>
      <c r="H104" s="200">
        <f t="shared" si="49"/>
        <v>0</v>
      </c>
      <c r="I104" s="200">
        <f t="shared" si="49"/>
        <v>0</v>
      </c>
      <c r="J104" s="200">
        <f t="shared" si="49"/>
        <v>0</v>
      </c>
      <c r="K104" s="200">
        <f t="shared" si="49"/>
        <v>0</v>
      </c>
      <c r="L104" s="200">
        <f t="shared" si="49"/>
        <v>0</v>
      </c>
      <c r="M104" s="200">
        <f t="shared" si="49"/>
        <v>0</v>
      </c>
      <c r="N104" s="200">
        <f t="shared" si="49"/>
        <v>0</v>
      </c>
      <c r="O104" s="200">
        <f t="shared" si="49"/>
        <v>0</v>
      </c>
      <c r="P104" s="200">
        <f t="shared" si="49"/>
        <v>0</v>
      </c>
      <c r="Q104" s="200">
        <f t="shared" si="49"/>
        <v>0</v>
      </c>
      <c r="R104" s="200">
        <f t="shared" si="49"/>
        <v>0</v>
      </c>
      <c r="S104" s="200">
        <f t="shared" si="49"/>
        <v>0</v>
      </c>
      <c r="T104" s="200">
        <f t="shared" si="49"/>
        <v>0</v>
      </c>
      <c r="U104" s="200">
        <f t="shared" si="49"/>
        <v>0</v>
      </c>
      <c r="V104" s="200">
        <f t="shared" si="49"/>
        <v>0</v>
      </c>
      <c r="W104" s="200">
        <f t="shared" si="49"/>
        <v>0</v>
      </c>
      <c r="X104" s="200">
        <f t="shared" si="49"/>
        <v>0</v>
      </c>
      <c r="Y104" s="200">
        <f t="shared" si="49"/>
        <v>0</v>
      </c>
      <c r="Z104" s="200">
        <f t="shared" si="49"/>
        <v>0</v>
      </c>
      <c r="AA104" s="200">
        <f t="shared" si="49"/>
        <v>0</v>
      </c>
      <c r="AB104" s="200">
        <f t="shared" si="49"/>
        <v>0</v>
      </c>
      <c r="AC104" s="200">
        <f t="shared" si="49"/>
        <v>0</v>
      </c>
      <c r="AD104" s="200">
        <f t="shared" si="49"/>
        <v>0</v>
      </c>
      <c r="AE104" s="200">
        <f t="shared" si="49"/>
        <v>0</v>
      </c>
      <c r="AF104" s="200">
        <f t="shared" si="49"/>
        <v>0</v>
      </c>
      <c r="AG104" s="200">
        <f t="shared" si="49"/>
        <v>0</v>
      </c>
      <c r="AH104" s="200">
        <f t="shared" si="49"/>
        <v>0</v>
      </c>
      <c r="AI104" s="200">
        <f t="shared" si="49"/>
        <v>0</v>
      </c>
      <c r="AJ104" s="200">
        <f t="shared" si="49"/>
        <v>0</v>
      </c>
      <c r="AK104" s="200">
        <f t="shared" si="49"/>
        <v>0</v>
      </c>
      <c r="AL104" s="200">
        <f t="shared" si="49"/>
        <v>0</v>
      </c>
      <c r="AM104" s="200">
        <f t="shared" si="49"/>
        <v>0</v>
      </c>
      <c r="AN104" s="200">
        <f t="shared" si="49"/>
        <v>0</v>
      </c>
      <c r="AO104" s="200">
        <f t="shared" si="49"/>
        <v>0</v>
      </c>
      <c r="AP104" s="200">
        <f>AP484</f>
        <v>0</v>
      </c>
    </row>
    <row r="105" spans="1:42" x14ac:dyDescent="0.2">
      <c r="A105" s="124" t="s">
        <v>4</v>
      </c>
      <c r="B105" s="201">
        <f>B490</f>
        <v>0</v>
      </c>
      <c r="C105" s="201">
        <f t="shared" ref="C105:AO105" si="50">C490</f>
        <v>0</v>
      </c>
      <c r="D105" s="201">
        <f t="shared" si="50"/>
        <v>0</v>
      </c>
      <c r="E105" s="201">
        <f t="shared" si="50"/>
        <v>0</v>
      </c>
      <c r="F105" s="201">
        <f t="shared" si="50"/>
        <v>0</v>
      </c>
      <c r="G105" s="201">
        <f t="shared" si="50"/>
        <v>0</v>
      </c>
      <c r="H105" s="201">
        <f t="shared" si="50"/>
        <v>0</v>
      </c>
      <c r="I105" s="201">
        <f t="shared" si="50"/>
        <v>0</v>
      </c>
      <c r="J105" s="201">
        <f t="shared" si="50"/>
        <v>0</v>
      </c>
      <c r="K105" s="201">
        <f t="shared" si="50"/>
        <v>0</v>
      </c>
      <c r="L105" s="201">
        <f t="shared" si="50"/>
        <v>0</v>
      </c>
      <c r="M105" s="201">
        <f t="shared" si="50"/>
        <v>0</v>
      </c>
      <c r="N105" s="201">
        <f t="shared" si="50"/>
        <v>0</v>
      </c>
      <c r="O105" s="201">
        <f t="shared" si="50"/>
        <v>0</v>
      </c>
      <c r="P105" s="201">
        <f t="shared" si="50"/>
        <v>0</v>
      </c>
      <c r="Q105" s="201">
        <f t="shared" si="50"/>
        <v>0</v>
      </c>
      <c r="R105" s="201">
        <f t="shared" si="50"/>
        <v>0</v>
      </c>
      <c r="S105" s="201">
        <f t="shared" si="50"/>
        <v>0</v>
      </c>
      <c r="T105" s="201">
        <f t="shared" si="50"/>
        <v>0</v>
      </c>
      <c r="U105" s="201">
        <f t="shared" si="50"/>
        <v>0</v>
      </c>
      <c r="V105" s="201">
        <f t="shared" si="50"/>
        <v>0</v>
      </c>
      <c r="W105" s="201">
        <f t="shared" si="50"/>
        <v>0</v>
      </c>
      <c r="X105" s="201">
        <f t="shared" si="50"/>
        <v>0</v>
      </c>
      <c r="Y105" s="201">
        <f t="shared" si="50"/>
        <v>0</v>
      </c>
      <c r="Z105" s="201">
        <f t="shared" si="50"/>
        <v>0</v>
      </c>
      <c r="AA105" s="201">
        <f t="shared" si="50"/>
        <v>0</v>
      </c>
      <c r="AB105" s="201">
        <f t="shared" si="50"/>
        <v>0</v>
      </c>
      <c r="AC105" s="201">
        <f t="shared" si="50"/>
        <v>0</v>
      </c>
      <c r="AD105" s="201">
        <f t="shared" si="50"/>
        <v>0</v>
      </c>
      <c r="AE105" s="201">
        <f t="shared" si="50"/>
        <v>0</v>
      </c>
      <c r="AF105" s="201">
        <f t="shared" si="50"/>
        <v>0</v>
      </c>
      <c r="AG105" s="201">
        <f t="shared" si="50"/>
        <v>0</v>
      </c>
      <c r="AH105" s="201">
        <f t="shared" si="50"/>
        <v>0</v>
      </c>
      <c r="AI105" s="201">
        <f t="shared" si="50"/>
        <v>0</v>
      </c>
      <c r="AJ105" s="201">
        <f t="shared" si="50"/>
        <v>0</v>
      </c>
      <c r="AK105" s="201">
        <f t="shared" si="50"/>
        <v>0</v>
      </c>
      <c r="AL105" s="201">
        <f t="shared" si="50"/>
        <v>0</v>
      </c>
      <c r="AM105" s="201">
        <f t="shared" si="50"/>
        <v>0</v>
      </c>
      <c r="AN105" s="201">
        <f t="shared" si="50"/>
        <v>0</v>
      </c>
      <c r="AO105" s="201">
        <f t="shared" si="50"/>
        <v>0</v>
      </c>
      <c r="AP105" s="201">
        <f>AP490</f>
        <v>0</v>
      </c>
    </row>
    <row r="106" spans="1:42" x14ac:dyDescent="0.2">
      <c r="A106" s="124" t="s">
        <v>13</v>
      </c>
      <c r="B106" s="200">
        <f>SUM(B104:B105)</f>
        <v>0</v>
      </c>
      <c r="C106" s="200">
        <f>SUM(C104:C105)</f>
        <v>0</v>
      </c>
      <c r="D106" s="200">
        <f>SUM(D104:D105)</f>
        <v>0</v>
      </c>
      <c r="E106" s="200">
        <f t="shared" ref="E106:AP106" si="51">SUM(E104:E105)</f>
        <v>0</v>
      </c>
      <c r="F106" s="200">
        <f t="shared" si="51"/>
        <v>0</v>
      </c>
      <c r="G106" s="200">
        <f t="shared" si="51"/>
        <v>0</v>
      </c>
      <c r="H106" s="200">
        <f t="shared" si="51"/>
        <v>0</v>
      </c>
      <c r="I106" s="200">
        <f t="shared" si="51"/>
        <v>0</v>
      </c>
      <c r="J106" s="200">
        <f t="shared" si="51"/>
        <v>0</v>
      </c>
      <c r="K106" s="200">
        <f t="shared" si="51"/>
        <v>0</v>
      </c>
      <c r="L106" s="200">
        <f t="shared" si="51"/>
        <v>0</v>
      </c>
      <c r="M106" s="200">
        <f t="shared" si="51"/>
        <v>0</v>
      </c>
      <c r="N106" s="200">
        <f t="shared" si="51"/>
        <v>0</v>
      </c>
      <c r="O106" s="200">
        <f t="shared" si="51"/>
        <v>0</v>
      </c>
      <c r="P106" s="200">
        <f t="shared" si="51"/>
        <v>0</v>
      </c>
      <c r="Q106" s="200">
        <f t="shared" si="51"/>
        <v>0</v>
      </c>
      <c r="R106" s="200">
        <f t="shared" si="51"/>
        <v>0</v>
      </c>
      <c r="S106" s="200">
        <f t="shared" si="51"/>
        <v>0</v>
      </c>
      <c r="T106" s="200">
        <f t="shared" si="51"/>
        <v>0</v>
      </c>
      <c r="U106" s="200">
        <f t="shared" si="51"/>
        <v>0</v>
      </c>
      <c r="V106" s="200">
        <f t="shared" si="51"/>
        <v>0</v>
      </c>
      <c r="W106" s="200">
        <f t="shared" si="51"/>
        <v>0</v>
      </c>
      <c r="X106" s="200">
        <f t="shared" si="51"/>
        <v>0</v>
      </c>
      <c r="Y106" s="200">
        <f t="shared" si="51"/>
        <v>0</v>
      </c>
      <c r="Z106" s="200">
        <f t="shared" si="51"/>
        <v>0</v>
      </c>
      <c r="AA106" s="200">
        <f t="shared" si="51"/>
        <v>0</v>
      </c>
      <c r="AB106" s="200">
        <f t="shared" si="51"/>
        <v>0</v>
      </c>
      <c r="AC106" s="200">
        <f t="shared" si="51"/>
        <v>0</v>
      </c>
      <c r="AD106" s="200">
        <f t="shared" si="51"/>
        <v>0</v>
      </c>
      <c r="AE106" s="200">
        <f t="shared" si="51"/>
        <v>0</v>
      </c>
      <c r="AF106" s="200">
        <f t="shared" si="51"/>
        <v>0</v>
      </c>
      <c r="AG106" s="200">
        <f t="shared" si="51"/>
        <v>0</v>
      </c>
      <c r="AH106" s="200">
        <f t="shared" si="51"/>
        <v>0</v>
      </c>
      <c r="AI106" s="200">
        <f t="shared" si="51"/>
        <v>0</v>
      </c>
      <c r="AJ106" s="200">
        <f t="shared" si="51"/>
        <v>0</v>
      </c>
      <c r="AK106" s="200">
        <f t="shared" si="51"/>
        <v>0</v>
      </c>
      <c r="AL106" s="200">
        <f t="shared" si="51"/>
        <v>0</v>
      </c>
      <c r="AM106" s="200">
        <f t="shared" si="51"/>
        <v>0</v>
      </c>
      <c r="AN106" s="200">
        <f t="shared" si="51"/>
        <v>0</v>
      </c>
      <c r="AO106" s="200">
        <f t="shared" si="51"/>
        <v>0</v>
      </c>
      <c r="AP106" s="200">
        <f t="shared" si="51"/>
        <v>0</v>
      </c>
    </row>
    <row r="107" spans="1:42" s="127" customFormat="1" x14ac:dyDescent="0.2">
      <c r="A107" s="122" t="s">
        <v>96</v>
      </c>
    </row>
    <row r="108" spans="1:42" x14ac:dyDescent="0.2">
      <c r="A108" s="124" t="s">
        <v>5</v>
      </c>
      <c r="B108" s="200">
        <f>B169</f>
        <v>0</v>
      </c>
      <c r="C108" s="200">
        <f>C169</f>
        <v>240149.75389129695</v>
      </c>
      <c r="D108" s="200">
        <f t="shared" ref="D108:AP108" si="52">D169</f>
        <v>569964.61335839261</v>
      </c>
      <c r="E108" s="200">
        <f t="shared" si="52"/>
        <v>290993.53324317152</v>
      </c>
      <c r="F108" s="200">
        <f t="shared" si="52"/>
        <v>121592.12827380827</v>
      </c>
      <c r="G108" s="200">
        <f t="shared" si="52"/>
        <v>116603.27465275356</v>
      </c>
      <c r="H108" s="200">
        <f t="shared" si="52"/>
        <v>-12043.024495564459</v>
      </c>
      <c r="I108" s="200">
        <f t="shared" si="52"/>
        <v>-140787.25424170599</v>
      </c>
      <c r="J108" s="200">
        <f t="shared" si="52"/>
        <v>-146215.82725295934</v>
      </c>
      <c r="K108" s="200">
        <f t="shared" si="52"/>
        <v>-151931.6775660674</v>
      </c>
      <c r="L108" s="200">
        <f t="shared" si="52"/>
        <v>-157968.78398060284</v>
      </c>
      <c r="M108" s="200">
        <f t="shared" si="52"/>
        <v>-164333.63266633026</v>
      </c>
      <c r="N108" s="200">
        <f t="shared" si="52"/>
        <v>-79235.524734235791</v>
      </c>
      <c r="O108" s="200">
        <f t="shared" si="52"/>
        <v>-23200.185902513713</v>
      </c>
      <c r="P108" s="200">
        <f t="shared" si="52"/>
        <v>-89747.612571221849</v>
      </c>
      <c r="Q108" s="200">
        <f t="shared" si="52"/>
        <v>-133209.64291184233</v>
      </c>
      <c r="R108" s="200">
        <f t="shared" si="52"/>
        <v>-145467.45971682991</v>
      </c>
      <c r="S108" s="200">
        <f t="shared" si="52"/>
        <v>-184676.91798136107</v>
      </c>
      <c r="T108" s="200">
        <f t="shared" si="52"/>
        <v>-220860.82081398298</v>
      </c>
      <c r="U108" s="200">
        <f t="shared" si="52"/>
        <v>-229933.16795132877</v>
      </c>
      <c r="V108" s="200">
        <f t="shared" si="52"/>
        <v>-230902.32702265237</v>
      </c>
      <c r="W108" s="200">
        <f t="shared" si="52"/>
        <v>-233946.38764617912</v>
      </c>
      <c r="X108" s="200">
        <f t="shared" si="52"/>
        <v>-236963.18245806382</v>
      </c>
      <c r="Y108" s="200">
        <f t="shared" si="52"/>
        <v>-237851.5033714053</v>
      </c>
      <c r="Z108" s="200">
        <f t="shared" si="52"/>
        <v>-115197.83198484052</v>
      </c>
      <c r="AA108" s="200">
        <f t="shared" si="52"/>
        <v>-31112.892207757137</v>
      </c>
      <c r="AB108" s="200">
        <f t="shared" si="52"/>
        <v>0</v>
      </c>
      <c r="AC108" s="200">
        <f t="shared" si="52"/>
        <v>0</v>
      </c>
      <c r="AD108" s="200">
        <f t="shared" si="52"/>
        <v>0</v>
      </c>
      <c r="AE108" s="200">
        <f t="shared" si="52"/>
        <v>0</v>
      </c>
      <c r="AF108" s="200">
        <f t="shared" si="52"/>
        <v>0</v>
      </c>
      <c r="AG108" s="200">
        <f t="shared" si="52"/>
        <v>0</v>
      </c>
      <c r="AH108" s="200">
        <f t="shared" si="52"/>
        <v>0</v>
      </c>
      <c r="AI108" s="200">
        <f t="shared" si="52"/>
        <v>0</v>
      </c>
      <c r="AJ108" s="200">
        <f t="shared" si="52"/>
        <v>0</v>
      </c>
      <c r="AK108" s="200">
        <f t="shared" si="52"/>
        <v>0</v>
      </c>
      <c r="AL108" s="200">
        <f t="shared" si="52"/>
        <v>0</v>
      </c>
      <c r="AM108" s="200">
        <f t="shared" si="52"/>
        <v>0</v>
      </c>
      <c r="AN108" s="200">
        <f t="shared" si="52"/>
        <v>0</v>
      </c>
      <c r="AO108" s="200">
        <f t="shared" si="52"/>
        <v>0</v>
      </c>
      <c r="AP108" s="200">
        <f t="shared" si="52"/>
        <v>0</v>
      </c>
    </row>
    <row r="109" spans="1:42" x14ac:dyDescent="0.2">
      <c r="A109" s="124" t="s">
        <v>4</v>
      </c>
      <c r="B109" s="195">
        <f>B208</f>
        <v>0</v>
      </c>
      <c r="C109" s="195">
        <f>C208</f>
        <v>1116696.3555945309</v>
      </c>
      <c r="D109" s="195">
        <f t="shared" ref="D109:AP109" si="53">D208</f>
        <v>2650335.4521165262</v>
      </c>
      <c r="E109" s="195">
        <f t="shared" si="53"/>
        <v>1353119.9295807474</v>
      </c>
      <c r="F109" s="195">
        <f t="shared" si="53"/>
        <v>565403.39647320844</v>
      </c>
      <c r="G109" s="195">
        <f t="shared" si="53"/>
        <v>542205.22713530401</v>
      </c>
      <c r="H109" s="195">
        <f t="shared" si="53"/>
        <v>-56000.063904374736</v>
      </c>
      <c r="I109" s="195">
        <f t="shared" si="53"/>
        <v>-654660.73222393286</v>
      </c>
      <c r="J109" s="195">
        <f t="shared" si="53"/>
        <v>-679903.59672626096</v>
      </c>
      <c r="K109" s="195">
        <f t="shared" si="53"/>
        <v>-706482.30068221351</v>
      </c>
      <c r="L109" s="195">
        <f t="shared" si="53"/>
        <v>-734554.84550980316</v>
      </c>
      <c r="M109" s="195">
        <f t="shared" si="53"/>
        <v>-764151.39189843566</v>
      </c>
      <c r="N109" s="195">
        <f t="shared" si="53"/>
        <v>-368445.1900141965</v>
      </c>
      <c r="O109" s="195">
        <f t="shared" si="53"/>
        <v>-107880.86444668876</v>
      </c>
      <c r="P109" s="195">
        <f t="shared" si="53"/>
        <v>-417326.39845618175</v>
      </c>
      <c r="Q109" s="195">
        <f t="shared" si="53"/>
        <v>-619424.8395400669</v>
      </c>
      <c r="R109" s="195">
        <f t="shared" si="53"/>
        <v>-676423.68768325914</v>
      </c>
      <c r="S109" s="195">
        <f t="shared" si="53"/>
        <v>-858747.66861332895</v>
      </c>
      <c r="T109" s="195">
        <f t="shared" si="53"/>
        <v>-1027002.816785021</v>
      </c>
      <c r="U109" s="195">
        <f t="shared" si="53"/>
        <v>-1069189.2309736789</v>
      </c>
      <c r="V109" s="195">
        <f t="shared" si="53"/>
        <v>-1073695.8206553333</v>
      </c>
      <c r="W109" s="195">
        <f t="shared" si="53"/>
        <v>-1087850.702554733</v>
      </c>
      <c r="X109" s="195">
        <f t="shared" si="53"/>
        <v>-1101878.7984299967</v>
      </c>
      <c r="Y109" s="195">
        <f t="shared" si="53"/>
        <v>-1106009.4906770345</v>
      </c>
      <c r="Z109" s="195">
        <f t="shared" si="53"/>
        <v>-535669.91872950841</v>
      </c>
      <c r="AA109" s="195">
        <f t="shared" si="53"/>
        <v>-144674.94876607068</v>
      </c>
      <c r="AB109" s="195">
        <f t="shared" si="53"/>
        <v>0</v>
      </c>
      <c r="AC109" s="195">
        <f t="shared" si="53"/>
        <v>0</v>
      </c>
      <c r="AD109" s="195">
        <f t="shared" si="53"/>
        <v>0</v>
      </c>
      <c r="AE109" s="195">
        <f t="shared" si="53"/>
        <v>0</v>
      </c>
      <c r="AF109" s="195">
        <f t="shared" si="53"/>
        <v>0</v>
      </c>
      <c r="AG109" s="195">
        <f t="shared" si="53"/>
        <v>0</v>
      </c>
      <c r="AH109" s="195">
        <f t="shared" si="53"/>
        <v>0</v>
      </c>
      <c r="AI109" s="195">
        <f t="shared" si="53"/>
        <v>0</v>
      </c>
      <c r="AJ109" s="195">
        <f t="shared" si="53"/>
        <v>0</v>
      </c>
      <c r="AK109" s="195">
        <f t="shared" si="53"/>
        <v>0</v>
      </c>
      <c r="AL109" s="195">
        <f t="shared" si="53"/>
        <v>0</v>
      </c>
      <c r="AM109" s="195">
        <f t="shared" si="53"/>
        <v>0</v>
      </c>
      <c r="AN109" s="195">
        <f t="shared" si="53"/>
        <v>0</v>
      </c>
      <c r="AO109" s="195">
        <f t="shared" si="53"/>
        <v>0</v>
      </c>
      <c r="AP109" s="195">
        <f t="shared" si="53"/>
        <v>0</v>
      </c>
    </row>
    <row r="110" spans="1:42" x14ac:dyDescent="0.2">
      <c r="A110" s="124" t="s">
        <v>13</v>
      </c>
      <c r="B110" s="195">
        <f>SUM(B108:B109)</f>
        <v>0</v>
      </c>
      <c r="C110" s="195">
        <f>SUM(C108:C109)</f>
        <v>1356846.1094858279</v>
      </c>
      <c r="D110" s="195">
        <f>SUM(D108:D109)</f>
        <v>3220300.065474919</v>
      </c>
      <c r="E110" s="195">
        <f t="shared" ref="E110:AP110" si="54">SUM(E108:E109)</f>
        <v>1644113.462823919</v>
      </c>
      <c r="F110" s="195">
        <f t="shared" si="54"/>
        <v>686995.52474701672</v>
      </c>
      <c r="G110" s="195">
        <f t="shared" si="54"/>
        <v>658808.50178805762</v>
      </c>
      <c r="H110" s="195">
        <f t="shared" si="54"/>
        <v>-68043.088399939195</v>
      </c>
      <c r="I110" s="195">
        <f t="shared" si="54"/>
        <v>-795447.98646563885</v>
      </c>
      <c r="J110" s="195">
        <f t="shared" si="54"/>
        <v>-826119.42397922033</v>
      </c>
      <c r="K110" s="195">
        <f t="shared" si="54"/>
        <v>-858413.97824828094</v>
      </c>
      <c r="L110" s="195">
        <f t="shared" si="54"/>
        <v>-892523.62949040602</v>
      </c>
      <c r="M110" s="195">
        <f t="shared" si="54"/>
        <v>-928485.02456476586</v>
      </c>
      <c r="N110" s="195">
        <f t="shared" si="54"/>
        <v>-447680.71474843228</v>
      </c>
      <c r="O110" s="195">
        <f t="shared" si="54"/>
        <v>-131081.05034920247</v>
      </c>
      <c r="P110" s="195">
        <f t="shared" si="54"/>
        <v>-507074.01102740358</v>
      </c>
      <c r="Q110" s="195">
        <f t="shared" si="54"/>
        <v>-752634.48245190922</v>
      </c>
      <c r="R110" s="195">
        <f t="shared" si="54"/>
        <v>-821891.14740008907</v>
      </c>
      <c r="S110" s="195">
        <f t="shared" si="54"/>
        <v>-1043424.58659469</v>
      </c>
      <c r="T110" s="195">
        <f t="shared" si="54"/>
        <v>-1247863.637599004</v>
      </c>
      <c r="U110" s="195">
        <f t="shared" si="54"/>
        <v>-1299122.3989250076</v>
      </c>
      <c r="V110" s="195">
        <f t="shared" si="54"/>
        <v>-1304598.1476779857</v>
      </c>
      <c r="W110" s="195">
        <f t="shared" si="54"/>
        <v>-1321797.0902009122</v>
      </c>
      <c r="X110" s="195">
        <f t="shared" si="54"/>
        <v>-1338841.9808880605</v>
      </c>
      <c r="Y110" s="195">
        <f t="shared" si="54"/>
        <v>-1343860.9940484399</v>
      </c>
      <c r="Z110" s="195">
        <f t="shared" si="54"/>
        <v>-650867.75071434898</v>
      </c>
      <c r="AA110" s="195">
        <f t="shared" si="54"/>
        <v>-175787.84097382781</v>
      </c>
      <c r="AB110" s="195">
        <f t="shared" si="54"/>
        <v>0</v>
      </c>
      <c r="AC110" s="195">
        <f t="shared" si="54"/>
        <v>0</v>
      </c>
      <c r="AD110" s="195">
        <f t="shared" si="54"/>
        <v>0</v>
      </c>
      <c r="AE110" s="195">
        <f t="shared" si="54"/>
        <v>0</v>
      </c>
      <c r="AF110" s="195">
        <f t="shared" si="54"/>
        <v>0</v>
      </c>
      <c r="AG110" s="195">
        <f t="shared" si="54"/>
        <v>0</v>
      </c>
      <c r="AH110" s="195">
        <f t="shared" si="54"/>
        <v>0</v>
      </c>
      <c r="AI110" s="195">
        <f t="shared" si="54"/>
        <v>0</v>
      </c>
      <c r="AJ110" s="195">
        <f t="shared" si="54"/>
        <v>0</v>
      </c>
      <c r="AK110" s="195">
        <f t="shared" si="54"/>
        <v>0</v>
      </c>
      <c r="AL110" s="195">
        <f t="shared" si="54"/>
        <v>0</v>
      </c>
      <c r="AM110" s="195">
        <f t="shared" si="54"/>
        <v>0</v>
      </c>
      <c r="AN110" s="195">
        <f t="shared" si="54"/>
        <v>0</v>
      </c>
      <c r="AO110" s="195">
        <f t="shared" si="54"/>
        <v>0</v>
      </c>
      <c r="AP110" s="195">
        <f t="shared" si="54"/>
        <v>0</v>
      </c>
    </row>
    <row r="111" spans="1:42" x14ac:dyDescent="0.2">
      <c r="A111" s="289" t="s">
        <v>13</v>
      </c>
      <c r="B111" s="209">
        <f t="shared" ref="B111:AP111" si="55">B96+B102+B106+B110</f>
        <v>-18535041.459239803</v>
      </c>
      <c r="C111" s="209">
        <f t="shared" si="55"/>
        <v>12788983.547575731</v>
      </c>
      <c r="D111" s="209">
        <f t="shared" si="55"/>
        <v>3861775.3934626589</v>
      </c>
      <c r="E111" s="209">
        <f t="shared" si="55"/>
        <v>2300870.5639724927</v>
      </c>
      <c r="F111" s="209">
        <f t="shared" si="55"/>
        <v>1358805.1800563806</v>
      </c>
      <c r="G111" s="209">
        <f t="shared" si="55"/>
        <v>1345437.6117831664</v>
      </c>
      <c r="H111" s="209">
        <f t="shared" si="55"/>
        <v>633174.2993189937</v>
      </c>
      <c r="I111" s="209">
        <f t="shared" si="55"/>
        <v>-79895.777408850729</v>
      </c>
      <c r="J111" s="209">
        <f t="shared" si="55"/>
        <v>-96482.336380194058</v>
      </c>
      <c r="K111" s="209">
        <f t="shared" si="55"/>
        <v>-114962.6534725267</v>
      </c>
      <c r="L111" s="209">
        <f t="shared" si="55"/>
        <v>-135533.62493756926</v>
      </c>
      <c r="M111" s="209">
        <f t="shared" si="55"/>
        <v>-158231.03656948544</v>
      </c>
      <c r="N111" s="209">
        <f t="shared" si="55"/>
        <v>335553.19294629025</v>
      </c>
      <c r="O111" s="209">
        <f t="shared" si="55"/>
        <v>361494.12092556059</v>
      </c>
      <c r="P111" s="209">
        <f t="shared" si="55"/>
        <v>1165.298014785687</v>
      </c>
      <c r="Q111" s="209">
        <f t="shared" si="55"/>
        <v>-229048.63028653618</v>
      </c>
      <c r="R111" s="209">
        <f t="shared" si="55"/>
        <v>-283280.68662188202</v>
      </c>
      <c r="S111" s="209">
        <f t="shared" si="55"/>
        <v>-490134.05007675558</v>
      </c>
      <c r="T111" s="209">
        <f t="shared" si="55"/>
        <v>337891.07770352461</v>
      </c>
      <c r="U111" s="209">
        <f t="shared" si="55"/>
        <v>1300918.7328256106</v>
      </c>
      <c r="V111" s="209">
        <f t="shared" si="55"/>
        <v>1309049.188140311</v>
      </c>
      <c r="W111" s="209">
        <f t="shared" si="55"/>
        <v>1305074.806698327</v>
      </c>
      <c r="X111" s="209">
        <f t="shared" si="55"/>
        <v>1300858.8430307156</v>
      </c>
      <c r="Y111" s="209">
        <f t="shared" si="55"/>
        <v>1308272.8319769334</v>
      </c>
      <c r="Z111" s="209">
        <f t="shared" si="55"/>
        <v>2013276.5543818586</v>
      </c>
      <c r="AA111" s="209">
        <f t="shared" si="55"/>
        <v>3535161.839284271</v>
      </c>
      <c r="AB111" s="209">
        <f t="shared" si="55"/>
        <v>0</v>
      </c>
      <c r="AC111" s="209">
        <f t="shared" si="55"/>
        <v>0</v>
      </c>
      <c r="AD111" s="209">
        <f t="shared" si="55"/>
        <v>0</v>
      </c>
      <c r="AE111" s="209">
        <f t="shared" si="55"/>
        <v>0</v>
      </c>
      <c r="AF111" s="209">
        <f t="shared" si="55"/>
        <v>0</v>
      </c>
      <c r="AG111" s="209">
        <f t="shared" si="55"/>
        <v>0</v>
      </c>
      <c r="AH111" s="209">
        <f t="shared" si="55"/>
        <v>0</v>
      </c>
      <c r="AI111" s="209">
        <f t="shared" si="55"/>
        <v>0</v>
      </c>
      <c r="AJ111" s="209">
        <f t="shared" si="55"/>
        <v>0</v>
      </c>
      <c r="AK111" s="209">
        <f t="shared" si="55"/>
        <v>0</v>
      </c>
      <c r="AL111" s="209">
        <f t="shared" si="55"/>
        <v>0</v>
      </c>
      <c r="AM111" s="209">
        <f t="shared" si="55"/>
        <v>0</v>
      </c>
      <c r="AN111" s="209">
        <f t="shared" si="55"/>
        <v>0</v>
      </c>
      <c r="AO111" s="209">
        <f t="shared" si="55"/>
        <v>0</v>
      </c>
      <c r="AP111" s="209">
        <f t="shared" si="55"/>
        <v>0</v>
      </c>
    </row>
    <row r="112" spans="1:42" x14ac:dyDescent="0.2">
      <c r="A112" s="308"/>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row>
    <row r="113" spans="1:42" x14ac:dyDescent="0.2">
      <c r="A113" s="114" t="s">
        <v>263</v>
      </c>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c r="AA113" s="297"/>
      <c r="AB113" s="297"/>
      <c r="AC113" s="297"/>
      <c r="AD113" s="297"/>
      <c r="AE113" s="297"/>
      <c r="AF113" s="297"/>
      <c r="AG113" s="297"/>
      <c r="AH113" s="297"/>
      <c r="AI113" s="297"/>
      <c r="AJ113" s="297"/>
      <c r="AK113" s="297"/>
      <c r="AL113" s="297"/>
      <c r="AM113" s="297"/>
      <c r="AN113" s="297"/>
      <c r="AO113" s="297"/>
      <c r="AP113" s="297"/>
    </row>
    <row r="114" spans="1:42" s="127" customFormat="1" x14ac:dyDescent="0.2">
      <c r="A114" s="124"/>
    </row>
    <row r="115" spans="1:42" x14ac:dyDescent="0.2">
      <c r="A115" s="122" t="s">
        <v>244</v>
      </c>
      <c r="B115" s="149">
        <f>ROUND(IF(ISERROR(IRR($B111:B111)),0,IRR($B111:B111)*100),4)</f>
        <v>0</v>
      </c>
      <c r="C115" s="149">
        <f>ROUND(IF(ISERROR(IRR($B111:C111)),0,IRR($B111:C111)*100),4)</f>
        <v>-31.001100000000001</v>
      </c>
      <c r="D115" s="149">
        <f>ROUND(IF(ISERROR(IRR($B111:D111)),0,IRR($B111:D111)*100),4)</f>
        <v>-8.2842000000000002</v>
      </c>
      <c r="E115" s="149">
        <f>ROUND(IF(ISERROR(IRR($B111:E111)),0,IRR($B111:E111)*100),4)</f>
        <v>1.5524</v>
      </c>
      <c r="F115" s="149">
        <f>ROUND(IF(ISERROR(IRR($B111:F111)),0,IRR($B111:F111)*100),4)</f>
        <v>5.9093999999999998</v>
      </c>
      <c r="G115" s="149">
        <f>ROUND(IF(ISERROR(IRR($B111:G111)),0,IRR($B111:G111)*100),4)</f>
        <v>9.2136999999999993</v>
      </c>
      <c r="H115" s="149">
        <f>ROUND(IF(ISERROR(IRR($B111:H111)),0,IRR($B111:H111)*100),4)</f>
        <v>10.441599999999999</v>
      </c>
      <c r="I115" s="149">
        <f>ROUND(IF(ISERROR(IRR($B111:I111)),0,IRR($B111:I111)*100),4)</f>
        <v>10.306900000000001</v>
      </c>
      <c r="J115" s="149">
        <f>ROUND(IF(ISERROR(IRR($B111:J111)),0,IRR($B111:J111)*100),4)</f>
        <v>10.1572</v>
      </c>
      <c r="K115" s="149">
        <f>ROUND(IF(ISERROR(IRR($B111:K111)),0,IRR($B111:K111)*100),4)</f>
        <v>9.9920000000000009</v>
      </c>
      <c r="L115" s="149">
        <f>ROUND(IF(ISERROR(IRR($B111:L111)),0,IRR($B111:L111)*100),4)</f>
        <v>9.8107000000000006</v>
      </c>
      <c r="M115" s="149">
        <f>ROUND(IF(ISERROR(IRR($B111:M111)),0,IRR($B111:M111)*100),4)</f>
        <v>9.6119000000000003</v>
      </c>
      <c r="N115" s="149">
        <f>ROUND(IF(ISERROR(IRR($B111:N111)),0,IRR($B111:N111)*100),4)</f>
        <v>9.9893999999999998</v>
      </c>
      <c r="O115" s="149">
        <f>ROUND(IF(ISERROR(IRR($B111:O111)),0,IRR($B111:O111)*100),4)</f>
        <v>10.334099999999999</v>
      </c>
      <c r="P115" s="149">
        <f>ROUND(IF(ISERROR(IRR($B111:P111)),0,IRR($B111:P111)*100),4)</f>
        <v>10.335000000000001</v>
      </c>
      <c r="Q115" s="149">
        <f>ROUND(IF(ISERROR(IRR($B111:Q111)),0,IRR($B111:Q111)*100),4)</f>
        <v>10.158099999999999</v>
      </c>
      <c r="R115" s="149">
        <f>ROUND(IF(ISERROR(IRR($B111:R111)),0,IRR($B111:R111)*100),4)</f>
        <v>9.9497</v>
      </c>
      <c r="S115" s="149">
        <f>ROUND(IF(ISERROR(IRR($B111:S111)),0,IRR($B111:S111)*100),4)</f>
        <v>9.5954999999999995</v>
      </c>
      <c r="T115" s="149">
        <f>ROUND(IF(ISERROR(IRR($B111:T111)),0,IRR($B111:T111)*100),4)</f>
        <v>9.8218999999999994</v>
      </c>
      <c r="U115" s="149">
        <f>ROUND(IF(ISERROR(IRR($B111:U111)),0,IRR($B111:U111)*100),4)</f>
        <v>10.5099</v>
      </c>
      <c r="V115" s="149">
        <f>ROUND(IF(ISERROR(IRR($B111:V111)),0,IRR($B111:V111)*100),4)</f>
        <v>11.030099999999999</v>
      </c>
      <c r="W115" s="149">
        <f>ROUND(IF(ISERROR(IRR($B111:W111)),0,IRR($B111:W111)*100),4)</f>
        <v>11.4343</v>
      </c>
      <c r="X115" s="149">
        <f>ROUND(IF(ISERROR(IRR($B111:X111)),0,IRR($B111:X111)*100),4)</f>
        <v>11.7563</v>
      </c>
      <c r="Y115" s="149">
        <f>ROUND(IF(ISERROR(IRR($B111:Y111)),0,IRR($B111:Y111)*100),4)</f>
        <v>12.019299999999999</v>
      </c>
      <c r="Z115" s="149">
        <f>ROUND(IF(ISERROR(IRR($B111:Z111)),0,IRR($B111:Z111)*100),4)</f>
        <v>12.345800000000001</v>
      </c>
      <c r="AA115" s="149">
        <f>ROUND(IF(ISERROR(IRR($B111:AA111)),0,IRR($B111:AA111)*100),4)</f>
        <v>12.7913</v>
      </c>
      <c r="AB115" s="149">
        <f>ROUND(IF(ISERROR(IRR($B111:AB111)),0,IRR($B111:AB111)*100),4)</f>
        <v>12.7913</v>
      </c>
      <c r="AC115" s="149">
        <f>ROUND(IF(ISERROR(IRR($B111:AC111)),0,IRR($B111:AC111)*100),4)</f>
        <v>12.7913</v>
      </c>
      <c r="AD115" s="149">
        <f>ROUND(IF(ISERROR(IRR($B111:AD111)),0,IRR($B111:AD111)*100),4)</f>
        <v>12.7913</v>
      </c>
      <c r="AE115" s="149">
        <f>ROUND(IF(ISERROR(IRR($B111:AE111)),0,IRR($B111:AE111)*100),4)</f>
        <v>12.7913</v>
      </c>
      <c r="AF115" s="149">
        <f>ROUND(IF(ISERROR(IRR($B111:AF111)),0,IRR($B111:AF111)*100),4)</f>
        <v>12.7913</v>
      </c>
      <c r="AG115" s="149">
        <f>ROUND(IF(ISERROR(IRR($B111:AG111)),0,IRR($B111:AG111)*100),4)</f>
        <v>12.7913</v>
      </c>
      <c r="AH115" s="149">
        <f>ROUND(IF(ISERROR(IRR($B111:AH111)),0,IRR($B111:AH111)*100),4)</f>
        <v>12.7913</v>
      </c>
      <c r="AI115" s="149">
        <f>ROUND(IF(ISERROR(IRR($B111:AI111)),0,IRR($B111:AI111)*100),4)</f>
        <v>12.7913</v>
      </c>
      <c r="AJ115" s="149">
        <f>ROUND(IF(ISERROR(IRR($B111:AJ111)),0,IRR($B111:AJ111)*100),4)</f>
        <v>12.7913</v>
      </c>
      <c r="AK115" s="149">
        <f>ROUND(IF(ISERROR(IRR($B111:AK111)),0,IRR($B111:AK111)*100),4)</f>
        <v>12.7913</v>
      </c>
      <c r="AL115" s="149">
        <f>ROUND(IF(ISERROR(IRR($B111:AL111)),0,IRR($B111:AL111)*100),4)</f>
        <v>12.7913</v>
      </c>
      <c r="AM115" s="149">
        <f>ROUND(IF(ISERROR(IRR($B111:AM111)),0,IRR($B111:AM111)*100),4)</f>
        <v>12.7913</v>
      </c>
      <c r="AN115" s="149">
        <f>ROUND(IF(ISERROR(IRR($B111:AN111)),0,IRR($B111:AN111)*100),4)</f>
        <v>12.7913</v>
      </c>
      <c r="AO115" s="149">
        <f>ROUND(IF(ISERROR(IRR($B111:AO111)),0,IRR($B111:AO111)*100),4)</f>
        <v>12.7913</v>
      </c>
      <c r="AP115" s="149">
        <f>ROUND(IF(ISERROR(IRR($B111:AP111)),0,IRR($B111:AP111)*100),4)</f>
        <v>12.7913</v>
      </c>
    </row>
    <row r="116" spans="1:42" s="17" customFormat="1" x14ac:dyDescent="0.2">
      <c r="A116" s="42" t="s">
        <v>8</v>
      </c>
      <c r="B116" s="278">
        <f>MAX($B$115:B115)</f>
        <v>0</v>
      </c>
      <c r="C116" s="278">
        <f>MAX($B$115:C115)</f>
        <v>0</v>
      </c>
      <c r="D116" s="278">
        <f>MAX($B$115:D115)</f>
        <v>0</v>
      </c>
      <c r="E116" s="278">
        <f>MAX($B$115:E115)</f>
        <v>1.5524</v>
      </c>
      <c r="F116" s="278">
        <f>MAX($B$115:F115)</f>
        <v>5.9093999999999998</v>
      </c>
      <c r="G116" s="278">
        <f>MAX($B$115:G115)</f>
        <v>9.2136999999999993</v>
      </c>
      <c r="H116" s="278">
        <f>MAX($B$115:H115)</f>
        <v>10.441599999999999</v>
      </c>
      <c r="I116" s="278">
        <f>MAX($B$115:I115)</f>
        <v>10.441599999999999</v>
      </c>
      <c r="J116" s="278">
        <f>MAX($B$115:J115)</f>
        <v>10.441599999999999</v>
      </c>
      <c r="K116" s="278">
        <f>MAX($B$115:K115)</f>
        <v>10.441599999999999</v>
      </c>
      <c r="L116" s="278">
        <f>MAX($B$115:L115)</f>
        <v>10.441599999999999</v>
      </c>
      <c r="M116" s="278">
        <f>MAX($B$115:M115)</f>
        <v>10.441599999999999</v>
      </c>
      <c r="N116" s="278">
        <f>MAX($B$115:N115)</f>
        <v>10.441599999999999</v>
      </c>
      <c r="O116" s="278">
        <f>MAX($B$115:O115)</f>
        <v>10.441599999999999</v>
      </c>
      <c r="P116" s="278">
        <f>MAX($B$115:P115)</f>
        <v>10.441599999999999</v>
      </c>
      <c r="Q116" s="278">
        <f>MAX($B$115:Q115)</f>
        <v>10.441599999999999</v>
      </c>
      <c r="R116" s="278">
        <f>MAX($B$115:R115)</f>
        <v>10.441599999999999</v>
      </c>
      <c r="S116" s="278">
        <f>MAX($B$115:S115)</f>
        <v>10.441599999999999</v>
      </c>
      <c r="T116" s="278">
        <f>MAX($B$115:T115)</f>
        <v>10.441599999999999</v>
      </c>
      <c r="U116" s="278">
        <f>MAX($B$115:U115)</f>
        <v>10.5099</v>
      </c>
      <c r="V116" s="278">
        <f>MAX($B$115:V115)</f>
        <v>11.030099999999999</v>
      </c>
      <c r="W116" s="278">
        <f>MAX($B$115:W115)</f>
        <v>11.4343</v>
      </c>
      <c r="X116" s="278">
        <f>MAX($B$115:X115)</f>
        <v>11.7563</v>
      </c>
      <c r="Y116" s="278">
        <f>MAX($B$115:Y115)</f>
        <v>12.019299999999999</v>
      </c>
      <c r="Z116" s="278">
        <f>MAX($B$115:Z115)</f>
        <v>12.345800000000001</v>
      </c>
      <c r="AA116" s="278">
        <f>MAX($B$115:AA115)</f>
        <v>12.7913</v>
      </c>
      <c r="AB116" s="278">
        <f>MAX($B$115:AB115)</f>
        <v>12.7913</v>
      </c>
      <c r="AC116" s="278">
        <f>MAX($B$115:AC115)</f>
        <v>12.7913</v>
      </c>
      <c r="AD116" s="278">
        <f>MAX($B$115:AD115)</f>
        <v>12.7913</v>
      </c>
      <c r="AE116" s="278">
        <f>MAX($B$115:AE115)</f>
        <v>12.7913</v>
      </c>
      <c r="AF116" s="278">
        <f>MAX($B$115:AF115)</f>
        <v>12.7913</v>
      </c>
      <c r="AG116" s="278">
        <f>MAX($B$115:AG115)</f>
        <v>12.7913</v>
      </c>
      <c r="AH116" s="278">
        <f>MAX($B$115:AH115)</f>
        <v>12.7913</v>
      </c>
      <c r="AI116" s="278">
        <f>MAX($B$115:AI115)</f>
        <v>12.7913</v>
      </c>
      <c r="AJ116" s="278">
        <f>MAX($B$115:AJ115)</f>
        <v>12.7913</v>
      </c>
      <c r="AK116" s="278">
        <f>MAX($B$115:AK115)</f>
        <v>12.7913</v>
      </c>
      <c r="AL116" s="278">
        <f>MAX($B$115:AL115)</f>
        <v>12.7913</v>
      </c>
      <c r="AM116" s="278">
        <f>MAX($B$115:AM115)</f>
        <v>12.7913</v>
      </c>
      <c r="AN116" s="278">
        <f>MAX($B$115:AN115)</f>
        <v>12.7913</v>
      </c>
      <c r="AO116" s="278">
        <f>MAX($B$115:AO115)</f>
        <v>12.7913</v>
      </c>
      <c r="AP116" s="278">
        <f>MAX($B$115:AP115)</f>
        <v>12.7913</v>
      </c>
    </row>
    <row r="117" spans="1:42" x14ac:dyDescent="0.2">
      <c r="A117" s="122" t="s">
        <v>245</v>
      </c>
      <c r="B117" s="212">
        <f>SUM(C117:AP117)</f>
        <v>20</v>
      </c>
      <c r="C117" s="205">
        <f t="shared" ref="C117:AP117" si="56">IF(AND(B116&lt;IRRTarget,C116&gt;=IRRTarget),C$2,0)</f>
        <v>0</v>
      </c>
      <c r="D117" s="205">
        <f t="shared" si="56"/>
        <v>0</v>
      </c>
      <c r="E117" s="205">
        <f t="shared" si="56"/>
        <v>0</v>
      </c>
      <c r="F117" s="205">
        <f t="shared" si="56"/>
        <v>0</v>
      </c>
      <c r="G117" s="205">
        <f t="shared" si="56"/>
        <v>0</v>
      </c>
      <c r="H117" s="205">
        <f t="shared" si="56"/>
        <v>0</v>
      </c>
      <c r="I117" s="205">
        <f t="shared" si="56"/>
        <v>0</v>
      </c>
      <c r="J117" s="205">
        <f t="shared" si="56"/>
        <v>0</v>
      </c>
      <c r="K117" s="205">
        <f t="shared" si="56"/>
        <v>0</v>
      </c>
      <c r="L117" s="205">
        <f t="shared" si="56"/>
        <v>0</v>
      </c>
      <c r="M117" s="205">
        <f t="shared" si="56"/>
        <v>0</v>
      </c>
      <c r="N117" s="205">
        <f>IF(AND(M116&lt;IRRTarget,N116&gt;=IRRTarget),N$2,0)</f>
        <v>0</v>
      </c>
      <c r="O117" s="205">
        <f t="shared" si="56"/>
        <v>0</v>
      </c>
      <c r="P117" s="205">
        <f t="shared" si="56"/>
        <v>0</v>
      </c>
      <c r="Q117" s="205">
        <f t="shared" si="56"/>
        <v>0</v>
      </c>
      <c r="R117" s="205">
        <f t="shared" si="56"/>
        <v>0</v>
      </c>
      <c r="S117" s="205">
        <f t="shared" si="56"/>
        <v>0</v>
      </c>
      <c r="T117" s="205">
        <f t="shared" si="56"/>
        <v>0</v>
      </c>
      <c r="U117" s="205">
        <f t="shared" si="56"/>
        <v>0</v>
      </c>
      <c r="V117" s="205">
        <f t="shared" si="56"/>
        <v>20</v>
      </c>
      <c r="W117" s="205">
        <f t="shared" si="56"/>
        <v>0</v>
      </c>
      <c r="X117" s="205">
        <f t="shared" si="56"/>
        <v>0</v>
      </c>
      <c r="Y117" s="205">
        <f t="shared" si="56"/>
        <v>0</v>
      </c>
      <c r="Z117" s="205">
        <f t="shared" si="56"/>
        <v>0</v>
      </c>
      <c r="AA117" s="205">
        <f t="shared" si="56"/>
        <v>0</v>
      </c>
      <c r="AB117" s="205">
        <f t="shared" si="56"/>
        <v>0</v>
      </c>
      <c r="AC117" s="205">
        <f t="shared" si="56"/>
        <v>0</v>
      </c>
      <c r="AD117" s="205">
        <f t="shared" si="56"/>
        <v>0</v>
      </c>
      <c r="AE117" s="205">
        <f t="shared" si="56"/>
        <v>0</v>
      </c>
      <c r="AF117" s="205">
        <f t="shared" si="56"/>
        <v>0</v>
      </c>
      <c r="AG117" s="205">
        <f t="shared" si="56"/>
        <v>0</v>
      </c>
      <c r="AH117" s="205">
        <f t="shared" si="56"/>
        <v>0</v>
      </c>
      <c r="AI117" s="205">
        <f t="shared" si="56"/>
        <v>0</v>
      </c>
      <c r="AJ117" s="205">
        <f t="shared" si="56"/>
        <v>0</v>
      </c>
      <c r="AK117" s="205">
        <f t="shared" si="56"/>
        <v>0</v>
      </c>
      <c r="AL117" s="205">
        <f t="shared" si="56"/>
        <v>0</v>
      </c>
      <c r="AM117" s="205">
        <f t="shared" si="56"/>
        <v>0</v>
      </c>
      <c r="AN117" s="205">
        <f t="shared" si="56"/>
        <v>0</v>
      </c>
      <c r="AO117" s="205">
        <f t="shared" si="56"/>
        <v>0</v>
      </c>
      <c r="AP117" s="205">
        <f t="shared" si="56"/>
        <v>0</v>
      </c>
    </row>
    <row r="118" spans="1:42" x14ac:dyDescent="0.2">
      <c r="A118" s="122"/>
      <c r="B118" s="214"/>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42" x14ac:dyDescent="0.2">
      <c r="A119" s="122" t="s">
        <v>247</v>
      </c>
      <c r="B119" s="244">
        <f>B111+NPV(NominalDiscountRate/100,C111:AP111)</f>
        <v>2570533.9259633087</v>
      </c>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c r="AA119" s="205"/>
      <c r="AB119" s="205"/>
      <c r="AC119" s="205"/>
      <c r="AD119" s="205"/>
      <c r="AE119" s="205"/>
      <c r="AF119" s="205"/>
      <c r="AG119" s="205"/>
      <c r="AH119" s="205"/>
      <c r="AI119" s="205"/>
      <c r="AJ119" s="205"/>
      <c r="AK119" s="205"/>
      <c r="AL119" s="205"/>
      <c r="AM119" s="205"/>
      <c r="AN119" s="205"/>
      <c r="AO119" s="205"/>
      <c r="AP119" s="205"/>
    </row>
    <row r="120" spans="1:42" s="127" customFormat="1" x14ac:dyDescent="0.2">
      <c r="A120" s="4"/>
      <c r="B120" s="210"/>
    </row>
    <row r="121" spans="1:42" s="127" customFormat="1" x14ac:dyDescent="0.2">
      <c r="A121" s="114" t="s">
        <v>248</v>
      </c>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c r="AA121" s="297"/>
      <c r="AB121" s="297"/>
      <c r="AC121" s="297"/>
      <c r="AD121" s="297"/>
      <c r="AE121" s="297"/>
      <c r="AF121" s="297"/>
      <c r="AG121" s="297"/>
      <c r="AH121" s="297"/>
      <c r="AI121" s="297"/>
      <c r="AJ121" s="297"/>
      <c r="AK121" s="297"/>
      <c r="AL121" s="297"/>
      <c r="AM121" s="297"/>
      <c r="AN121" s="297"/>
      <c r="AO121" s="297"/>
      <c r="AP121" s="297"/>
    </row>
    <row r="122" spans="1:42" x14ac:dyDescent="0.2">
      <c r="A122" s="24" t="s">
        <v>240</v>
      </c>
      <c r="B122" s="248">
        <f>B94</f>
        <v>-19539961.459239803</v>
      </c>
      <c r="C122" s="200">
        <f>C531+C169+C208-C41-C535+C102+C106-C566-C560-C572-C604-C636+C668-C567-C561</f>
        <v>9105863.5475757308</v>
      </c>
      <c r="D122" s="200">
        <f t="shared" ref="D122:AP122" si="57">D531+D169+D208+D106-D41-D535-D566-D560-D572-D604-D636+D668-D567-D561</f>
        <v>160419.39346265906</v>
      </c>
      <c r="E122" s="200">
        <f t="shared" si="57"/>
        <v>-1418809.4360275073</v>
      </c>
      <c r="F122" s="200">
        <f t="shared" si="57"/>
        <v>-2379284.8199436194</v>
      </c>
      <c r="G122" s="200">
        <f t="shared" si="57"/>
        <v>-2411152.3882168331</v>
      </c>
      <c r="H122" s="200">
        <f t="shared" si="57"/>
        <v>-3142015.7006810061</v>
      </c>
      <c r="I122" s="200">
        <f t="shared" si="57"/>
        <v>-3873771.7774088499</v>
      </c>
      <c r="J122" s="200">
        <f t="shared" si="57"/>
        <v>-3909142.3363801944</v>
      </c>
      <c r="K122" s="200">
        <f t="shared" si="57"/>
        <v>-3946492.6534725265</v>
      </c>
      <c r="L122" s="200">
        <f t="shared" si="57"/>
        <v>-3986023.6249375697</v>
      </c>
      <c r="M122" s="200">
        <f t="shared" si="57"/>
        <v>-4027781.0365694845</v>
      </c>
      <c r="N122" s="200">
        <f t="shared" si="57"/>
        <v>-3553156.8070537103</v>
      </c>
      <c r="O122" s="200">
        <f t="shared" si="57"/>
        <v>-3546465.8790744389</v>
      </c>
      <c r="P122" s="200">
        <f t="shared" si="57"/>
        <v>-3926136.7019852144</v>
      </c>
      <c r="Q122" s="200">
        <f t="shared" si="57"/>
        <v>-4175788.6302865362</v>
      </c>
      <c r="R122" s="200">
        <f t="shared" si="57"/>
        <v>-4249560.686621882</v>
      </c>
      <c r="S122" s="200">
        <f t="shared" si="57"/>
        <v>-4476044.0500767566</v>
      </c>
      <c r="T122" s="200">
        <f t="shared" si="57"/>
        <v>-3667750.9222964747</v>
      </c>
      <c r="U122" s="200">
        <f t="shared" si="57"/>
        <v>-2724551.2671743897</v>
      </c>
      <c r="V122" s="200">
        <f t="shared" si="57"/>
        <v>-2736346.8118596892</v>
      </c>
      <c r="W122" s="200">
        <f t="shared" si="57"/>
        <v>-2760345.193301673</v>
      </c>
      <c r="X122" s="200">
        <f t="shared" si="57"/>
        <v>-2784681.1569692842</v>
      </c>
      <c r="Y122" s="200">
        <f t="shared" si="57"/>
        <v>-2797495.1680230666</v>
      </c>
      <c r="Z122" s="200">
        <f t="shared" si="57"/>
        <v>-2112813.4456181419</v>
      </c>
      <c r="AA122" s="200">
        <f t="shared" si="57"/>
        <v>-611358.16071572842</v>
      </c>
      <c r="AB122" s="200">
        <f t="shared" si="57"/>
        <v>0</v>
      </c>
      <c r="AC122" s="200">
        <f t="shared" si="57"/>
        <v>0</v>
      </c>
      <c r="AD122" s="200">
        <f t="shared" si="57"/>
        <v>0</v>
      </c>
      <c r="AE122" s="200">
        <f t="shared" si="57"/>
        <v>0</v>
      </c>
      <c r="AF122" s="200">
        <f t="shared" si="57"/>
        <v>0</v>
      </c>
      <c r="AG122" s="200">
        <f t="shared" si="57"/>
        <v>0</v>
      </c>
      <c r="AH122" s="200">
        <f t="shared" si="57"/>
        <v>0</v>
      </c>
      <c r="AI122" s="200">
        <f t="shared" si="57"/>
        <v>0</v>
      </c>
      <c r="AJ122" s="200">
        <f t="shared" si="57"/>
        <v>0</v>
      </c>
      <c r="AK122" s="200">
        <f t="shared" si="57"/>
        <v>0</v>
      </c>
      <c r="AL122" s="200">
        <f t="shared" si="57"/>
        <v>0</v>
      </c>
      <c r="AM122" s="200">
        <f t="shared" si="57"/>
        <v>0</v>
      </c>
      <c r="AN122" s="200">
        <f t="shared" si="57"/>
        <v>0</v>
      </c>
      <c r="AO122" s="200">
        <f t="shared" si="57"/>
        <v>0</v>
      </c>
      <c r="AP122" s="200">
        <f t="shared" si="57"/>
        <v>0</v>
      </c>
    </row>
    <row r="123" spans="1:42" x14ac:dyDescent="0.2">
      <c r="A123" s="24" t="s">
        <v>250</v>
      </c>
      <c r="B123" s="248"/>
      <c r="C123" s="200">
        <f t="shared" ref="C123:AP123" si="58">C12</f>
        <v>3683120</v>
      </c>
      <c r="D123" s="200">
        <f t="shared" si="58"/>
        <v>3701356</v>
      </c>
      <c r="E123" s="200">
        <f t="shared" si="58"/>
        <v>3719680</v>
      </c>
      <c r="F123" s="200">
        <f t="shared" si="58"/>
        <v>3738090</v>
      </c>
      <c r="G123" s="200">
        <f t="shared" si="58"/>
        <v>3756590</v>
      </c>
      <c r="H123" s="200">
        <f t="shared" si="58"/>
        <v>3775190</v>
      </c>
      <c r="I123" s="200">
        <f t="shared" si="58"/>
        <v>3793876</v>
      </c>
      <c r="J123" s="200">
        <f t="shared" si="58"/>
        <v>3812660</v>
      </c>
      <c r="K123" s="200">
        <f t="shared" si="58"/>
        <v>3831530</v>
      </c>
      <c r="L123" s="200">
        <f t="shared" si="58"/>
        <v>3850490</v>
      </c>
      <c r="M123" s="200">
        <f t="shared" si="58"/>
        <v>3869550</v>
      </c>
      <c r="N123" s="200">
        <f t="shared" si="58"/>
        <v>3888710</v>
      </c>
      <c r="O123" s="200">
        <f t="shared" si="58"/>
        <v>3907960</v>
      </c>
      <c r="P123" s="200">
        <f t="shared" si="58"/>
        <v>3927302</v>
      </c>
      <c r="Q123" s="200">
        <f t="shared" si="58"/>
        <v>3946740</v>
      </c>
      <c r="R123" s="200">
        <f t="shared" si="58"/>
        <v>3966280</v>
      </c>
      <c r="S123" s="200">
        <f t="shared" si="58"/>
        <v>3985910</v>
      </c>
      <c r="T123" s="200">
        <f t="shared" si="58"/>
        <v>4005642</v>
      </c>
      <c r="U123" s="200">
        <f t="shared" si="58"/>
        <v>4025470</v>
      </c>
      <c r="V123" s="200">
        <f t="shared" si="58"/>
        <v>4045396</v>
      </c>
      <c r="W123" s="200">
        <f t="shared" si="58"/>
        <v>4065420</v>
      </c>
      <c r="X123" s="200">
        <f t="shared" si="58"/>
        <v>4085540</v>
      </c>
      <c r="Y123" s="200">
        <f t="shared" si="58"/>
        <v>4105768</v>
      </c>
      <c r="Z123" s="200">
        <f t="shared" si="58"/>
        <v>4126090</v>
      </c>
      <c r="AA123" s="200">
        <f t="shared" si="58"/>
        <v>4146520</v>
      </c>
      <c r="AB123" s="200">
        <f t="shared" si="58"/>
        <v>0</v>
      </c>
      <c r="AC123" s="200">
        <f t="shared" si="58"/>
        <v>0</v>
      </c>
      <c r="AD123" s="200">
        <f t="shared" si="58"/>
        <v>0</v>
      </c>
      <c r="AE123" s="200">
        <f t="shared" si="58"/>
        <v>0</v>
      </c>
      <c r="AF123" s="200">
        <f t="shared" si="58"/>
        <v>0</v>
      </c>
      <c r="AG123" s="200">
        <f t="shared" si="58"/>
        <v>0</v>
      </c>
      <c r="AH123" s="200">
        <f t="shared" si="58"/>
        <v>0</v>
      </c>
      <c r="AI123" s="200">
        <f t="shared" si="58"/>
        <v>0</v>
      </c>
      <c r="AJ123" s="200">
        <f t="shared" si="58"/>
        <v>0</v>
      </c>
      <c r="AK123" s="200">
        <f t="shared" si="58"/>
        <v>0</v>
      </c>
      <c r="AL123" s="200">
        <f t="shared" si="58"/>
        <v>0</v>
      </c>
      <c r="AM123" s="200">
        <f t="shared" si="58"/>
        <v>0</v>
      </c>
      <c r="AN123" s="200">
        <f t="shared" si="58"/>
        <v>0</v>
      </c>
      <c r="AO123" s="200">
        <f t="shared" si="58"/>
        <v>0</v>
      </c>
      <c r="AP123" s="200">
        <f t="shared" si="58"/>
        <v>0</v>
      </c>
    </row>
    <row r="124" spans="1:42" x14ac:dyDescent="0.2">
      <c r="A124" s="24" t="s">
        <v>241</v>
      </c>
      <c r="B124" s="248"/>
      <c r="C124" s="200">
        <f t="shared" ref="C124:AP124" si="59">C5</f>
        <v>37211992</v>
      </c>
      <c r="D124" s="200">
        <f t="shared" si="59"/>
        <v>37025932</v>
      </c>
      <c r="E124" s="200">
        <f t="shared" si="59"/>
        <v>36840804</v>
      </c>
      <c r="F124" s="200">
        <f t="shared" si="59"/>
        <v>36656600</v>
      </c>
      <c r="G124" s="200">
        <f t="shared" si="59"/>
        <v>36473316</v>
      </c>
      <c r="H124" s="200">
        <f t="shared" si="59"/>
        <v>36290948</v>
      </c>
      <c r="I124" s="200">
        <f t="shared" si="59"/>
        <v>36109496</v>
      </c>
      <c r="J124" s="200">
        <f t="shared" si="59"/>
        <v>35928948</v>
      </c>
      <c r="K124" s="200">
        <f t="shared" si="59"/>
        <v>35749304</v>
      </c>
      <c r="L124" s="200">
        <f t="shared" si="59"/>
        <v>35570556</v>
      </c>
      <c r="M124" s="200">
        <f t="shared" si="59"/>
        <v>35392704</v>
      </c>
      <c r="N124" s="200">
        <f t="shared" si="59"/>
        <v>35215740</v>
      </c>
      <c r="O124" s="200">
        <f t="shared" si="59"/>
        <v>35039660</v>
      </c>
      <c r="P124" s="200">
        <f t="shared" si="59"/>
        <v>34864464</v>
      </c>
      <c r="Q124" s="200">
        <f t="shared" si="59"/>
        <v>34690140</v>
      </c>
      <c r="R124" s="200">
        <f t="shared" si="59"/>
        <v>34516688</v>
      </c>
      <c r="S124" s="200">
        <f t="shared" si="59"/>
        <v>34344108</v>
      </c>
      <c r="T124" s="200">
        <f t="shared" si="59"/>
        <v>34172384</v>
      </c>
      <c r="U124" s="200">
        <f t="shared" si="59"/>
        <v>34001524</v>
      </c>
      <c r="V124" s="200">
        <f t="shared" si="59"/>
        <v>33831516</v>
      </c>
      <c r="W124" s="200">
        <f t="shared" si="59"/>
        <v>33662360</v>
      </c>
      <c r="X124" s="200">
        <f t="shared" si="59"/>
        <v>33494046</v>
      </c>
      <c r="Y124" s="200">
        <f t="shared" si="59"/>
        <v>33326576</v>
      </c>
      <c r="Z124" s="200">
        <f t="shared" si="59"/>
        <v>33159944</v>
      </c>
      <c r="AA124" s="200">
        <f t="shared" si="59"/>
        <v>32994144</v>
      </c>
      <c r="AB124" s="200">
        <f t="shared" si="59"/>
        <v>0</v>
      </c>
      <c r="AC124" s="200">
        <f t="shared" si="59"/>
        <v>0</v>
      </c>
      <c r="AD124" s="200">
        <f t="shared" si="59"/>
        <v>0</v>
      </c>
      <c r="AE124" s="200">
        <f t="shared" si="59"/>
        <v>0</v>
      </c>
      <c r="AF124" s="200">
        <f t="shared" si="59"/>
        <v>0</v>
      </c>
      <c r="AG124" s="200">
        <f t="shared" si="59"/>
        <v>0</v>
      </c>
      <c r="AH124" s="200">
        <f t="shared" si="59"/>
        <v>0</v>
      </c>
      <c r="AI124" s="200">
        <f t="shared" si="59"/>
        <v>0</v>
      </c>
      <c r="AJ124" s="200">
        <f t="shared" si="59"/>
        <v>0</v>
      </c>
      <c r="AK124" s="200">
        <f t="shared" si="59"/>
        <v>0</v>
      </c>
      <c r="AL124" s="200">
        <f t="shared" si="59"/>
        <v>0</v>
      </c>
      <c r="AM124" s="200">
        <f t="shared" si="59"/>
        <v>0</v>
      </c>
      <c r="AN124" s="200">
        <f t="shared" si="59"/>
        <v>0</v>
      </c>
      <c r="AO124" s="200">
        <f t="shared" si="59"/>
        <v>0</v>
      </c>
      <c r="AP124" s="200">
        <f t="shared" si="59"/>
        <v>0</v>
      </c>
    </row>
    <row r="125" spans="1:42" s="127" customFormat="1" x14ac:dyDescent="0.2">
      <c r="A125" s="4"/>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c r="AP125" s="210"/>
    </row>
    <row r="126" spans="1:42" s="127" customFormat="1" x14ac:dyDescent="0.2">
      <c r="A126" s="4" t="s">
        <v>239</v>
      </c>
      <c r="B126" s="202">
        <f>-(B122+NPV(NominalDiscountRate/100,C122:AP122))</f>
        <v>38914742.706735283</v>
      </c>
      <c r="C126" s="200"/>
      <c r="D126" s="20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c r="AP126" s="210"/>
    </row>
    <row r="127" spans="1:42" s="127" customFormat="1" x14ac:dyDescent="0.2">
      <c r="A127" s="4" t="s">
        <v>238</v>
      </c>
      <c r="B127" s="202">
        <f>NPV(NominalDiscountRate/100,C124:AP124)</f>
        <v>377058462.29908442</v>
      </c>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c r="AP127" s="210"/>
    </row>
    <row r="128" spans="1:42" s="127" customFormat="1" x14ac:dyDescent="0.2">
      <c r="A128" s="4" t="s">
        <v>304</v>
      </c>
      <c r="B128" s="290">
        <f>IF(B127=0,0,B126/B127*100)</f>
        <v>10.320612477294818</v>
      </c>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c r="AP128" s="210"/>
    </row>
    <row r="129" spans="1:42" s="127" customFormat="1" x14ac:dyDescent="0.2">
      <c r="A129" s="4"/>
      <c r="B129" s="277"/>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c r="AP129" s="210"/>
    </row>
    <row r="130" spans="1:42" s="127" customFormat="1" x14ac:dyDescent="0.2">
      <c r="A130" s="4" t="s">
        <v>251</v>
      </c>
      <c r="B130" s="202">
        <f>NPV(NominalDiscountRate/100,C123:AP123)</f>
        <v>40480356.632698581</v>
      </c>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c r="AP130" s="210"/>
    </row>
    <row r="131" spans="1:42" s="127" customFormat="1" x14ac:dyDescent="0.2">
      <c r="A131" s="4" t="s">
        <v>238</v>
      </c>
      <c r="B131" s="202">
        <f>B127</f>
        <v>377058462.29908442</v>
      </c>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c r="AP131" s="210"/>
    </row>
    <row r="132" spans="1:42" s="127" customFormat="1" x14ac:dyDescent="0.2">
      <c r="A132" s="4" t="s">
        <v>305</v>
      </c>
      <c r="B132" s="290">
        <f>IF(B131=0,0,B130/B131*100)</f>
        <v>10.735830296944611</v>
      </c>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row>
    <row r="133" spans="1:42" s="127" customFormat="1" x14ac:dyDescent="0.2">
      <c r="A133" s="4"/>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row>
    <row r="134" spans="1:42" s="127" customFormat="1" x14ac:dyDescent="0.2">
      <c r="A134" s="114" t="s">
        <v>36</v>
      </c>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c r="AB134" s="297"/>
      <c r="AC134" s="297"/>
      <c r="AD134" s="297"/>
      <c r="AE134" s="297"/>
      <c r="AF134" s="297"/>
      <c r="AG134" s="297"/>
      <c r="AH134" s="297"/>
      <c r="AI134" s="297"/>
      <c r="AJ134" s="297"/>
      <c r="AK134" s="297"/>
      <c r="AL134" s="297"/>
      <c r="AM134" s="297"/>
      <c r="AN134" s="297"/>
      <c r="AO134" s="297"/>
      <c r="AP134" s="297"/>
    </row>
    <row r="135" spans="1:42" s="211" customFormat="1" x14ac:dyDescent="0.2">
      <c r="A135" s="30" t="s">
        <v>50</v>
      </c>
    </row>
    <row r="136" spans="1:42" s="17" customFormat="1" x14ac:dyDescent="0.2">
      <c r="A136" s="123" t="s">
        <v>37</v>
      </c>
      <c r="B136" s="211"/>
      <c r="C136" s="194">
        <f t="shared" ref="C136:AP136" si="60">C43</f>
        <v>3192909.12</v>
      </c>
      <c r="D136" s="194">
        <f t="shared" si="60"/>
        <v>3198889.8480000002</v>
      </c>
      <c r="E136" s="194">
        <f t="shared" si="60"/>
        <v>3204652.1941999998</v>
      </c>
      <c r="F136" s="194">
        <f t="shared" si="60"/>
        <v>3210186.499055</v>
      </c>
      <c r="G136" s="194">
        <f t="shared" si="60"/>
        <v>3215488.9115313748</v>
      </c>
      <c r="H136" s="194">
        <f t="shared" si="60"/>
        <v>3220561.3843196593</v>
      </c>
      <c r="I136" s="194">
        <f t="shared" si="60"/>
        <v>3225381.6689276509</v>
      </c>
      <c r="J136" s="194">
        <f t="shared" si="60"/>
        <v>3229953.3106508423</v>
      </c>
      <c r="K136" s="194">
        <f t="shared" si="60"/>
        <v>3234255.6434171135</v>
      </c>
      <c r="L136" s="194">
        <f t="shared" si="60"/>
        <v>3238283.7845025416</v>
      </c>
      <c r="M136" s="194">
        <f t="shared" si="60"/>
        <v>3242038.6291151047</v>
      </c>
      <c r="N136" s="194">
        <f t="shared" si="60"/>
        <v>3245510.8448429825</v>
      </c>
      <c r="O136" s="194">
        <f t="shared" si="60"/>
        <v>3248680.8659640569</v>
      </c>
      <c r="P136" s="194">
        <f t="shared" si="60"/>
        <v>3251540.8876131587</v>
      </c>
      <c r="Q136" s="194">
        <f t="shared" si="60"/>
        <v>3254084.8598034875</v>
      </c>
      <c r="R136" s="194">
        <f t="shared" si="60"/>
        <v>3256308.4812985747</v>
      </c>
      <c r="S136" s="194">
        <f t="shared" si="60"/>
        <v>3258189.193331039</v>
      </c>
      <c r="T136" s="194">
        <f t="shared" si="60"/>
        <v>3259728.1731643155</v>
      </c>
      <c r="U136" s="194">
        <f t="shared" si="60"/>
        <v>3260908.3274934231</v>
      </c>
      <c r="V136" s="194">
        <f t="shared" si="60"/>
        <v>3261720.2856807588</v>
      </c>
      <c r="W136" s="194">
        <f t="shared" si="60"/>
        <v>3262152.3928227779</v>
      </c>
      <c r="X136" s="194">
        <f t="shared" si="60"/>
        <v>3262190.702643347</v>
      </c>
      <c r="Y136" s="194">
        <f t="shared" si="60"/>
        <v>3261834.9702094309</v>
      </c>
      <c r="Z136" s="194">
        <f t="shared" si="60"/>
        <v>3261058.644464667</v>
      </c>
      <c r="AA136" s="194">
        <f t="shared" si="60"/>
        <v>3259862.8605762832</v>
      </c>
      <c r="AB136" s="194">
        <f t="shared" si="60"/>
        <v>0</v>
      </c>
      <c r="AC136" s="194">
        <f t="shared" si="60"/>
        <v>0</v>
      </c>
      <c r="AD136" s="194">
        <f t="shared" si="60"/>
        <v>0</v>
      </c>
      <c r="AE136" s="194">
        <f t="shared" si="60"/>
        <v>0</v>
      </c>
      <c r="AF136" s="194">
        <f t="shared" si="60"/>
        <v>0</v>
      </c>
      <c r="AG136" s="194">
        <f t="shared" si="60"/>
        <v>0</v>
      </c>
      <c r="AH136" s="194">
        <f t="shared" si="60"/>
        <v>0</v>
      </c>
      <c r="AI136" s="194">
        <f t="shared" si="60"/>
        <v>0</v>
      </c>
      <c r="AJ136" s="194">
        <f t="shared" si="60"/>
        <v>0</v>
      </c>
      <c r="AK136" s="194">
        <f t="shared" si="60"/>
        <v>0</v>
      </c>
      <c r="AL136" s="194">
        <f t="shared" si="60"/>
        <v>0</v>
      </c>
      <c r="AM136" s="194">
        <f t="shared" si="60"/>
        <v>0</v>
      </c>
      <c r="AN136" s="194">
        <f t="shared" si="60"/>
        <v>0</v>
      </c>
      <c r="AO136" s="194">
        <f t="shared" si="60"/>
        <v>0</v>
      </c>
      <c r="AP136" s="194">
        <f t="shared" si="60"/>
        <v>0</v>
      </c>
    </row>
    <row r="137" spans="1:42" s="17" customFormat="1" x14ac:dyDescent="0.2">
      <c r="A137" s="123" t="s">
        <v>46</v>
      </c>
      <c r="B137" s="211"/>
      <c r="C137" s="194">
        <f t="shared" ref="C137:AP137" si="61">C668</f>
        <v>22106.576436696556</v>
      </c>
      <c r="D137" s="194">
        <f t="shared" si="61"/>
        <v>31780.343229280399</v>
      </c>
      <c r="E137" s="194">
        <f t="shared" si="61"/>
        <v>41456.790862614245</v>
      </c>
      <c r="F137" s="194">
        <f t="shared" si="61"/>
        <v>51135.986357716843</v>
      </c>
      <c r="G137" s="194">
        <f t="shared" si="61"/>
        <v>60817.998411132416</v>
      </c>
      <c r="H137" s="194">
        <f t="shared" si="61"/>
        <v>70502.897436818763</v>
      </c>
      <c r="I137" s="194">
        <f t="shared" si="61"/>
        <v>80190.755609082698</v>
      </c>
      <c r="J137" s="194">
        <f t="shared" si="61"/>
        <v>89881.646906588605</v>
      </c>
      <c r="K137" s="194">
        <f t="shared" si="61"/>
        <v>99575.647157467582</v>
      </c>
      <c r="L137" s="194">
        <f t="shared" si="61"/>
        <v>109272.83408555393</v>
      </c>
      <c r="M137" s="194">
        <f t="shared" si="61"/>
        <v>118973.28735777784</v>
      </c>
      <c r="N137" s="194">
        <f t="shared" si="61"/>
        <v>128677.08863274276</v>
      </c>
      <c r="O137" s="194">
        <f t="shared" si="61"/>
        <v>23585.92365951106</v>
      </c>
      <c r="P137" s="194">
        <f t="shared" si="61"/>
        <v>36596.064507222029</v>
      </c>
      <c r="Q137" s="194">
        <f t="shared" si="61"/>
        <v>49609.81078769725</v>
      </c>
      <c r="R137" s="194">
        <f t="shared" si="61"/>
        <v>62627.252636755846</v>
      </c>
      <c r="S137" s="194">
        <f t="shared" si="61"/>
        <v>75648.482443612389</v>
      </c>
      <c r="T137" s="194">
        <f t="shared" si="61"/>
        <v>88673.594907211824</v>
      </c>
      <c r="U137" s="194">
        <f t="shared" si="61"/>
        <v>83885.455857276174</v>
      </c>
      <c r="V137" s="194">
        <f t="shared" si="61"/>
        <v>96918.627260277601</v>
      </c>
      <c r="W137" s="194">
        <f t="shared" si="61"/>
        <v>109955.97985992553</v>
      </c>
      <c r="X137" s="194">
        <f t="shared" si="61"/>
        <v>122997.61818613615</v>
      </c>
      <c r="Y137" s="194">
        <f t="shared" si="61"/>
        <v>136043.64938207352</v>
      </c>
      <c r="Z137" s="194">
        <f t="shared" si="61"/>
        <v>149094.1832694808</v>
      </c>
      <c r="AA137" s="194">
        <f t="shared" si="61"/>
        <v>7758.2499699575201</v>
      </c>
      <c r="AB137" s="194">
        <f t="shared" si="61"/>
        <v>0</v>
      </c>
      <c r="AC137" s="194">
        <f t="shared" si="61"/>
        <v>0</v>
      </c>
      <c r="AD137" s="194">
        <f t="shared" si="61"/>
        <v>0</v>
      </c>
      <c r="AE137" s="194">
        <f t="shared" si="61"/>
        <v>0</v>
      </c>
      <c r="AF137" s="194">
        <f t="shared" si="61"/>
        <v>0</v>
      </c>
      <c r="AG137" s="194">
        <f t="shared" si="61"/>
        <v>0</v>
      </c>
      <c r="AH137" s="194">
        <f t="shared" si="61"/>
        <v>0</v>
      </c>
      <c r="AI137" s="194">
        <f t="shared" si="61"/>
        <v>0</v>
      </c>
      <c r="AJ137" s="194">
        <f t="shared" si="61"/>
        <v>0</v>
      </c>
      <c r="AK137" s="194">
        <f t="shared" si="61"/>
        <v>0</v>
      </c>
      <c r="AL137" s="194">
        <f t="shared" si="61"/>
        <v>0</v>
      </c>
      <c r="AM137" s="194">
        <f t="shared" si="61"/>
        <v>0</v>
      </c>
      <c r="AN137" s="194">
        <f t="shared" si="61"/>
        <v>0</v>
      </c>
      <c r="AO137" s="194">
        <f t="shared" si="61"/>
        <v>0</v>
      </c>
      <c r="AP137" s="194">
        <f t="shared" si="61"/>
        <v>0</v>
      </c>
    </row>
    <row r="138" spans="1:42" s="17" customFormat="1" x14ac:dyDescent="0.2">
      <c r="A138" s="123" t="s">
        <v>38</v>
      </c>
      <c r="B138" s="211"/>
      <c r="C138" s="194">
        <f t="shared" ref="C138:AP138" si="62">-C536</f>
        <v>-1433800.62</v>
      </c>
      <c r="D138" s="194">
        <f t="shared" si="62"/>
        <v>-1391628.8135064275</v>
      </c>
      <c r="E138" s="194">
        <f t="shared" si="62"/>
        <v>-1346504.9805583048</v>
      </c>
      <c r="F138" s="194">
        <f t="shared" si="62"/>
        <v>-1298222.4793038138</v>
      </c>
      <c r="G138" s="194">
        <f t="shared" si="62"/>
        <v>-1246560.202961508</v>
      </c>
      <c r="H138" s="194">
        <f t="shared" si="62"/>
        <v>-1191281.567275241</v>
      </c>
      <c r="I138" s="194">
        <f t="shared" si="62"/>
        <v>-1132133.4270909356</v>
      </c>
      <c r="J138" s="194">
        <f t="shared" si="62"/>
        <v>-1068844.9170937284</v>
      </c>
      <c r="K138" s="194">
        <f t="shared" si="62"/>
        <v>-1001126.211396717</v>
      </c>
      <c r="L138" s="194">
        <f t="shared" si="62"/>
        <v>-928667.19630091474</v>
      </c>
      <c r="M138" s="194">
        <f t="shared" si="62"/>
        <v>-851136.0501484063</v>
      </c>
      <c r="N138" s="194">
        <f t="shared" si="62"/>
        <v>-768177.72376522224</v>
      </c>
      <c r="O138" s="194">
        <f t="shared" si="62"/>
        <v>-679412.31453521538</v>
      </c>
      <c r="P138" s="194">
        <f t="shared" si="62"/>
        <v>-584433.32665910805</v>
      </c>
      <c r="Q138" s="194">
        <f t="shared" si="62"/>
        <v>-482805.8096316731</v>
      </c>
      <c r="R138" s="194">
        <f t="shared" si="62"/>
        <v>-374064.36641231773</v>
      </c>
      <c r="S138" s="194">
        <f t="shared" si="62"/>
        <v>-257711.02216760756</v>
      </c>
      <c r="T138" s="194">
        <f t="shared" si="62"/>
        <v>-133212.94382576764</v>
      </c>
      <c r="U138" s="194">
        <f t="shared" si="62"/>
        <v>0</v>
      </c>
      <c r="V138" s="194">
        <f t="shared" si="62"/>
        <v>0</v>
      </c>
      <c r="W138" s="194">
        <f t="shared" si="62"/>
        <v>0</v>
      </c>
      <c r="X138" s="194">
        <f t="shared" si="62"/>
        <v>0</v>
      </c>
      <c r="Y138" s="194">
        <f t="shared" si="62"/>
        <v>0</v>
      </c>
      <c r="Z138" s="194">
        <f t="shared" si="62"/>
        <v>0</v>
      </c>
      <c r="AA138" s="194">
        <f t="shared" si="62"/>
        <v>0</v>
      </c>
      <c r="AB138" s="194">
        <f t="shared" si="62"/>
        <v>0</v>
      </c>
      <c r="AC138" s="194">
        <f t="shared" si="62"/>
        <v>0</v>
      </c>
      <c r="AD138" s="194">
        <f t="shared" si="62"/>
        <v>0</v>
      </c>
      <c r="AE138" s="194">
        <f t="shared" si="62"/>
        <v>0</v>
      </c>
      <c r="AF138" s="194">
        <f t="shared" si="62"/>
        <v>0</v>
      </c>
      <c r="AG138" s="194">
        <f t="shared" si="62"/>
        <v>0</v>
      </c>
      <c r="AH138" s="194">
        <f t="shared" si="62"/>
        <v>0</v>
      </c>
      <c r="AI138" s="194">
        <f t="shared" si="62"/>
        <v>0</v>
      </c>
      <c r="AJ138" s="194">
        <f t="shared" si="62"/>
        <v>0</v>
      </c>
      <c r="AK138" s="194">
        <f t="shared" si="62"/>
        <v>0</v>
      </c>
      <c r="AL138" s="194">
        <f t="shared" si="62"/>
        <v>0</v>
      </c>
      <c r="AM138" s="194">
        <f t="shared" si="62"/>
        <v>0</v>
      </c>
      <c r="AN138" s="194">
        <f t="shared" si="62"/>
        <v>0</v>
      </c>
      <c r="AO138" s="194">
        <f t="shared" si="62"/>
        <v>0</v>
      </c>
      <c r="AP138" s="194">
        <f t="shared" si="62"/>
        <v>0</v>
      </c>
    </row>
    <row r="139" spans="1:42" s="9" customFormat="1" x14ac:dyDescent="0.2">
      <c r="A139" s="123" t="s">
        <v>41</v>
      </c>
      <c r="B139" s="211"/>
      <c r="C139" s="169">
        <f t="shared" ref="C139:AP139" si="63">IF(C$2&lt;=analysis_period,-C260-C290-C316-C342,0)</f>
        <v>-6216845.8463123674</v>
      </c>
      <c r="D139" s="169">
        <f t="shared" si="63"/>
        <v>-9981392.9971284624</v>
      </c>
      <c r="E139" s="169">
        <f t="shared" si="63"/>
        <v>-6056654.4794067591</v>
      </c>
      <c r="F139" s="169">
        <f t="shared" si="63"/>
        <v>-3700130.4100204497</v>
      </c>
      <c r="G139" s="169">
        <f t="shared" si="63"/>
        <v>-3695507.7734489073</v>
      </c>
      <c r="H139" s="169">
        <f t="shared" si="63"/>
        <v>-1927739.5074017446</v>
      </c>
      <c r="I139" s="169">
        <f t="shared" si="63"/>
        <v>-162192.50827856932</v>
      </c>
      <c r="J139" s="169">
        <f t="shared" si="63"/>
        <v>-162192.50827856932</v>
      </c>
      <c r="K139" s="169">
        <f t="shared" si="63"/>
        <v>-162252.54251975816</v>
      </c>
      <c r="L139" s="169">
        <f t="shared" si="63"/>
        <v>-162192.50827856932</v>
      </c>
      <c r="M139" s="169">
        <f t="shared" si="63"/>
        <v>-162252.54251975816</v>
      </c>
      <c r="N139" s="169">
        <f t="shared" si="63"/>
        <v>-1474074.1420785631</v>
      </c>
      <c r="O139" s="169">
        <f t="shared" si="63"/>
        <v>-2261423.247909585</v>
      </c>
      <c r="P139" s="169">
        <f t="shared" si="63"/>
        <v>-1421594.8744438174</v>
      </c>
      <c r="Q139" s="169">
        <f t="shared" si="63"/>
        <v>-917893.96221890696</v>
      </c>
      <c r="R139" s="169">
        <f t="shared" si="63"/>
        <v>-866764.80013972812</v>
      </c>
      <c r="S139" s="169">
        <f t="shared" si="63"/>
        <v>-437884.96815902856</v>
      </c>
      <c r="T139" s="169">
        <f t="shared" si="63"/>
        <v>-60034.241188859713</v>
      </c>
      <c r="U139" s="169">
        <f t="shared" si="63"/>
        <v>-60034.241188859713</v>
      </c>
      <c r="V139" s="169">
        <f t="shared" si="63"/>
        <v>-60034.241188859713</v>
      </c>
      <c r="W139" s="169">
        <f t="shared" si="63"/>
        <v>-30017.120594429856</v>
      </c>
      <c r="X139" s="169">
        <f t="shared" si="63"/>
        <v>0</v>
      </c>
      <c r="Y139" s="169">
        <f t="shared" si="63"/>
        <v>0</v>
      </c>
      <c r="Z139" s="169">
        <f t="shared" si="63"/>
        <v>-1764469.5136649974</v>
      </c>
      <c r="AA139" s="169">
        <f t="shared" si="63"/>
        <v>-2823151.2218639958</v>
      </c>
      <c r="AB139" s="169">
        <f t="shared" si="63"/>
        <v>0</v>
      </c>
      <c r="AC139" s="169">
        <f t="shared" si="63"/>
        <v>0</v>
      </c>
      <c r="AD139" s="169">
        <f t="shared" si="63"/>
        <v>0</v>
      </c>
      <c r="AE139" s="169">
        <f t="shared" si="63"/>
        <v>0</v>
      </c>
      <c r="AF139" s="169">
        <f t="shared" si="63"/>
        <v>0</v>
      </c>
      <c r="AG139" s="169">
        <f t="shared" si="63"/>
        <v>0</v>
      </c>
      <c r="AH139" s="169">
        <f t="shared" si="63"/>
        <v>0</v>
      </c>
      <c r="AI139" s="169">
        <f t="shared" si="63"/>
        <v>0</v>
      </c>
      <c r="AJ139" s="169">
        <f t="shared" si="63"/>
        <v>0</v>
      </c>
      <c r="AK139" s="169">
        <f t="shared" si="63"/>
        <v>0</v>
      </c>
      <c r="AL139" s="169">
        <f t="shared" si="63"/>
        <v>0</v>
      </c>
      <c r="AM139" s="169">
        <f t="shared" si="63"/>
        <v>0</v>
      </c>
      <c r="AN139" s="169">
        <f t="shared" si="63"/>
        <v>0</v>
      </c>
      <c r="AO139" s="169">
        <f t="shared" si="63"/>
        <v>0</v>
      </c>
      <c r="AP139" s="169">
        <f t="shared" si="63"/>
        <v>0</v>
      </c>
    </row>
    <row r="140" spans="1:42" s="17" customFormat="1" x14ac:dyDescent="0.2">
      <c r="A140" s="123" t="s">
        <v>216</v>
      </c>
      <c r="B140" s="211"/>
      <c r="C140" s="194">
        <f t="shared" ref="C140:AP140" si="64">SUM(C136:C139)</f>
        <v>-4435630.7698756708</v>
      </c>
      <c r="D140" s="194">
        <f t="shared" si="64"/>
        <v>-8142351.6194056096</v>
      </c>
      <c r="E140" s="194">
        <f t="shared" si="64"/>
        <v>-4157050.4749024501</v>
      </c>
      <c r="F140" s="194">
        <f t="shared" si="64"/>
        <v>-1737030.4039115466</v>
      </c>
      <c r="G140" s="194">
        <f t="shared" si="64"/>
        <v>-1665761.066467908</v>
      </c>
      <c r="H140" s="194">
        <f t="shared" si="64"/>
        <v>172043.20707949228</v>
      </c>
      <c r="I140" s="194">
        <f t="shared" si="64"/>
        <v>2011246.4891672283</v>
      </c>
      <c r="J140" s="194">
        <f t="shared" si="64"/>
        <v>2088797.5321851335</v>
      </c>
      <c r="K140" s="194">
        <f t="shared" si="64"/>
        <v>2170452.5366581059</v>
      </c>
      <c r="L140" s="194">
        <f t="shared" si="64"/>
        <v>2256696.9140086118</v>
      </c>
      <c r="M140" s="194">
        <f t="shared" si="64"/>
        <v>2347623.323804718</v>
      </c>
      <c r="N140" s="194">
        <f t="shared" si="64"/>
        <v>1131936.0676319399</v>
      </c>
      <c r="O140" s="194">
        <f t="shared" si="64"/>
        <v>331431.22717876732</v>
      </c>
      <c r="P140" s="194">
        <f t="shared" si="64"/>
        <v>1282108.751017455</v>
      </c>
      <c r="Q140" s="194">
        <f t="shared" si="64"/>
        <v>1902994.8987406048</v>
      </c>
      <c r="R140" s="194">
        <f t="shared" si="64"/>
        <v>2078106.5673832847</v>
      </c>
      <c r="S140" s="194">
        <f t="shared" si="64"/>
        <v>2638241.6854480151</v>
      </c>
      <c r="T140" s="194">
        <f t="shared" si="64"/>
        <v>3155154.5830568997</v>
      </c>
      <c r="U140" s="194">
        <f t="shared" si="64"/>
        <v>3284759.5421618395</v>
      </c>
      <c r="V140" s="194">
        <f t="shared" si="64"/>
        <v>3298604.6717521767</v>
      </c>
      <c r="W140" s="194">
        <f t="shared" si="64"/>
        <v>3342091.2520882734</v>
      </c>
      <c r="X140" s="194">
        <f t="shared" si="64"/>
        <v>3385188.3208294832</v>
      </c>
      <c r="Y140" s="194">
        <f t="shared" si="64"/>
        <v>3397878.6195915043</v>
      </c>
      <c r="Z140" s="194">
        <f t="shared" si="64"/>
        <v>1645683.3140691502</v>
      </c>
      <c r="AA140" s="194">
        <f t="shared" si="64"/>
        <v>444469.88868224481</v>
      </c>
      <c r="AB140" s="194">
        <f t="shared" si="64"/>
        <v>0</v>
      </c>
      <c r="AC140" s="194">
        <f t="shared" si="64"/>
        <v>0</v>
      </c>
      <c r="AD140" s="194">
        <f t="shared" si="64"/>
        <v>0</v>
      </c>
      <c r="AE140" s="194">
        <f t="shared" si="64"/>
        <v>0</v>
      </c>
      <c r="AF140" s="194">
        <f t="shared" si="64"/>
        <v>0</v>
      </c>
      <c r="AG140" s="194">
        <f t="shared" si="64"/>
        <v>0</v>
      </c>
      <c r="AH140" s="194">
        <f t="shared" si="64"/>
        <v>0</v>
      </c>
      <c r="AI140" s="194">
        <f t="shared" si="64"/>
        <v>0</v>
      </c>
      <c r="AJ140" s="194">
        <f t="shared" si="64"/>
        <v>0</v>
      </c>
      <c r="AK140" s="194">
        <f t="shared" si="64"/>
        <v>0</v>
      </c>
      <c r="AL140" s="194">
        <f t="shared" si="64"/>
        <v>0</v>
      </c>
      <c r="AM140" s="194">
        <f t="shared" si="64"/>
        <v>0</v>
      </c>
      <c r="AN140" s="194">
        <f t="shared" si="64"/>
        <v>0</v>
      </c>
      <c r="AO140" s="194">
        <f t="shared" si="64"/>
        <v>0</v>
      </c>
      <c r="AP140" s="194">
        <f t="shared" si="64"/>
        <v>0</v>
      </c>
    </row>
    <row r="141" spans="1:42" s="17" customFormat="1" x14ac:dyDescent="0.2">
      <c r="A141" s="123" t="str">
        <f>Inputs!B108</f>
        <v>Investment Based Incentive (IBI)</v>
      </c>
      <c r="B141" s="211"/>
    </row>
    <row r="142" spans="1:42" s="17" customFormat="1" x14ac:dyDescent="0.2">
      <c r="A142" s="125" t="str">
        <f>Inputs!B109</f>
        <v>As fixed amount</v>
      </c>
      <c r="B142" s="211"/>
    </row>
    <row r="143" spans="1:42" s="211" customFormat="1" x14ac:dyDescent="0.2">
      <c r="A143" s="112" t="s">
        <v>4</v>
      </c>
      <c r="C143" s="194">
        <f>IF(ibi_fed_amount_tax_sta="Yes",C494,0)</f>
        <v>5000</v>
      </c>
    </row>
    <row r="144" spans="1:42" s="211" customFormat="1" x14ac:dyDescent="0.2">
      <c r="A144" s="112" t="s">
        <v>5</v>
      </c>
      <c r="C144" s="194">
        <f>IF(ibi_sta_amount_tax_sta="Yes",C495,0)</f>
        <v>0</v>
      </c>
    </row>
    <row r="145" spans="1:42" s="211" customFormat="1" x14ac:dyDescent="0.2">
      <c r="A145" s="112" t="s">
        <v>214</v>
      </c>
      <c r="C145" s="194">
        <f>IF(ibi_uti_amount_tax_sta="Yes",C496,0)</f>
        <v>0</v>
      </c>
    </row>
    <row r="146" spans="1:42" s="127" customFormat="1" x14ac:dyDescent="0.2">
      <c r="A146" s="112" t="s">
        <v>215</v>
      </c>
      <c r="C146" s="169">
        <f>IF(ibi_oth_amount_tax_sta="Yes",C497,0)</f>
        <v>0</v>
      </c>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c r="AP146" s="210"/>
    </row>
    <row r="147" spans="1:42" s="127" customFormat="1" x14ac:dyDescent="0.2">
      <c r="A147" s="112" t="s">
        <v>13</v>
      </c>
      <c r="C147" s="195">
        <f>SUM(C143:C146)</f>
        <v>5000</v>
      </c>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row>
    <row r="148" spans="1:42" s="127" customFormat="1" x14ac:dyDescent="0.2">
      <c r="A148" s="125" t="str">
        <f>Inputs!B114</f>
        <v>As percentage</v>
      </c>
      <c r="C148" s="29"/>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c r="AP148" s="210"/>
    </row>
    <row r="149" spans="1:42" s="127" customFormat="1" x14ac:dyDescent="0.2">
      <c r="A149" s="112" t="s">
        <v>4</v>
      </c>
      <c r="C149" s="194">
        <f>IF(ibi_fed_percent_tax_sta="Yes",C500,0)</f>
        <v>0</v>
      </c>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c r="AP149" s="210"/>
    </row>
    <row r="150" spans="1:42" s="127" customFormat="1" x14ac:dyDescent="0.2">
      <c r="A150" s="112" t="s">
        <v>5</v>
      </c>
      <c r="C150" s="194">
        <f>IF(ibi_fed_percent_tax_sta="Yes",C501,0)</f>
        <v>0</v>
      </c>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c r="AP150" s="210"/>
    </row>
    <row r="151" spans="1:42" s="127" customFormat="1" x14ac:dyDescent="0.2">
      <c r="A151" s="112" t="s">
        <v>214</v>
      </c>
      <c r="C151" s="194">
        <f>IF(ibi_fed_percent_tax_sta="Yes",C502,0)</f>
        <v>0</v>
      </c>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c r="AP151" s="210"/>
    </row>
    <row r="152" spans="1:42" s="127" customFormat="1" x14ac:dyDescent="0.2">
      <c r="A152" s="112" t="s">
        <v>215</v>
      </c>
      <c r="C152" s="169">
        <f>IF(ibi_fed_percent_tax_sta="Yes",C503,0)</f>
        <v>0</v>
      </c>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c r="AP152" s="210"/>
    </row>
    <row r="153" spans="1:42" s="127" customFormat="1" x14ac:dyDescent="0.2">
      <c r="A153" s="112" t="s">
        <v>13</v>
      </c>
      <c r="C153" s="195">
        <f>SUM(C149:C152)</f>
        <v>0</v>
      </c>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c r="AP153" s="210"/>
    </row>
    <row r="154" spans="1:42" s="127" customFormat="1" x14ac:dyDescent="0.2">
      <c r="A154" s="123" t="str">
        <f>Inputs!B119</f>
        <v>Capacity Based Incentive (CBI)</v>
      </c>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row>
    <row r="155" spans="1:42" s="127" customFormat="1" x14ac:dyDescent="0.2">
      <c r="A155" s="125" t="s">
        <v>4</v>
      </c>
      <c r="C155" s="168">
        <f>IF(cbi_fed_tax_sta="Yes",C507,0)</f>
        <v>999920.00000000012</v>
      </c>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row>
    <row r="156" spans="1:42" s="127" customFormat="1" x14ac:dyDescent="0.2">
      <c r="A156" s="125" t="s">
        <v>5</v>
      </c>
      <c r="C156" s="168">
        <f>IF(cbi_fed_tax_sta="Yes",C508,0)</f>
        <v>0</v>
      </c>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row>
    <row r="157" spans="1:42" s="127" customFormat="1" x14ac:dyDescent="0.2">
      <c r="A157" s="125" t="s">
        <v>214</v>
      </c>
      <c r="C157" s="168">
        <f>IF(cbi_fed_tax_sta="Yes",C509,0)</f>
        <v>0</v>
      </c>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row>
    <row r="158" spans="1:42" s="127" customFormat="1" x14ac:dyDescent="0.2">
      <c r="A158" s="125" t="s">
        <v>215</v>
      </c>
      <c r="C158" s="169">
        <f>IF(cbi_fed_tax_sta="Yes",C510,0)</f>
        <v>0</v>
      </c>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row>
    <row r="159" spans="1:42" s="127" customFormat="1" x14ac:dyDescent="0.2">
      <c r="A159" s="125" t="s">
        <v>13</v>
      </c>
      <c r="C159" s="195">
        <f>SUM(C155:C158)</f>
        <v>999920.00000000012</v>
      </c>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row>
    <row r="160" spans="1:42" s="127" customFormat="1" x14ac:dyDescent="0.2">
      <c r="A160" s="123" t="str">
        <f>Inputs!B124</f>
        <v>Production Based Incentive (PBI)</v>
      </c>
      <c r="C160" s="29"/>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row>
    <row r="161" spans="1:42" x14ac:dyDescent="0.2">
      <c r="A161" s="125" t="s">
        <v>4</v>
      </c>
      <c r="B161" s="127"/>
      <c r="C161" s="168">
        <f t="shared" ref="C161:AP161" si="65">IF(AND(pbi_fed_tax_sta="Yes",pbi_fed_for_ds="No"),C517,0)</f>
        <v>0</v>
      </c>
      <c r="D161" s="168">
        <f t="shared" si="65"/>
        <v>0</v>
      </c>
      <c r="E161" s="168">
        <f t="shared" si="65"/>
        <v>0</v>
      </c>
      <c r="F161" s="168">
        <f t="shared" si="65"/>
        <v>0</v>
      </c>
      <c r="G161" s="168">
        <f t="shared" si="65"/>
        <v>0</v>
      </c>
      <c r="H161" s="168">
        <f t="shared" si="65"/>
        <v>0</v>
      </c>
      <c r="I161" s="168">
        <f t="shared" si="65"/>
        <v>0</v>
      </c>
      <c r="J161" s="168">
        <f t="shared" si="65"/>
        <v>0</v>
      </c>
      <c r="K161" s="168">
        <f t="shared" si="65"/>
        <v>0</v>
      </c>
      <c r="L161" s="168">
        <f t="shared" si="65"/>
        <v>0</v>
      </c>
      <c r="M161" s="168">
        <f t="shared" si="65"/>
        <v>0</v>
      </c>
      <c r="N161" s="168">
        <f t="shared" si="65"/>
        <v>0</v>
      </c>
      <c r="O161" s="168">
        <f t="shared" si="65"/>
        <v>0</v>
      </c>
      <c r="P161" s="168">
        <f t="shared" si="65"/>
        <v>0</v>
      </c>
      <c r="Q161" s="168">
        <f t="shared" si="65"/>
        <v>0</v>
      </c>
      <c r="R161" s="168">
        <f t="shared" si="65"/>
        <v>0</v>
      </c>
      <c r="S161" s="168">
        <f t="shared" si="65"/>
        <v>0</v>
      </c>
      <c r="T161" s="168">
        <f t="shared" si="65"/>
        <v>0</v>
      </c>
      <c r="U161" s="168">
        <f t="shared" si="65"/>
        <v>0</v>
      </c>
      <c r="V161" s="168">
        <f t="shared" si="65"/>
        <v>0</v>
      </c>
      <c r="W161" s="168">
        <f t="shared" si="65"/>
        <v>0</v>
      </c>
      <c r="X161" s="168">
        <f t="shared" si="65"/>
        <v>0</v>
      </c>
      <c r="Y161" s="168">
        <f t="shared" si="65"/>
        <v>0</v>
      </c>
      <c r="Z161" s="168">
        <f t="shared" si="65"/>
        <v>0</v>
      </c>
      <c r="AA161" s="168">
        <f t="shared" si="65"/>
        <v>0</v>
      </c>
      <c r="AB161" s="168">
        <f t="shared" si="65"/>
        <v>0</v>
      </c>
      <c r="AC161" s="168">
        <f t="shared" si="65"/>
        <v>0</v>
      </c>
      <c r="AD161" s="168">
        <f t="shared" si="65"/>
        <v>0</v>
      </c>
      <c r="AE161" s="168">
        <f t="shared" si="65"/>
        <v>0</v>
      </c>
      <c r="AF161" s="168">
        <f t="shared" si="65"/>
        <v>0</v>
      </c>
      <c r="AG161" s="168">
        <f t="shared" si="65"/>
        <v>0</v>
      </c>
      <c r="AH161" s="168">
        <f t="shared" si="65"/>
        <v>0</v>
      </c>
      <c r="AI161" s="168">
        <f t="shared" si="65"/>
        <v>0</v>
      </c>
      <c r="AJ161" s="168">
        <f t="shared" si="65"/>
        <v>0</v>
      </c>
      <c r="AK161" s="168">
        <f t="shared" si="65"/>
        <v>0</v>
      </c>
      <c r="AL161" s="168">
        <f t="shared" si="65"/>
        <v>0</v>
      </c>
      <c r="AM161" s="168">
        <f t="shared" si="65"/>
        <v>0</v>
      </c>
      <c r="AN161" s="168">
        <f t="shared" si="65"/>
        <v>0</v>
      </c>
      <c r="AO161" s="168">
        <f t="shared" si="65"/>
        <v>0</v>
      </c>
      <c r="AP161" s="168">
        <f t="shared" si="65"/>
        <v>0</v>
      </c>
    </row>
    <row r="162" spans="1:42" x14ac:dyDescent="0.2">
      <c r="A162" s="125" t="s">
        <v>5</v>
      </c>
      <c r="B162" s="127"/>
      <c r="C162" s="168">
        <f t="shared" ref="C162:AP162" si="66">IF(AND(pbi_sta_tax_sta="Yes",pbi_sta_for_ds="No"),C521,0)</f>
        <v>0</v>
      </c>
      <c r="D162" s="168">
        <f t="shared" si="66"/>
        <v>0</v>
      </c>
      <c r="E162" s="168">
        <f t="shared" si="66"/>
        <v>0</v>
      </c>
      <c r="F162" s="168">
        <f t="shared" si="66"/>
        <v>0</v>
      </c>
      <c r="G162" s="168">
        <f t="shared" si="66"/>
        <v>0</v>
      </c>
      <c r="H162" s="168">
        <f t="shared" si="66"/>
        <v>0</v>
      </c>
      <c r="I162" s="168">
        <f t="shared" si="66"/>
        <v>0</v>
      </c>
      <c r="J162" s="168">
        <f t="shared" si="66"/>
        <v>0</v>
      </c>
      <c r="K162" s="168">
        <f t="shared" si="66"/>
        <v>0</v>
      </c>
      <c r="L162" s="168">
        <f t="shared" si="66"/>
        <v>0</v>
      </c>
      <c r="M162" s="168">
        <f t="shared" si="66"/>
        <v>0</v>
      </c>
      <c r="N162" s="168">
        <f t="shared" si="66"/>
        <v>0</v>
      </c>
      <c r="O162" s="168">
        <f t="shared" si="66"/>
        <v>0</v>
      </c>
      <c r="P162" s="168">
        <f t="shared" si="66"/>
        <v>0</v>
      </c>
      <c r="Q162" s="168">
        <f t="shared" si="66"/>
        <v>0</v>
      </c>
      <c r="R162" s="168">
        <f t="shared" si="66"/>
        <v>0</v>
      </c>
      <c r="S162" s="168">
        <f t="shared" si="66"/>
        <v>0</v>
      </c>
      <c r="T162" s="168">
        <f t="shared" si="66"/>
        <v>0</v>
      </c>
      <c r="U162" s="168">
        <f t="shared" si="66"/>
        <v>0</v>
      </c>
      <c r="V162" s="168">
        <f t="shared" si="66"/>
        <v>0</v>
      </c>
      <c r="W162" s="168">
        <f t="shared" si="66"/>
        <v>0</v>
      </c>
      <c r="X162" s="168">
        <f t="shared" si="66"/>
        <v>0</v>
      </c>
      <c r="Y162" s="168">
        <f t="shared" si="66"/>
        <v>0</v>
      </c>
      <c r="Z162" s="168">
        <f t="shared" si="66"/>
        <v>0</v>
      </c>
      <c r="AA162" s="168">
        <f t="shared" si="66"/>
        <v>0</v>
      </c>
      <c r="AB162" s="168">
        <f t="shared" si="66"/>
        <v>0</v>
      </c>
      <c r="AC162" s="168">
        <f t="shared" si="66"/>
        <v>0</v>
      </c>
      <c r="AD162" s="168">
        <f t="shared" si="66"/>
        <v>0</v>
      </c>
      <c r="AE162" s="168">
        <f t="shared" si="66"/>
        <v>0</v>
      </c>
      <c r="AF162" s="168">
        <f t="shared" si="66"/>
        <v>0</v>
      </c>
      <c r="AG162" s="168">
        <f t="shared" si="66"/>
        <v>0</v>
      </c>
      <c r="AH162" s="168">
        <f t="shared" si="66"/>
        <v>0</v>
      </c>
      <c r="AI162" s="168">
        <f t="shared" si="66"/>
        <v>0</v>
      </c>
      <c r="AJ162" s="168">
        <f t="shared" si="66"/>
        <v>0</v>
      </c>
      <c r="AK162" s="168">
        <f t="shared" si="66"/>
        <v>0</v>
      </c>
      <c r="AL162" s="168">
        <f t="shared" si="66"/>
        <v>0</v>
      </c>
      <c r="AM162" s="168">
        <f t="shared" si="66"/>
        <v>0</v>
      </c>
      <c r="AN162" s="168">
        <f t="shared" si="66"/>
        <v>0</v>
      </c>
      <c r="AO162" s="168">
        <f t="shared" si="66"/>
        <v>0</v>
      </c>
      <c r="AP162" s="168">
        <f t="shared" si="66"/>
        <v>0</v>
      </c>
    </row>
    <row r="163" spans="1:42" x14ac:dyDescent="0.2">
      <c r="A163" s="125" t="s">
        <v>214</v>
      </c>
      <c r="B163" s="127"/>
      <c r="C163" s="168">
        <f t="shared" ref="C163:AP163" si="67">IF(AND(pbi_uti_tax_sta="Yes",pbi_uti_for_ds="No"),C525,0)</f>
        <v>0</v>
      </c>
      <c r="D163" s="168">
        <f t="shared" si="67"/>
        <v>0</v>
      </c>
      <c r="E163" s="168">
        <f t="shared" si="67"/>
        <v>0</v>
      </c>
      <c r="F163" s="168">
        <f t="shared" si="67"/>
        <v>0</v>
      </c>
      <c r="G163" s="168">
        <f t="shared" si="67"/>
        <v>0</v>
      </c>
      <c r="H163" s="168">
        <f t="shared" si="67"/>
        <v>0</v>
      </c>
      <c r="I163" s="168">
        <f t="shared" si="67"/>
        <v>0</v>
      </c>
      <c r="J163" s="168">
        <f t="shared" si="67"/>
        <v>0</v>
      </c>
      <c r="K163" s="168">
        <f t="shared" si="67"/>
        <v>0</v>
      </c>
      <c r="L163" s="168">
        <f t="shared" si="67"/>
        <v>0</v>
      </c>
      <c r="M163" s="168">
        <f t="shared" si="67"/>
        <v>0</v>
      </c>
      <c r="N163" s="168">
        <f t="shared" si="67"/>
        <v>0</v>
      </c>
      <c r="O163" s="168">
        <f t="shared" si="67"/>
        <v>0</v>
      </c>
      <c r="P163" s="168">
        <f t="shared" si="67"/>
        <v>0</v>
      </c>
      <c r="Q163" s="168">
        <f t="shared" si="67"/>
        <v>0</v>
      </c>
      <c r="R163" s="168">
        <f t="shared" si="67"/>
        <v>0</v>
      </c>
      <c r="S163" s="168">
        <f t="shared" si="67"/>
        <v>0</v>
      </c>
      <c r="T163" s="168">
        <f t="shared" si="67"/>
        <v>0</v>
      </c>
      <c r="U163" s="168">
        <f t="shared" si="67"/>
        <v>0</v>
      </c>
      <c r="V163" s="168">
        <f t="shared" si="67"/>
        <v>0</v>
      </c>
      <c r="W163" s="168">
        <f t="shared" si="67"/>
        <v>0</v>
      </c>
      <c r="X163" s="168">
        <f t="shared" si="67"/>
        <v>0</v>
      </c>
      <c r="Y163" s="168">
        <f t="shared" si="67"/>
        <v>0</v>
      </c>
      <c r="Z163" s="168">
        <f t="shared" si="67"/>
        <v>0</v>
      </c>
      <c r="AA163" s="168">
        <f t="shared" si="67"/>
        <v>0</v>
      </c>
      <c r="AB163" s="168">
        <f t="shared" si="67"/>
        <v>0</v>
      </c>
      <c r="AC163" s="168">
        <f t="shared" si="67"/>
        <v>0</v>
      </c>
      <c r="AD163" s="168">
        <f t="shared" si="67"/>
        <v>0</v>
      </c>
      <c r="AE163" s="168">
        <f t="shared" si="67"/>
        <v>0</v>
      </c>
      <c r="AF163" s="168">
        <f t="shared" si="67"/>
        <v>0</v>
      </c>
      <c r="AG163" s="168">
        <f t="shared" si="67"/>
        <v>0</v>
      </c>
      <c r="AH163" s="168">
        <f t="shared" si="67"/>
        <v>0</v>
      </c>
      <c r="AI163" s="168">
        <f t="shared" si="67"/>
        <v>0</v>
      </c>
      <c r="AJ163" s="168">
        <f t="shared" si="67"/>
        <v>0</v>
      </c>
      <c r="AK163" s="168">
        <f t="shared" si="67"/>
        <v>0</v>
      </c>
      <c r="AL163" s="168">
        <f t="shared" si="67"/>
        <v>0</v>
      </c>
      <c r="AM163" s="168">
        <f t="shared" si="67"/>
        <v>0</v>
      </c>
      <c r="AN163" s="168">
        <f t="shared" si="67"/>
        <v>0</v>
      </c>
      <c r="AO163" s="168">
        <f t="shared" si="67"/>
        <v>0</v>
      </c>
      <c r="AP163" s="168">
        <f t="shared" si="67"/>
        <v>0</v>
      </c>
    </row>
    <row r="164" spans="1:42" x14ac:dyDescent="0.2">
      <c r="A164" s="125" t="s">
        <v>215</v>
      </c>
      <c r="B164" s="127"/>
      <c r="C164" s="169">
        <f t="shared" ref="C164:AP164" si="68">IF(AND(pbi_oth_tax_sta="Yes",pbi_oth_for_ds="No"),C529,0)</f>
        <v>0</v>
      </c>
      <c r="D164" s="169">
        <f t="shared" si="68"/>
        <v>0</v>
      </c>
      <c r="E164" s="169">
        <f t="shared" si="68"/>
        <v>0</v>
      </c>
      <c r="F164" s="169">
        <f t="shared" si="68"/>
        <v>0</v>
      </c>
      <c r="G164" s="169">
        <f t="shared" si="68"/>
        <v>0</v>
      </c>
      <c r="H164" s="169">
        <f t="shared" si="68"/>
        <v>0</v>
      </c>
      <c r="I164" s="169">
        <f t="shared" si="68"/>
        <v>0</v>
      </c>
      <c r="J164" s="169">
        <f t="shared" si="68"/>
        <v>0</v>
      </c>
      <c r="K164" s="169">
        <f t="shared" si="68"/>
        <v>0</v>
      </c>
      <c r="L164" s="169">
        <f t="shared" si="68"/>
        <v>0</v>
      </c>
      <c r="M164" s="169">
        <f t="shared" si="68"/>
        <v>0</v>
      </c>
      <c r="N164" s="169">
        <f t="shared" si="68"/>
        <v>0</v>
      </c>
      <c r="O164" s="169">
        <f t="shared" si="68"/>
        <v>0</v>
      </c>
      <c r="P164" s="169">
        <f t="shared" si="68"/>
        <v>0</v>
      </c>
      <c r="Q164" s="169">
        <f t="shared" si="68"/>
        <v>0</v>
      </c>
      <c r="R164" s="169">
        <f t="shared" si="68"/>
        <v>0</v>
      </c>
      <c r="S164" s="169">
        <f t="shared" si="68"/>
        <v>0</v>
      </c>
      <c r="T164" s="169">
        <f t="shared" si="68"/>
        <v>0</v>
      </c>
      <c r="U164" s="169">
        <f t="shared" si="68"/>
        <v>0</v>
      </c>
      <c r="V164" s="169">
        <f t="shared" si="68"/>
        <v>0</v>
      </c>
      <c r="W164" s="169">
        <f t="shared" si="68"/>
        <v>0</v>
      </c>
      <c r="X164" s="169">
        <f t="shared" si="68"/>
        <v>0</v>
      </c>
      <c r="Y164" s="169">
        <f t="shared" si="68"/>
        <v>0</v>
      </c>
      <c r="Z164" s="169">
        <f t="shared" si="68"/>
        <v>0</v>
      </c>
      <c r="AA164" s="169">
        <f t="shared" si="68"/>
        <v>0</v>
      </c>
      <c r="AB164" s="169">
        <f t="shared" si="68"/>
        <v>0</v>
      </c>
      <c r="AC164" s="169">
        <f t="shared" si="68"/>
        <v>0</v>
      </c>
      <c r="AD164" s="169">
        <f t="shared" si="68"/>
        <v>0</v>
      </c>
      <c r="AE164" s="169">
        <f t="shared" si="68"/>
        <v>0</v>
      </c>
      <c r="AF164" s="169">
        <f t="shared" si="68"/>
        <v>0</v>
      </c>
      <c r="AG164" s="169">
        <f t="shared" si="68"/>
        <v>0</v>
      </c>
      <c r="AH164" s="169">
        <f t="shared" si="68"/>
        <v>0</v>
      </c>
      <c r="AI164" s="169">
        <f t="shared" si="68"/>
        <v>0</v>
      </c>
      <c r="AJ164" s="169">
        <f t="shared" si="68"/>
        <v>0</v>
      </c>
      <c r="AK164" s="169">
        <f t="shared" si="68"/>
        <v>0</v>
      </c>
      <c r="AL164" s="169">
        <f t="shared" si="68"/>
        <v>0</v>
      </c>
      <c r="AM164" s="169">
        <f t="shared" si="68"/>
        <v>0</v>
      </c>
      <c r="AN164" s="169">
        <f t="shared" si="68"/>
        <v>0</v>
      </c>
      <c r="AO164" s="169">
        <f t="shared" si="68"/>
        <v>0</v>
      </c>
      <c r="AP164" s="169">
        <f t="shared" si="68"/>
        <v>0</v>
      </c>
    </row>
    <row r="165" spans="1:42" x14ac:dyDescent="0.2">
      <c r="A165" s="125" t="s">
        <v>13</v>
      </c>
      <c r="B165" s="127"/>
      <c r="C165" s="199">
        <f>SUM(C161:C164)</f>
        <v>0</v>
      </c>
      <c r="D165" s="199">
        <f t="shared" ref="D165:AL165" si="69">SUM(D161:D164)</f>
        <v>0</v>
      </c>
      <c r="E165" s="199">
        <f t="shared" si="69"/>
        <v>0</v>
      </c>
      <c r="F165" s="199">
        <f t="shared" si="69"/>
        <v>0</v>
      </c>
      <c r="G165" s="199">
        <f t="shared" si="69"/>
        <v>0</v>
      </c>
      <c r="H165" s="199">
        <f t="shared" si="69"/>
        <v>0</v>
      </c>
      <c r="I165" s="199">
        <f t="shared" si="69"/>
        <v>0</v>
      </c>
      <c r="J165" s="199">
        <f t="shared" si="69"/>
        <v>0</v>
      </c>
      <c r="K165" s="199">
        <f t="shared" si="69"/>
        <v>0</v>
      </c>
      <c r="L165" s="199">
        <f t="shared" si="69"/>
        <v>0</v>
      </c>
      <c r="M165" s="199">
        <f t="shared" si="69"/>
        <v>0</v>
      </c>
      <c r="N165" s="199">
        <f t="shared" si="69"/>
        <v>0</v>
      </c>
      <c r="O165" s="199">
        <f t="shared" si="69"/>
        <v>0</v>
      </c>
      <c r="P165" s="199">
        <f t="shared" si="69"/>
        <v>0</v>
      </c>
      <c r="Q165" s="199">
        <f t="shared" si="69"/>
        <v>0</v>
      </c>
      <c r="R165" s="199">
        <f t="shared" si="69"/>
        <v>0</v>
      </c>
      <c r="S165" s="199">
        <f t="shared" si="69"/>
        <v>0</v>
      </c>
      <c r="T165" s="199">
        <f t="shared" si="69"/>
        <v>0</v>
      </c>
      <c r="U165" s="199">
        <f t="shared" si="69"/>
        <v>0</v>
      </c>
      <c r="V165" s="199">
        <f t="shared" si="69"/>
        <v>0</v>
      </c>
      <c r="W165" s="199">
        <f t="shared" si="69"/>
        <v>0</v>
      </c>
      <c r="X165" s="199">
        <f t="shared" si="69"/>
        <v>0</v>
      </c>
      <c r="Y165" s="199">
        <f t="shared" si="69"/>
        <v>0</v>
      </c>
      <c r="Z165" s="199">
        <f t="shared" si="69"/>
        <v>0</v>
      </c>
      <c r="AA165" s="199">
        <f t="shared" si="69"/>
        <v>0</v>
      </c>
      <c r="AB165" s="199">
        <f t="shared" si="69"/>
        <v>0</v>
      </c>
      <c r="AC165" s="199">
        <f t="shared" si="69"/>
        <v>0</v>
      </c>
      <c r="AD165" s="199">
        <f t="shared" si="69"/>
        <v>0</v>
      </c>
      <c r="AE165" s="199">
        <f t="shared" si="69"/>
        <v>0</v>
      </c>
      <c r="AF165" s="199">
        <f t="shared" si="69"/>
        <v>0</v>
      </c>
      <c r="AG165" s="199">
        <f t="shared" si="69"/>
        <v>0</v>
      </c>
      <c r="AH165" s="199">
        <f t="shared" si="69"/>
        <v>0</v>
      </c>
      <c r="AI165" s="199">
        <f t="shared" si="69"/>
        <v>0</v>
      </c>
      <c r="AJ165" s="199">
        <f t="shared" si="69"/>
        <v>0</v>
      </c>
      <c r="AK165" s="199">
        <f t="shared" si="69"/>
        <v>0</v>
      </c>
      <c r="AL165" s="199">
        <f t="shared" si="69"/>
        <v>0</v>
      </c>
      <c r="AM165" s="199">
        <f>SUM(AM161:AM164)</f>
        <v>0</v>
      </c>
      <c r="AN165" s="199">
        <f t="shared" ref="AN165:AP165" si="70">SUM(AN161:AN164)</f>
        <v>0</v>
      </c>
      <c r="AO165" s="199">
        <f t="shared" si="70"/>
        <v>0</v>
      </c>
      <c r="AP165" s="199">
        <f t="shared" si="70"/>
        <v>0</v>
      </c>
    </row>
    <row r="166" spans="1:42" x14ac:dyDescent="0.2">
      <c r="A166" s="123" t="s">
        <v>48</v>
      </c>
      <c r="B166" s="127"/>
      <c r="C166" s="195">
        <f>C147+C153+C159+C165</f>
        <v>1004920.0000000001</v>
      </c>
      <c r="D166" s="195">
        <f>D147+D153+D159+D165</f>
        <v>0</v>
      </c>
      <c r="E166" s="195">
        <f t="shared" ref="E166:AP166" si="71">E147+E153+E159+E165</f>
        <v>0</v>
      </c>
      <c r="F166" s="195">
        <f t="shared" si="71"/>
        <v>0</v>
      </c>
      <c r="G166" s="195">
        <f t="shared" si="71"/>
        <v>0</v>
      </c>
      <c r="H166" s="195">
        <f t="shared" si="71"/>
        <v>0</v>
      </c>
      <c r="I166" s="195">
        <f t="shared" si="71"/>
        <v>0</v>
      </c>
      <c r="J166" s="195">
        <f t="shared" si="71"/>
        <v>0</v>
      </c>
      <c r="K166" s="195">
        <f t="shared" si="71"/>
        <v>0</v>
      </c>
      <c r="L166" s="195">
        <f t="shared" si="71"/>
        <v>0</v>
      </c>
      <c r="M166" s="195">
        <f t="shared" si="71"/>
        <v>0</v>
      </c>
      <c r="N166" s="195">
        <f t="shared" si="71"/>
        <v>0</v>
      </c>
      <c r="O166" s="195">
        <f t="shared" si="71"/>
        <v>0</v>
      </c>
      <c r="P166" s="195">
        <f t="shared" si="71"/>
        <v>0</v>
      </c>
      <c r="Q166" s="195">
        <f t="shared" si="71"/>
        <v>0</v>
      </c>
      <c r="R166" s="195">
        <f t="shared" si="71"/>
        <v>0</v>
      </c>
      <c r="S166" s="195">
        <f t="shared" si="71"/>
        <v>0</v>
      </c>
      <c r="T166" s="195">
        <f t="shared" si="71"/>
        <v>0</v>
      </c>
      <c r="U166" s="195">
        <f t="shared" si="71"/>
        <v>0</v>
      </c>
      <c r="V166" s="195">
        <f t="shared" si="71"/>
        <v>0</v>
      </c>
      <c r="W166" s="195">
        <f t="shared" si="71"/>
        <v>0</v>
      </c>
      <c r="X166" s="195">
        <f t="shared" si="71"/>
        <v>0</v>
      </c>
      <c r="Y166" s="195">
        <f t="shared" si="71"/>
        <v>0</v>
      </c>
      <c r="Z166" s="195">
        <f t="shared" si="71"/>
        <v>0</v>
      </c>
      <c r="AA166" s="195">
        <f t="shared" si="71"/>
        <v>0</v>
      </c>
      <c r="AB166" s="195">
        <f t="shared" si="71"/>
        <v>0</v>
      </c>
      <c r="AC166" s="195">
        <f t="shared" si="71"/>
        <v>0</v>
      </c>
      <c r="AD166" s="195">
        <f t="shared" si="71"/>
        <v>0</v>
      </c>
      <c r="AE166" s="195">
        <f t="shared" si="71"/>
        <v>0</v>
      </c>
      <c r="AF166" s="195">
        <f t="shared" si="71"/>
        <v>0</v>
      </c>
      <c r="AG166" s="195">
        <f t="shared" si="71"/>
        <v>0</v>
      </c>
      <c r="AH166" s="195">
        <f t="shared" si="71"/>
        <v>0</v>
      </c>
      <c r="AI166" s="195">
        <f t="shared" si="71"/>
        <v>0</v>
      </c>
      <c r="AJ166" s="195">
        <f t="shared" si="71"/>
        <v>0</v>
      </c>
      <c r="AK166" s="195">
        <f t="shared" si="71"/>
        <v>0</v>
      </c>
      <c r="AL166" s="195">
        <f t="shared" si="71"/>
        <v>0</v>
      </c>
      <c r="AM166" s="195">
        <f t="shared" si="71"/>
        <v>0</v>
      </c>
      <c r="AN166" s="195">
        <f t="shared" si="71"/>
        <v>0</v>
      </c>
      <c r="AO166" s="195">
        <f t="shared" si="71"/>
        <v>0</v>
      </c>
      <c r="AP166" s="195">
        <f t="shared" si="71"/>
        <v>0</v>
      </c>
    </row>
    <row r="167" spans="1:42" s="127" customFormat="1" x14ac:dyDescent="0.2">
      <c r="A167" s="125"/>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row>
    <row r="168" spans="1:42" x14ac:dyDescent="0.2">
      <c r="A168" s="123" t="s">
        <v>217</v>
      </c>
      <c r="B168" s="127"/>
      <c r="C168" s="220">
        <f>C140+C166</f>
        <v>-3430710.7698756708</v>
      </c>
      <c r="D168" s="220">
        <f t="shared" ref="D168:AP168" si="72">D140+D166</f>
        <v>-8142351.6194056096</v>
      </c>
      <c r="E168" s="220">
        <f t="shared" si="72"/>
        <v>-4157050.4749024501</v>
      </c>
      <c r="F168" s="220">
        <f t="shared" si="72"/>
        <v>-1737030.4039115466</v>
      </c>
      <c r="G168" s="220">
        <f t="shared" si="72"/>
        <v>-1665761.066467908</v>
      </c>
      <c r="H168" s="220">
        <f t="shared" si="72"/>
        <v>172043.20707949228</v>
      </c>
      <c r="I168" s="220">
        <f t="shared" si="72"/>
        <v>2011246.4891672283</v>
      </c>
      <c r="J168" s="220">
        <f t="shared" si="72"/>
        <v>2088797.5321851335</v>
      </c>
      <c r="K168" s="220">
        <f t="shared" si="72"/>
        <v>2170452.5366581059</v>
      </c>
      <c r="L168" s="220">
        <f t="shared" si="72"/>
        <v>2256696.9140086118</v>
      </c>
      <c r="M168" s="220">
        <f t="shared" si="72"/>
        <v>2347623.323804718</v>
      </c>
      <c r="N168" s="220">
        <f t="shared" si="72"/>
        <v>1131936.0676319399</v>
      </c>
      <c r="O168" s="220">
        <f t="shared" si="72"/>
        <v>331431.22717876732</v>
      </c>
      <c r="P168" s="220">
        <f t="shared" si="72"/>
        <v>1282108.751017455</v>
      </c>
      <c r="Q168" s="220">
        <f t="shared" si="72"/>
        <v>1902994.8987406048</v>
      </c>
      <c r="R168" s="220">
        <f t="shared" si="72"/>
        <v>2078106.5673832847</v>
      </c>
      <c r="S168" s="220">
        <f t="shared" si="72"/>
        <v>2638241.6854480151</v>
      </c>
      <c r="T168" s="220">
        <f t="shared" si="72"/>
        <v>3155154.5830568997</v>
      </c>
      <c r="U168" s="220">
        <f t="shared" si="72"/>
        <v>3284759.5421618395</v>
      </c>
      <c r="V168" s="220">
        <f t="shared" si="72"/>
        <v>3298604.6717521767</v>
      </c>
      <c r="W168" s="220">
        <f t="shared" si="72"/>
        <v>3342091.2520882734</v>
      </c>
      <c r="X168" s="220">
        <f t="shared" si="72"/>
        <v>3385188.3208294832</v>
      </c>
      <c r="Y168" s="220">
        <f t="shared" si="72"/>
        <v>3397878.6195915043</v>
      </c>
      <c r="Z168" s="220">
        <f t="shared" si="72"/>
        <v>1645683.3140691502</v>
      </c>
      <c r="AA168" s="220">
        <f t="shared" si="72"/>
        <v>444469.88868224481</v>
      </c>
      <c r="AB168" s="220">
        <f t="shared" si="72"/>
        <v>0</v>
      </c>
      <c r="AC168" s="220">
        <f t="shared" si="72"/>
        <v>0</v>
      </c>
      <c r="AD168" s="220">
        <f t="shared" si="72"/>
        <v>0</v>
      </c>
      <c r="AE168" s="220">
        <f t="shared" si="72"/>
        <v>0</v>
      </c>
      <c r="AF168" s="220">
        <f t="shared" si="72"/>
        <v>0</v>
      </c>
      <c r="AG168" s="220">
        <f t="shared" si="72"/>
        <v>0</v>
      </c>
      <c r="AH168" s="220">
        <f t="shared" si="72"/>
        <v>0</v>
      </c>
      <c r="AI168" s="220">
        <f t="shared" si="72"/>
        <v>0</v>
      </c>
      <c r="AJ168" s="220">
        <f t="shared" si="72"/>
        <v>0</v>
      </c>
      <c r="AK168" s="220">
        <f t="shared" si="72"/>
        <v>0</v>
      </c>
      <c r="AL168" s="220">
        <f t="shared" si="72"/>
        <v>0</v>
      </c>
      <c r="AM168" s="220">
        <f t="shared" si="72"/>
        <v>0</v>
      </c>
      <c r="AN168" s="220">
        <f t="shared" si="72"/>
        <v>0</v>
      </c>
      <c r="AO168" s="220">
        <f t="shared" si="72"/>
        <v>0</v>
      </c>
      <c r="AP168" s="220">
        <f t="shared" si="72"/>
        <v>0</v>
      </c>
    </row>
    <row r="169" spans="1:42" x14ac:dyDescent="0.2">
      <c r="A169" s="31" t="s">
        <v>47</v>
      </c>
      <c r="B169" s="127"/>
      <c r="C169" s="223">
        <f t="shared" ref="C169:AP169" si="73">C168*-state_tax_rate/100</f>
        <v>240149.75389129695</v>
      </c>
      <c r="D169" s="223">
        <f t="shared" si="73"/>
        <v>569964.61335839261</v>
      </c>
      <c r="E169" s="223">
        <f t="shared" si="73"/>
        <v>290993.53324317152</v>
      </c>
      <c r="F169" s="223">
        <f t="shared" si="73"/>
        <v>121592.12827380827</v>
      </c>
      <c r="G169" s="223">
        <f t="shared" si="73"/>
        <v>116603.27465275356</v>
      </c>
      <c r="H169" s="223">
        <f t="shared" si="73"/>
        <v>-12043.024495564459</v>
      </c>
      <c r="I169" s="223">
        <f t="shared" si="73"/>
        <v>-140787.25424170599</v>
      </c>
      <c r="J169" s="223">
        <f t="shared" si="73"/>
        <v>-146215.82725295934</v>
      </c>
      <c r="K169" s="223">
        <f t="shared" si="73"/>
        <v>-151931.6775660674</v>
      </c>
      <c r="L169" s="223">
        <f t="shared" si="73"/>
        <v>-157968.78398060284</v>
      </c>
      <c r="M169" s="223">
        <f t="shared" si="73"/>
        <v>-164333.63266633026</v>
      </c>
      <c r="N169" s="223">
        <f t="shared" si="73"/>
        <v>-79235.524734235791</v>
      </c>
      <c r="O169" s="223">
        <f t="shared" si="73"/>
        <v>-23200.185902513713</v>
      </c>
      <c r="P169" s="223">
        <f t="shared" si="73"/>
        <v>-89747.612571221849</v>
      </c>
      <c r="Q169" s="223">
        <f t="shared" si="73"/>
        <v>-133209.64291184233</v>
      </c>
      <c r="R169" s="223">
        <f t="shared" si="73"/>
        <v>-145467.45971682991</v>
      </c>
      <c r="S169" s="223">
        <f t="shared" si="73"/>
        <v>-184676.91798136107</v>
      </c>
      <c r="T169" s="223">
        <f t="shared" si="73"/>
        <v>-220860.82081398298</v>
      </c>
      <c r="U169" s="223">
        <f t="shared" si="73"/>
        <v>-229933.16795132877</v>
      </c>
      <c r="V169" s="223">
        <f t="shared" si="73"/>
        <v>-230902.32702265237</v>
      </c>
      <c r="W169" s="223">
        <f t="shared" si="73"/>
        <v>-233946.38764617912</v>
      </c>
      <c r="X169" s="223">
        <f t="shared" si="73"/>
        <v>-236963.18245806382</v>
      </c>
      <c r="Y169" s="223">
        <f t="shared" si="73"/>
        <v>-237851.5033714053</v>
      </c>
      <c r="Z169" s="223">
        <f t="shared" si="73"/>
        <v>-115197.83198484052</v>
      </c>
      <c r="AA169" s="223">
        <f t="shared" si="73"/>
        <v>-31112.892207757137</v>
      </c>
      <c r="AB169" s="223">
        <f t="shared" si="73"/>
        <v>0</v>
      </c>
      <c r="AC169" s="223">
        <f t="shared" si="73"/>
        <v>0</v>
      </c>
      <c r="AD169" s="223">
        <f t="shared" si="73"/>
        <v>0</v>
      </c>
      <c r="AE169" s="223">
        <f t="shared" si="73"/>
        <v>0</v>
      </c>
      <c r="AF169" s="223">
        <f t="shared" si="73"/>
        <v>0</v>
      </c>
      <c r="AG169" s="223">
        <f t="shared" si="73"/>
        <v>0</v>
      </c>
      <c r="AH169" s="223">
        <f t="shared" si="73"/>
        <v>0</v>
      </c>
      <c r="AI169" s="223">
        <f t="shared" si="73"/>
        <v>0</v>
      </c>
      <c r="AJ169" s="223">
        <f t="shared" si="73"/>
        <v>0</v>
      </c>
      <c r="AK169" s="223">
        <f t="shared" si="73"/>
        <v>0</v>
      </c>
      <c r="AL169" s="223">
        <f t="shared" si="73"/>
        <v>0</v>
      </c>
      <c r="AM169" s="223">
        <f t="shared" si="73"/>
        <v>0</v>
      </c>
      <c r="AN169" s="223">
        <f t="shared" si="73"/>
        <v>0</v>
      </c>
      <c r="AO169" s="223">
        <f t="shared" si="73"/>
        <v>0</v>
      </c>
      <c r="AP169" s="223">
        <f t="shared" si="73"/>
        <v>0</v>
      </c>
    </row>
    <row r="170" spans="1:42" s="211" customFormat="1" x14ac:dyDescent="0.2">
      <c r="A170" s="9"/>
    </row>
    <row r="171" spans="1:42" s="211" customFormat="1" x14ac:dyDescent="0.2">
      <c r="A171" s="30" t="s">
        <v>40</v>
      </c>
    </row>
    <row r="172" spans="1:42" s="17" customFormat="1" x14ac:dyDescent="0.2">
      <c r="A172" s="123" t="s">
        <v>37</v>
      </c>
      <c r="B172" s="211"/>
      <c r="C172" s="218">
        <f>C$43</f>
        <v>3192909.12</v>
      </c>
      <c r="D172" s="218">
        <f t="shared" ref="D172:AP172" si="74">D$43</f>
        <v>3198889.8480000002</v>
      </c>
      <c r="E172" s="218">
        <f t="shared" si="74"/>
        <v>3204652.1941999998</v>
      </c>
      <c r="F172" s="218">
        <f t="shared" si="74"/>
        <v>3210186.499055</v>
      </c>
      <c r="G172" s="218">
        <f t="shared" si="74"/>
        <v>3215488.9115313748</v>
      </c>
      <c r="H172" s="218">
        <f t="shared" si="74"/>
        <v>3220561.3843196593</v>
      </c>
      <c r="I172" s="218">
        <f t="shared" si="74"/>
        <v>3225381.6689276509</v>
      </c>
      <c r="J172" s="218">
        <f t="shared" si="74"/>
        <v>3229953.3106508423</v>
      </c>
      <c r="K172" s="218">
        <f t="shared" si="74"/>
        <v>3234255.6434171135</v>
      </c>
      <c r="L172" s="218">
        <f t="shared" si="74"/>
        <v>3238283.7845025416</v>
      </c>
      <c r="M172" s="218">
        <f t="shared" si="74"/>
        <v>3242038.6291151047</v>
      </c>
      <c r="N172" s="218">
        <f t="shared" si="74"/>
        <v>3245510.8448429825</v>
      </c>
      <c r="O172" s="218">
        <f t="shared" si="74"/>
        <v>3248680.8659640569</v>
      </c>
      <c r="P172" s="218">
        <f t="shared" si="74"/>
        <v>3251540.8876131587</v>
      </c>
      <c r="Q172" s="218">
        <f t="shared" si="74"/>
        <v>3254084.8598034875</v>
      </c>
      <c r="R172" s="218">
        <f t="shared" si="74"/>
        <v>3256308.4812985747</v>
      </c>
      <c r="S172" s="218">
        <f t="shared" si="74"/>
        <v>3258189.193331039</v>
      </c>
      <c r="T172" s="218">
        <f t="shared" si="74"/>
        <v>3259728.1731643155</v>
      </c>
      <c r="U172" s="218">
        <f t="shared" si="74"/>
        <v>3260908.3274934231</v>
      </c>
      <c r="V172" s="218">
        <f t="shared" si="74"/>
        <v>3261720.2856807588</v>
      </c>
      <c r="W172" s="218">
        <f t="shared" si="74"/>
        <v>3262152.3928227779</v>
      </c>
      <c r="X172" s="218">
        <f t="shared" si="74"/>
        <v>3262190.702643347</v>
      </c>
      <c r="Y172" s="218">
        <f t="shared" si="74"/>
        <v>3261834.9702094309</v>
      </c>
      <c r="Z172" s="218">
        <f t="shared" si="74"/>
        <v>3261058.644464667</v>
      </c>
      <c r="AA172" s="218">
        <f t="shared" si="74"/>
        <v>3259862.8605762832</v>
      </c>
      <c r="AB172" s="218">
        <f t="shared" si="74"/>
        <v>0</v>
      </c>
      <c r="AC172" s="218">
        <f t="shared" si="74"/>
        <v>0</v>
      </c>
      <c r="AD172" s="218">
        <f t="shared" si="74"/>
        <v>0</v>
      </c>
      <c r="AE172" s="218">
        <f t="shared" si="74"/>
        <v>0</v>
      </c>
      <c r="AF172" s="218">
        <f t="shared" si="74"/>
        <v>0</v>
      </c>
      <c r="AG172" s="218">
        <f t="shared" si="74"/>
        <v>0</v>
      </c>
      <c r="AH172" s="218">
        <f t="shared" si="74"/>
        <v>0</v>
      </c>
      <c r="AI172" s="218">
        <f t="shared" si="74"/>
        <v>0</v>
      </c>
      <c r="AJ172" s="218">
        <f t="shared" si="74"/>
        <v>0</v>
      </c>
      <c r="AK172" s="218">
        <f t="shared" si="74"/>
        <v>0</v>
      </c>
      <c r="AL172" s="218">
        <f t="shared" si="74"/>
        <v>0</v>
      </c>
      <c r="AM172" s="218">
        <f t="shared" si="74"/>
        <v>0</v>
      </c>
      <c r="AN172" s="218">
        <f t="shared" si="74"/>
        <v>0</v>
      </c>
      <c r="AO172" s="218">
        <f t="shared" si="74"/>
        <v>0</v>
      </c>
      <c r="AP172" s="218">
        <f t="shared" si="74"/>
        <v>0</v>
      </c>
    </row>
    <row r="173" spans="1:42" s="17" customFormat="1" x14ac:dyDescent="0.2">
      <c r="A173" s="123" t="s">
        <v>46</v>
      </c>
      <c r="B173" s="211"/>
      <c r="C173" s="218">
        <f t="shared" ref="C173:AP173" si="75">C668</f>
        <v>22106.576436696556</v>
      </c>
      <c r="D173" s="218">
        <f t="shared" si="75"/>
        <v>31780.343229280399</v>
      </c>
      <c r="E173" s="218">
        <f t="shared" si="75"/>
        <v>41456.790862614245</v>
      </c>
      <c r="F173" s="218">
        <f t="shared" si="75"/>
        <v>51135.986357716843</v>
      </c>
      <c r="G173" s="218">
        <f t="shared" si="75"/>
        <v>60817.998411132416</v>
      </c>
      <c r="H173" s="218">
        <f t="shared" si="75"/>
        <v>70502.897436818763</v>
      </c>
      <c r="I173" s="218">
        <f t="shared" si="75"/>
        <v>80190.755609082698</v>
      </c>
      <c r="J173" s="218">
        <f t="shared" si="75"/>
        <v>89881.646906588605</v>
      </c>
      <c r="K173" s="218">
        <f t="shared" si="75"/>
        <v>99575.647157467582</v>
      </c>
      <c r="L173" s="218">
        <f t="shared" si="75"/>
        <v>109272.83408555393</v>
      </c>
      <c r="M173" s="218">
        <f t="shared" si="75"/>
        <v>118973.28735777784</v>
      </c>
      <c r="N173" s="218">
        <f t="shared" si="75"/>
        <v>128677.08863274276</v>
      </c>
      <c r="O173" s="218">
        <f t="shared" si="75"/>
        <v>23585.92365951106</v>
      </c>
      <c r="P173" s="218">
        <f t="shared" si="75"/>
        <v>36596.064507222029</v>
      </c>
      <c r="Q173" s="218">
        <f t="shared" si="75"/>
        <v>49609.81078769725</v>
      </c>
      <c r="R173" s="218">
        <f t="shared" si="75"/>
        <v>62627.252636755846</v>
      </c>
      <c r="S173" s="218">
        <f t="shared" si="75"/>
        <v>75648.482443612389</v>
      </c>
      <c r="T173" s="218">
        <f t="shared" si="75"/>
        <v>88673.594907211824</v>
      </c>
      <c r="U173" s="218">
        <f t="shared" si="75"/>
        <v>83885.455857276174</v>
      </c>
      <c r="V173" s="218">
        <f t="shared" si="75"/>
        <v>96918.627260277601</v>
      </c>
      <c r="W173" s="218">
        <f t="shared" si="75"/>
        <v>109955.97985992553</v>
      </c>
      <c r="X173" s="218">
        <f t="shared" si="75"/>
        <v>122997.61818613615</v>
      </c>
      <c r="Y173" s="218">
        <f t="shared" si="75"/>
        <v>136043.64938207352</v>
      </c>
      <c r="Z173" s="218">
        <f t="shared" si="75"/>
        <v>149094.1832694808</v>
      </c>
      <c r="AA173" s="218">
        <f t="shared" si="75"/>
        <v>7758.2499699575201</v>
      </c>
      <c r="AB173" s="218">
        <f t="shared" si="75"/>
        <v>0</v>
      </c>
      <c r="AC173" s="218">
        <f t="shared" si="75"/>
        <v>0</v>
      </c>
      <c r="AD173" s="218">
        <f t="shared" si="75"/>
        <v>0</v>
      </c>
      <c r="AE173" s="218">
        <f t="shared" si="75"/>
        <v>0</v>
      </c>
      <c r="AF173" s="218">
        <f t="shared" si="75"/>
        <v>0</v>
      </c>
      <c r="AG173" s="218">
        <f t="shared" si="75"/>
        <v>0</v>
      </c>
      <c r="AH173" s="218">
        <f t="shared" si="75"/>
        <v>0</v>
      </c>
      <c r="AI173" s="218">
        <f t="shared" si="75"/>
        <v>0</v>
      </c>
      <c r="AJ173" s="218">
        <f t="shared" si="75"/>
        <v>0</v>
      </c>
      <c r="AK173" s="218">
        <f t="shared" si="75"/>
        <v>0</v>
      </c>
      <c r="AL173" s="218">
        <f t="shared" si="75"/>
        <v>0</v>
      </c>
      <c r="AM173" s="218">
        <f t="shared" si="75"/>
        <v>0</v>
      </c>
      <c r="AN173" s="218">
        <f t="shared" si="75"/>
        <v>0</v>
      </c>
      <c r="AO173" s="218">
        <f t="shared" si="75"/>
        <v>0</v>
      </c>
      <c r="AP173" s="218">
        <f t="shared" si="75"/>
        <v>0</v>
      </c>
    </row>
    <row r="174" spans="1:42" s="17" customFormat="1" x14ac:dyDescent="0.2">
      <c r="A174" s="123" t="s">
        <v>38</v>
      </c>
      <c r="B174" s="211"/>
      <c r="C174" s="218">
        <f t="shared" ref="C174:AP174" si="76">-C536</f>
        <v>-1433800.62</v>
      </c>
      <c r="D174" s="218">
        <f t="shared" si="76"/>
        <v>-1391628.8135064275</v>
      </c>
      <c r="E174" s="218">
        <f t="shared" si="76"/>
        <v>-1346504.9805583048</v>
      </c>
      <c r="F174" s="218">
        <f t="shared" si="76"/>
        <v>-1298222.4793038138</v>
      </c>
      <c r="G174" s="218">
        <f t="shared" si="76"/>
        <v>-1246560.202961508</v>
      </c>
      <c r="H174" s="218">
        <f t="shared" si="76"/>
        <v>-1191281.567275241</v>
      </c>
      <c r="I174" s="218">
        <f t="shared" si="76"/>
        <v>-1132133.4270909356</v>
      </c>
      <c r="J174" s="218">
        <f t="shared" si="76"/>
        <v>-1068844.9170937284</v>
      </c>
      <c r="K174" s="218">
        <f t="shared" si="76"/>
        <v>-1001126.211396717</v>
      </c>
      <c r="L174" s="218">
        <f t="shared" si="76"/>
        <v>-928667.19630091474</v>
      </c>
      <c r="M174" s="218">
        <f t="shared" si="76"/>
        <v>-851136.0501484063</v>
      </c>
      <c r="N174" s="218">
        <f t="shared" si="76"/>
        <v>-768177.72376522224</v>
      </c>
      <c r="O174" s="218">
        <f t="shared" si="76"/>
        <v>-679412.31453521538</v>
      </c>
      <c r="P174" s="218">
        <f t="shared" si="76"/>
        <v>-584433.32665910805</v>
      </c>
      <c r="Q174" s="218">
        <f t="shared" si="76"/>
        <v>-482805.8096316731</v>
      </c>
      <c r="R174" s="218">
        <f t="shared" si="76"/>
        <v>-374064.36641231773</v>
      </c>
      <c r="S174" s="218">
        <f t="shared" si="76"/>
        <v>-257711.02216760756</v>
      </c>
      <c r="T174" s="218">
        <f t="shared" si="76"/>
        <v>-133212.94382576764</v>
      </c>
      <c r="U174" s="218">
        <f t="shared" si="76"/>
        <v>0</v>
      </c>
      <c r="V174" s="218">
        <f t="shared" si="76"/>
        <v>0</v>
      </c>
      <c r="W174" s="218">
        <f t="shared" si="76"/>
        <v>0</v>
      </c>
      <c r="X174" s="218">
        <f t="shared" si="76"/>
        <v>0</v>
      </c>
      <c r="Y174" s="218">
        <f t="shared" si="76"/>
        <v>0</v>
      </c>
      <c r="Z174" s="218">
        <f t="shared" si="76"/>
        <v>0</v>
      </c>
      <c r="AA174" s="218">
        <f t="shared" si="76"/>
        <v>0</v>
      </c>
      <c r="AB174" s="218">
        <f t="shared" si="76"/>
        <v>0</v>
      </c>
      <c r="AC174" s="218">
        <f t="shared" si="76"/>
        <v>0</v>
      </c>
      <c r="AD174" s="218">
        <f t="shared" si="76"/>
        <v>0</v>
      </c>
      <c r="AE174" s="218">
        <f t="shared" si="76"/>
        <v>0</v>
      </c>
      <c r="AF174" s="218">
        <f t="shared" si="76"/>
        <v>0</v>
      </c>
      <c r="AG174" s="218">
        <f t="shared" si="76"/>
        <v>0</v>
      </c>
      <c r="AH174" s="218">
        <f t="shared" si="76"/>
        <v>0</v>
      </c>
      <c r="AI174" s="218">
        <f t="shared" si="76"/>
        <v>0</v>
      </c>
      <c r="AJ174" s="218">
        <f t="shared" si="76"/>
        <v>0</v>
      </c>
      <c r="AK174" s="218">
        <f t="shared" si="76"/>
        <v>0</v>
      </c>
      <c r="AL174" s="218">
        <f t="shared" si="76"/>
        <v>0</v>
      </c>
      <c r="AM174" s="218">
        <f t="shared" si="76"/>
        <v>0</v>
      </c>
      <c r="AN174" s="218">
        <f t="shared" si="76"/>
        <v>0</v>
      </c>
      <c r="AO174" s="218">
        <f t="shared" si="76"/>
        <v>0</v>
      </c>
      <c r="AP174" s="218">
        <f t="shared" si="76"/>
        <v>0</v>
      </c>
    </row>
    <row r="175" spans="1:42" s="9" customFormat="1" x14ac:dyDescent="0.2">
      <c r="A175" s="123" t="s">
        <v>41</v>
      </c>
      <c r="B175" s="211"/>
      <c r="C175" s="221">
        <f t="shared" ref="C175:AP175" si="77">IF(C$2&lt;=analysis_period,-C393-C424-C450-C476,0)</f>
        <v>-6216845.8463123674</v>
      </c>
      <c r="D175" s="221">
        <f t="shared" si="77"/>
        <v>-9981392.9971284624</v>
      </c>
      <c r="E175" s="221">
        <f t="shared" si="77"/>
        <v>-6056654.4794067591</v>
      </c>
      <c r="F175" s="221">
        <f t="shared" si="77"/>
        <v>-3700130.4100204497</v>
      </c>
      <c r="G175" s="221">
        <f t="shared" si="77"/>
        <v>-3695507.7734489073</v>
      </c>
      <c r="H175" s="221">
        <f t="shared" si="77"/>
        <v>-1927739.5074017446</v>
      </c>
      <c r="I175" s="221">
        <f t="shared" si="77"/>
        <v>-162192.50827856932</v>
      </c>
      <c r="J175" s="221">
        <f t="shared" si="77"/>
        <v>-162192.50827856932</v>
      </c>
      <c r="K175" s="221">
        <f t="shared" si="77"/>
        <v>-162252.54251975816</v>
      </c>
      <c r="L175" s="221">
        <f t="shared" si="77"/>
        <v>-162192.50827856932</v>
      </c>
      <c r="M175" s="221">
        <f t="shared" si="77"/>
        <v>-162252.54251975816</v>
      </c>
      <c r="N175" s="221">
        <f t="shared" si="77"/>
        <v>-1474074.1420785629</v>
      </c>
      <c r="O175" s="221">
        <f t="shared" si="77"/>
        <v>-2261423.247909585</v>
      </c>
      <c r="P175" s="221">
        <f t="shared" si="77"/>
        <v>-1421594.8744438172</v>
      </c>
      <c r="Q175" s="221">
        <f t="shared" si="77"/>
        <v>-917893.96221890696</v>
      </c>
      <c r="R175" s="221">
        <f t="shared" si="77"/>
        <v>-866764.80013972812</v>
      </c>
      <c r="S175" s="221">
        <f t="shared" si="77"/>
        <v>-437884.96815902856</v>
      </c>
      <c r="T175" s="221">
        <f t="shared" si="77"/>
        <v>-60034.241188859713</v>
      </c>
      <c r="U175" s="221">
        <f t="shared" si="77"/>
        <v>-60034.241188859713</v>
      </c>
      <c r="V175" s="221">
        <f t="shared" si="77"/>
        <v>-60034.241188859713</v>
      </c>
      <c r="W175" s="221">
        <f t="shared" si="77"/>
        <v>-30017.120594429856</v>
      </c>
      <c r="X175" s="221">
        <f t="shared" si="77"/>
        <v>0</v>
      </c>
      <c r="Y175" s="221">
        <f t="shared" si="77"/>
        <v>0</v>
      </c>
      <c r="Z175" s="221">
        <f t="shared" si="77"/>
        <v>-1764469.5136649972</v>
      </c>
      <c r="AA175" s="221">
        <f t="shared" si="77"/>
        <v>-2823151.2218639958</v>
      </c>
      <c r="AB175" s="221">
        <f t="shared" si="77"/>
        <v>0</v>
      </c>
      <c r="AC175" s="221">
        <f t="shared" si="77"/>
        <v>0</v>
      </c>
      <c r="AD175" s="221">
        <f t="shared" si="77"/>
        <v>0</v>
      </c>
      <c r="AE175" s="221">
        <f t="shared" si="77"/>
        <v>0</v>
      </c>
      <c r="AF175" s="221">
        <f t="shared" si="77"/>
        <v>0</v>
      </c>
      <c r="AG175" s="221">
        <f t="shared" si="77"/>
        <v>0</v>
      </c>
      <c r="AH175" s="221">
        <f t="shared" si="77"/>
        <v>0</v>
      </c>
      <c r="AI175" s="221">
        <f t="shared" si="77"/>
        <v>0</v>
      </c>
      <c r="AJ175" s="221">
        <f t="shared" si="77"/>
        <v>0</v>
      </c>
      <c r="AK175" s="221">
        <f t="shared" si="77"/>
        <v>0</v>
      </c>
      <c r="AL175" s="221">
        <f t="shared" si="77"/>
        <v>0</v>
      </c>
      <c r="AM175" s="221">
        <f t="shared" si="77"/>
        <v>0</v>
      </c>
      <c r="AN175" s="221">
        <f t="shared" si="77"/>
        <v>0</v>
      </c>
      <c r="AO175" s="221">
        <f t="shared" si="77"/>
        <v>0</v>
      </c>
      <c r="AP175" s="221">
        <f t="shared" si="77"/>
        <v>0</v>
      </c>
    </row>
    <row r="176" spans="1:42" s="17" customFormat="1" x14ac:dyDescent="0.2">
      <c r="A176" s="123" t="s">
        <v>47</v>
      </c>
      <c r="B176" s="211"/>
      <c r="C176" s="221">
        <f>C169</f>
        <v>240149.75389129695</v>
      </c>
      <c r="D176" s="221">
        <f t="shared" ref="D176:AP176" si="78">D169</f>
        <v>569964.61335839261</v>
      </c>
      <c r="E176" s="221">
        <f t="shared" si="78"/>
        <v>290993.53324317152</v>
      </c>
      <c r="F176" s="221">
        <f t="shared" si="78"/>
        <v>121592.12827380827</v>
      </c>
      <c r="G176" s="221">
        <f t="shared" si="78"/>
        <v>116603.27465275356</v>
      </c>
      <c r="H176" s="221">
        <f t="shared" si="78"/>
        <v>-12043.024495564459</v>
      </c>
      <c r="I176" s="221">
        <f t="shared" si="78"/>
        <v>-140787.25424170599</v>
      </c>
      <c r="J176" s="221">
        <f t="shared" si="78"/>
        <v>-146215.82725295934</v>
      </c>
      <c r="K176" s="221">
        <f t="shared" si="78"/>
        <v>-151931.6775660674</v>
      </c>
      <c r="L176" s="221">
        <f t="shared" si="78"/>
        <v>-157968.78398060284</v>
      </c>
      <c r="M176" s="221">
        <f t="shared" si="78"/>
        <v>-164333.63266633026</v>
      </c>
      <c r="N176" s="221">
        <f t="shared" si="78"/>
        <v>-79235.524734235791</v>
      </c>
      <c r="O176" s="221">
        <f t="shared" si="78"/>
        <v>-23200.185902513713</v>
      </c>
      <c r="P176" s="221">
        <f t="shared" si="78"/>
        <v>-89747.612571221849</v>
      </c>
      <c r="Q176" s="221">
        <f t="shared" si="78"/>
        <v>-133209.64291184233</v>
      </c>
      <c r="R176" s="221">
        <f t="shared" si="78"/>
        <v>-145467.45971682991</v>
      </c>
      <c r="S176" s="221">
        <f t="shared" si="78"/>
        <v>-184676.91798136107</v>
      </c>
      <c r="T176" s="221">
        <f t="shared" si="78"/>
        <v>-220860.82081398298</v>
      </c>
      <c r="U176" s="221">
        <f t="shared" si="78"/>
        <v>-229933.16795132877</v>
      </c>
      <c r="V176" s="221">
        <f t="shared" si="78"/>
        <v>-230902.32702265237</v>
      </c>
      <c r="W176" s="221">
        <f t="shared" si="78"/>
        <v>-233946.38764617912</v>
      </c>
      <c r="X176" s="221">
        <f t="shared" si="78"/>
        <v>-236963.18245806382</v>
      </c>
      <c r="Y176" s="221">
        <f t="shared" si="78"/>
        <v>-237851.5033714053</v>
      </c>
      <c r="Z176" s="221">
        <f t="shared" si="78"/>
        <v>-115197.83198484052</v>
      </c>
      <c r="AA176" s="221">
        <f t="shared" si="78"/>
        <v>-31112.892207757137</v>
      </c>
      <c r="AB176" s="221">
        <f t="shared" si="78"/>
        <v>0</v>
      </c>
      <c r="AC176" s="221">
        <f t="shared" si="78"/>
        <v>0</v>
      </c>
      <c r="AD176" s="221">
        <f t="shared" si="78"/>
        <v>0</v>
      </c>
      <c r="AE176" s="221">
        <f t="shared" si="78"/>
        <v>0</v>
      </c>
      <c r="AF176" s="221">
        <f t="shared" si="78"/>
        <v>0</v>
      </c>
      <c r="AG176" s="221">
        <f t="shared" si="78"/>
        <v>0</v>
      </c>
      <c r="AH176" s="221">
        <f t="shared" si="78"/>
        <v>0</v>
      </c>
      <c r="AI176" s="221">
        <f t="shared" si="78"/>
        <v>0</v>
      </c>
      <c r="AJ176" s="221">
        <f t="shared" si="78"/>
        <v>0</v>
      </c>
      <c r="AK176" s="221">
        <f t="shared" si="78"/>
        <v>0</v>
      </c>
      <c r="AL176" s="221">
        <f t="shared" si="78"/>
        <v>0</v>
      </c>
      <c r="AM176" s="221">
        <f t="shared" si="78"/>
        <v>0</v>
      </c>
      <c r="AN176" s="221">
        <f t="shared" si="78"/>
        <v>0</v>
      </c>
      <c r="AO176" s="221">
        <f t="shared" si="78"/>
        <v>0</v>
      </c>
      <c r="AP176" s="221">
        <f t="shared" si="78"/>
        <v>0</v>
      </c>
    </row>
    <row r="177" spans="1:42" s="17" customFormat="1" x14ac:dyDescent="0.2">
      <c r="A177" s="123" t="s">
        <v>67</v>
      </c>
      <c r="B177" s="211"/>
      <c r="C177" s="221">
        <f t="shared" ref="C177:AP177" si="79">C100</f>
        <v>0</v>
      </c>
      <c r="D177" s="221">
        <f t="shared" si="79"/>
        <v>0</v>
      </c>
      <c r="E177" s="221">
        <f t="shared" si="79"/>
        <v>0</v>
      </c>
      <c r="F177" s="221">
        <f t="shared" si="79"/>
        <v>0</v>
      </c>
      <c r="G177" s="221">
        <f t="shared" si="79"/>
        <v>0</v>
      </c>
      <c r="H177" s="221">
        <f t="shared" si="79"/>
        <v>0</v>
      </c>
      <c r="I177" s="221">
        <f t="shared" si="79"/>
        <v>0</v>
      </c>
      <c r="J177" s="221">
        <f t="shared" si="79"/>
        <v>0</v>
      </c>
      <c r="K177" s="221">
        <f t="shared" si="79"/>
        <v>0</v>
      </c>
      <c r="L177" s="221">
        <f t="shared" si="79"/>
        <v>0</v>
      </c>
      <c r="M177" s="221">
        <f t="shared" si="79"/>
        <v>0</v>
      </c>
      <c r="N177" s="221">
        <f t="shared" si="79"/>
        <v>0</v>
      </c>
      <c r="O177" s="221">
        <f t="shared" si="79"/>
        <v>0</v>
      </c>
      <c r="P177" s="221">
        <f t="shared" si="79"/>
        <v>0</v>
      </c>
      <c r="Q177" s="221">
        <f t="shared" si="79"/>
        <v>0</v>
      </c>
      <c r="R177" s="221">
        <f t="shared" si="79"/>
        <v>0</v>
      </c>
      <c r="S177" s="221">
        <f t="shared" si="79"/>
        <v>0</v>
      </c>
      <c r="T177" s="221">
        <f t="shared" si="79"/>
        <v>0</v>
      </c>
      <c r="U177" s="221">
        <f t="shared" si="79"/>
        <v>0</v>
      </c>
      <c r="V177" s="221">
        <f t="shared" si="79"/>
        <v>0</v>
      </c>
      <c r="W177" s="221">
        <f t="shared" si="79"/>
        <v>0</v>
      </c>
      <c r="X177" s="221">
        <f t="shared" si="79"/>
        <v>0</v>
      </c>
      <c r="Y177" s="221">
        <f t="shared" si="79"/>
        <v>0</v>
      </c>
      <c r="Z177" s="221">
        <f t="shared" si="79"/>
        <v>0</v>
      </c>
      <c r="AA177" s="221">
        <f t="shared" si="79"/>
        <v>0</v>
      </c>
      <c r="AB177" s="221">
        <f t="shared" si="79"/>
        <v>0</v>
      </c>
      <c r="AC177" s="221">
        <f t="shared" si="79"/>
        <v>0</v>
      </c>
      <c r="AD177" s="221">
        <f t="shared" si="79"/>
        <v>0</v>
      </c>
      <c r="AE177" s="221">
        <f t="shared" si="79"/>
        <v>0</v>
      </c>
      <c r="AF177" s="221">
        <f t="shared" si="79"/>
        <v>0</v>
      </c>
      <c r="AG177" s="221">
        <f t="shared" si="79"/>
        <v>0</v>
      </c>
      <c r="AH177" s="221">
        <f t="shared" si="79"/>
        <v>0</v>
      </c>
      <c r="AI177" s="221">
        <f t="shared" si="79"/>
        <v>0</v>
      </c>
      <c r="AJ177" s="221">
        <f t="shared" si="79"/>
        <v>0</v>
      </c>
      <c r="AK177" s="221">
        <f t="shared" si="79"/>
        <v>0</v>
      </c>
      <c r="AL177" s="221">
        <f t="shared" si="79"/>
        <v>0</v>
      </c>
      <c r="AM177" s="221">
        <f t="shared" si="79"/>
        <v>0</v>
      </c>
      <c r="AN177" s="221">
        <f t="shared" si="79"/>
        <v>0</v>
      </c>
      <c r="AO177" s="221">
        <f t="shared" si="79"/>
        <v>0</v>
      </c>
      <c r="AP177" s="221">
        <f t="shared" si="79"/>
        <v>0</v>
      </c>
    </row>
    <row r="178" spans="1:42" s="17" customFormat="1" x14ac:dyDescent="0.2">
      <c r="A178" s="123" t="s">
        <v>124</v>
      </c>
      <c r="B178" s="211"/>
      <c r="C178" s="219">
        <f t="shared" ref="C178:AP178" si="80">C104</f>
        <v>0</v>
      </c>
      <c r="D178" s="219">
        <f t="shared" si="80"/>
        <v>0</v>
      </c>
      <c r="E178" s="219">
        <f t="shared" si="80"/>
        <v>0</v>
      </c>
      <c r="F178" s="219">
        <f t="shared" si="80"/>
        <v>0</v>
      </c>
      <c r="G178" s="219">
        <f t="shared" si="80"/>
        <v>0</v>
      </c>
      <c r="H178" s="219">
        <f t="shared" si="80"/>
        <v>0</v>
      </c>
      <c r="I178" s="219">
        <f t="shared" si="80"/>
        <v>0</v>
      </c>
      <c r="J178" s="219">
        <f t="shared" si="80"/>
        <v>0</v>
      </c>
      <c r="K178" s="219">
        <f t="shared" si="80"/>
        <v>0</v>
      </c>
      <c r="L178" s="219">
        <f t="shared" si="80"/>
        <v>0</v>
      </c>
      <c r="M178" s="219">
        <f t="shared" si="80"/>
        <v>0</v>
      </c>
      <c r="N178" s="219">
        <f t="shared" si="80"/>
        <v>0</v>
      </c>
      <c r="O178" s="219">
        <f t="shared" si="80"/>
        <v>0</v>
      </c>
      <c r="P178" s="219">
        <f t="shared" si="80"/>
        <v>0</v>
      </c>
      <c r="Q178" s="219">
        <f t="shared" si="80"/>
        <v>0</v>
      </c>
      <c r="R178" s="219">
        <f t="shared" si="80"/>
        <v>0</v>
      </c>
      <c r="S178" s="219">
        <f t="shared" si="80"/>
        <v>0</v>
      </c>
      <c r="T178" s="219">
        <f t="shared" si="80"/>
        <v>0</v>
      </c>
      <c r="U178" s="219">
        <f t="shared" si="80"/>
        <v>0</v>
      </c>
      <c r="V178" s="219">
        <f t="shared" si="80"/>
        <v>0</v>
      </c>
      <c r="W178" s="219">
        <f t="shared" si="80"/>
        <v>0</v>
      </c>
      <c r="X178" s="219">
        <f t="shared" si="80"/>
        <v>0</v>
      </c>
      <c r="Y178" s="219">
        <f t="shared" si="80"/>
        <v>0</v>
      </c>
      <c r="Z178" s="219">
        <f t="shared" si="80"/>
        <v>0</v>
      </c>
      <c r="AA178" s="219">
        <f t="shared" si="80"/>
        <v>0</v>
      </c>
      <c r="AB178" s="219">
        <f t="shared" si="80"/>
        <v>0</v>
      </c>
      <c r="AC178" s="219">
        <f t="shared" si="80"/>
        <v>0</v>
      </c>
      <c r="AD178" s="219">
        <f t="shared" si="80"/>
        <v>0</v>
      </c>
      <c r="AE178" s="219">
        <f t="shared" si="80"/>
        <v>0</v>
      </c>
      <c r="AF178" s="219">
        <f t="shared" si="80"/>
        <v>0</v>
      </c>
      <c r="AG178" s="219">
        <f t="shared" si="80"/>
        <v>0</v>
      </c>
      <c r="AH178" s="219">
        <f t="shared" si="80"/>
        <v>0</v>
      </c>
      <c r="AI178" s="219">
        <f t="shared" si="80"/>
        <v>0</v>
      </c>
      <c r="AJ178" s="219">
        <f t="shared" si="80"/>
        <v>0</v>
      </c>
      <c r="AK178" s="219">
        <f t="shared" si="80"/>
        <v>0</v>
      </c>
      <c r="AL178" s="219">
        <f t="shared" si="80"/>
        <v>0</v>
      </c>
      <c r="AM178" s="219">
        <f t="shared" si="80"/>
        <v>0</v>
      </c>
      <c r="AN178" s="219">
        <f t="shared" si="80"/>
        <v>0</v>
      </c>
      <c r="AO178" s="219">
        <f t="shared" si="80"/>
        <v>0</v>
      </c>
      <c r="AP178" s="219">
        <f t="shared" si="80"/>
        <v>0</v>
      </c>
    </row>
    <row r="179" spans="1:42" s="17" customFormat="1" x14ac:dyDescent="0.2">
      <c r="A179" s="123" t="s">
        <v>39</v>
      </c>
      <c r="B179" s="211"/>
      <c r="C179" s="218">
        <f>SUM(C172:C178)</f>
        <v>-4195481.0159843741</v>
      </c>
      <c r="D179" s="218">
        <f t="shared" ref="D179:AP179" si="81">SUM(D172:D178)</f>
        <v>-7572387.0060472172</v>
      </c>
      <c r="E179" s="218">
        <f t="shared" si="81"/>
        <v>-3866056.9416592787</v>
      </c>
      <c r="F179" s="218">
        <f t="shared" si="81"/>
        <v>-1615438.2756377384</v>
      </c>
      <c r="G179" s="218">
        <f t="shared" si="81"/>
        <v>-1549157.7918151545</v>
      </c>
      <c r="H179" s="218">
        <f t="shared" si="81"/>
        <v>160000.18258392782</v>
      </c>
      <c r="I179" s="218">
        <f t="shared" si="81"/>
        <v>1870459.2349255225</v>
      </c>
      <c r="J179" s="218">
        <f t="shared" si="81"/>
        <v>1942581.7049321742</v>
      </c>
      <c r="K179" s="218">
        <f t="shared" si="81"/>
        <v>2018520.8590920386</v>
      </c>
      <c r="L179" s="218">
        <f t="shared" si="81"/>
        <v>2098728.1300280089</v>
      </c>
      <c r="M179" s="218">
        <f t="shared" si="81"/>
        <v>2183289.6911383877</v>
      </c>
      <c r="N179" s="218">
        <f t="shared" si="81"/>
        <v>1052700.5428977043</v>
      </c>
      <c r="O179" s="218">
        <f t="shared" si="81"/>
        <v>308231.04127625359</v>
      </c>
      <c r="P179" s="218">
        <f t="shared" si="81"/>
        <v>1192361.1384462335</v>
      </c>
      <c r="Q179" s="218">
        <f t="shared" si="81"/>
        <v>1769785.2558287624</v>
      </c>
      <c r="R179" s="218">
        <f t="shared" si="81"/>
        <v>1932639.1076664547</v>
      </c>
      <c r="S179" s="218">
        <f t="shared" si="81"/>
        <v>2453564.7674666541</v>
      </c>
      <c r="T179" s="218">
        <f t="shared" si="81"/>
        <v>2934293.762242917</v>
      </c>
      <c r="U179" s="218">
        <f t="shared" si="81"/>
        <v>3054826.3742105109</v>
      </c>
      <c r="V179" s="218">
        <f t="shared" si="81"/>
        <v>3067702.3447295241</v>
      </c>
      <c r="W179" s="218">
        <f t="shared" si="81"/>
        <v>3108144.8644420942</v>
      </c>
      <c r="X179" s="218">
        <f t="shared" si="81"/>
        <v>3148225.1383714192</v>
      </c>
      <c r="Y179" s="218">
        <f t="shared" si="81"/>
        <v>3160027.1162200989</v>
      </c>
      <c r="Z179" s="218">
        <f t="shared" si="81"/>
        <v>1530485.4820843099</v>
      </c>
      <c r="AA179" s="218">
        <f t="shared" si="81"/>
        <v>413356.99647448765</v>
      </c>
      <c r="AB179" s="218">
        <f t="shared" si="81"/>
        <v>0</v>
      </c>
      <c r="AC179" s="218">
        <f t="shared" si="81"/>
        <v>0</v>
      </c>
      <c r="AD179" s="218">
        <f t="shared" si="81"/>
        <v>0</v>
      </c>
      <c r="AE179" s="218">
        <f t="shared" si="81"/>
        <v>0</v>
      </c>
      <c r="AF179" s="218">
        <f t="shared" si="81"/>
        <v>0</v>
      </c>
      <c r="AG179" s="218">
        <f t="shared" si="81"/>
        <v>0</v>
      </c>
      <c r="AH179" s="218">
        <f t="shared" si="81"/>
        <v>0</v>
      </c>
      <c r="AI179" s="218">
        <f t="shared" si="81"/>
        <v>0</v>
      </c>
      <c r="AJ179" s="218">
        <f t="shared" si="81"/>
        <v>0</v>
      </c>
      <c r="AK179" s="218">
        <f t="shared" si="81"/>
        <v>0</v>
      </c>
      <c r="AL179" s="218">
        <f t="shared" si="81"/>
        <v>0</v>
      </c>
      <c r="AM179" s="218">
        <f t="shared" si="81"/>
        <v>0</v>
      </c>
      <c r="AN179" s="218">
        <f t="shared" si="81"/>
        <v>0</v>
      </c>
      <c r="AO179" s="218">
        <f t="shared" si="81"/>
        <v>0</v>
      </c>
      <c r="AP179" s="218">
        <f t="shared" si="81"/>
        <v>0</v>
      </c>
    </row>
    <row r="180" spans="1:42" s="17" customFormat="1" x14ac:dyDescent="0.2">
      <c r="A180" s="123" t="str">
        <f>Inputs!B108</f>
        <v>Investment Based Incentive (IBI)</v>
      </c>
      <c r="B180" s="211"/>
    </row>
    <row r="181" spans="1:42" s="17" customFormat="1" x14ac:dyDescent="0.2">
      <c r="A181" s="125" t="str">
        <f>Inputs!B109</f>
        <v>As fixed amount</v>
      </c>
      <c r="B181" s="211"/>
    </row>
    <row r="182" spans="1:42" s="17" customFormat="1" x14ac:dyDescent="0.2">
      <c r="A182" s="112" t="s">
        <v>4</v>
      </c>
      <c r="B182" s="211"/>
      <c r="C182" s="218">
        <f>IF(ibi_fed_amount_tax_fed="Yes",C494,0)</f>
        <v>5000</v>
      </c>
    </row>
    <row r="183" spans="1:42" s="17" customFormat="1" x14ac:dyDescent="0.2">
      <c r="A183" s="112" t="s">
        <v>5</v>
      </c>
      <c r="B183" s="211"/>
      <c r="C183" s="218">
        <f>IF(ibi_sta_amount_tax_fed="Yes",C495,0)</f>
        <v>0</v>
      </c>
    </row>
    <row r="184" spans="1:42" s="17" customFormat="1" x14ac:dyDescent="0.2">
      <c r="A184" s="112" t="s">
        <v>214</v>
      </c>
      <c r="B184" s="211"/>
      <c r="C184" s="218">
        <f>IF(ibi_uti_amount_tax_fed="Yes",C496,0)</f>
        <v>0</v>
      </c>
    </row>
    <row r="185" spans="1:42" x14ac:dyDescent="0.2">
      <c r="A185" s="112" t="s">
        <v>215</v>
      </c>
      <c r="B185" s="127"/>
      <c r="C185" s="219">
        <f>IF(ibi_oth_amount_tax_fed="Yes",C497,0)</f>
        <v>0</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row>
    <row r="186" spans="1:42" x14ac:dyDescent="0.2">
      <c r="A186" s="112" t="s">
        <v>13</v>
      </c>
      <c r="B186" s="127"/>
      <c r="C186" s="220">
        <f>SUM(C182:C185)</f>
        <v>5000</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row>
    <row r="187" spans="1:42" x14ac:dyDescent="0.2">
      <c r="A187" s="125" t="str">
        <f>Inputs!B114</f>
        <v>As percentage</v>
      </c>
      <c r="B187" s="127"/>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row>
    <row r="188" spans="1:42" x14ac:dyDescent="0.2">
      <c r="A188" s="112" t="s">
        <v>4</v>
      </c>
      <c r="B188" s="127"/>
      <c r="C188" s="218">
        <f>C500</f>
        <v>0</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row>
    <row r="189" spans="1:42" x14ac:dyDescent="0.2">
      <c r="A189" s="112" t="s">
        <v>5</v>
      </c>
      <c r="B189" s="127"/>
      <c r="C189" s="218">
        <f t="shared" ref="C189:C191" si="82">C501</f>
        <v>0</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row>
    <row r="190" spans="1:42" x14ac:dyDescent="0.2">
      <c r="A190" s="112" t="s">
        <v>214</v>
      </c>
      <c r="B190" s="127"/>
      <c r="C190" s="218">
        <f t="shared" si="82"/>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2" t="s">
        <v>215</v>
      </c>
      <c r="B191" s="127"/>
      <c r="C191" s="219">
        <f t="shared" si="82"/>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12" t="s">
        <v>13</v>
      </c>
      <c r="B192" s="127"/>
      <c r="C192" s="220">
        <f>SUM(C188:C191)</f>
        <v>0</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23" t="str">
        <f>Inputs!B119</f>
        <v>Capacity Based Incentive (CBI)</v>
      </c>
      <c r="B193" s="127"/>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25" t="s">
        <v>4</v>
      </c>
      <c r="B194" s="127"/>
      <c r="C194" s="221">
        <f>C507</f>
        <v>999920.00000000012</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5" t="s">
        <v>5</v>
      </c>
      <c r="B195" s="127"/>
      <c r="C195" s="221">
        <f t="shared" ref="C195:C197" si="83">C508</f>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25" t="s">
        <v>214</v>
      </c>
      <c r="B196" s="127"/>
      <c r="C196" s="221">
        <f t="shared" si="83"/>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25" t="s">
        <v>215</v>
      </c>
      <c r="B197" s="127"/>
      <c r="C197" s="219">
        <f t="shared" si="83"/>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5" t="s">
        <v>13</v>
      </c>
      <c r="B198" s="127"/>
      <c r="C198" s="220">
        <f>SUM(C194:C197)</f>
        <v>999920.00000000012</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23" t="str">
        <f>Inputs!B124</f>
        <v>Production Based Incentive (PBI)</v>
      </c>
      <c r="B199" s="127"/>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25" t="s">
        <v>4</v>
      </c>
      <c r="B200" s="127"/>
      <c r="C200" s="221">
        <f t="shared" ref="C200:AP200" si="84">IF(AND(pbi_fed_tax_fed="Yes",pbi_fed_for_ds="No"),C517,0)</f>
        <v>0</v>
      </c>
      <c r="D200" s="221">
        <f t="shared" si="84"/>
        <v>0</v>
      </c>
      <c r="E200" s="221">
        <f t="shared" si="84"/>
        <v>0</v>
      </c>
      <c r="F200" s="221">
        <f t="shared" si="84"/>
        <v>0</v>
      </c>
      <c r="G200" s="221">
        <f t="shared" si="84"/>
        <v>0</v>
      </c>
      <c r="H200" s="221">
        <f t="shared" si="84"/>
        <v>0</v>
      </c>
      <c r="I200" s="221">
        <f t="shared" si="84"/>
        <v>0</v>
      </c>
      <c r="J200" s="221">
        <f t="shared" si="84"/>
        <v>0</v>
      </c>
      <c r="K200" s="221">
        <f t="shared" si="84"/>
        <v>0</v>
      </c>
      <c r="L200" s="221">
        <f t="shared" si="84"/>
        <v>0</v>
      </c>
      <c r="M200" s="221">
        <f t="shared" si="84"/>
        <v>0</v>
      </c>
      <c r="N200" s="221">
        <f t="shared" si="84"/>
        <v>0</v>
      </c>
      <c r="O200" s="221">
        <f t="shared" si="84"/>
        <v>0</v>
      </c>
      <c r="P200" s="221">
        <f t="shared" si="84"/>
        <v>0</v>
      </c>
      <c r="Q200" s="221">
        <f t="shared" si="84"/>
        <v>0</v>
      </c>
      <c r="R200" s="221">
        <f t="shared" si="84"/>
        <v>0</v>
      </c>
      <c r="S200" s="221">
        <f t="shared" si="84"/>
        <v>0</v>
      </c>
      <c r="T200" s="221">
        <f t="shared" si="84"/>
        <v>0</v>
      </c>
      <c r="U200" s="221">
        <f t="shared" si="84"/>
        <v>0</v>
      </c>
      <c r="V200" s="221">
        <f t="shared" si="84"/>
        <v>0</v>
      </c>
      <c r="W200" s="221">
        <f t="shared" si="84"/>
        <v>0</v>
      </c>
      <c r="X200" s="221">
        <f t="shared" si="84"/>
        <v>0</v>
      </c>
      <c r="Y200" s="221">
        <f t="shared" si="84"/>
        <v>0</v>
      </c>
      <c r="Z200" s="221">
        <f t="shared" si="84"/>
        <v>0</v>
      </c>
      <c r="AA200" s="221">
        <f t="shared" si="84"/>
        <v>0</v>
      </c>
      <c r="AB200" s="221">
        <f t="shared" si="84"/>
        <v>0</v>
      </c>
      <c r="AC200" s="221">
        <f t="shared" si="84"/>
        <v>0</v>
      </c>
      <c r="AD200" s="221">
        <f t="shared" si="84"/>
        <v>0</v>
      </c>
      <c r="AE200" s="221">
        <f t="shared" si="84"/>
        <v>0</v>
      </c>
      <c r="AF200" s="221">
        <f t="shared" si="84"/>
        <v>0</v>
      </c>
      <c r="AG200" s="221">
        <f t="shared" si="84"/>
        <v>0</v>
      </c>
      <c r="AH200" s="221">
        <f t="shared" si="84"/>
        <v>0</v>
      </c>
      <c r="AI200" s="221">
        <f t="shared" si="84"/>
        <v>0</v>
      </c>
      <c r="AJ200" s="221">
        <f t="shared" si="84"/>
        <v>0</v>
      </c>
      <c r="AK200" s="221">
        <f t="shared" si="84"/>
        <v>0</v>
      </c>
      <c r="AL200" s="221">
        <f t="shared" si="84"/>
        <v>0</v>
      </c>
      <c r="AM200" s="221">
        <f t="shared" si="84"/>
        <v>0</v>
      </c>
      <c r="AN200" s="221">
        <f t="shared" si="84"/>
        <v>0</v>
      </c>
      <c r="AO200" s="221">
        <f t="shared" si="84"/>
        <v>0</v>
      </c>
      <c r="AP200" s="221">
        <f t="shared" si="84"/>
        <v>0</v>
      </c>
    </row>
    <row r="201" spans="1:42" x14ac:dyDescent="0.2">
      <c r="A201" s="125" t="s">
        <v>5</v>
      </c>
      <c r="B201" s="127"/>
      <c r="C201" s="221">
        <f t="shared" ref="C201:AP201" si="85">IF(AND(pbi_sta_tax_fed="Yes",pbi_sta_for_ds="No"),C521,0)</f>
        <v>0</v>
      </c>
      <c r="D201" s="221">
        <f t="shared" si="85"/>
        <v>0</v>
      </c>
      <c r="E201" s="221">
        <f t="shared" si="85"/>
        <v>0</v>
      </c>
      <c r="F201" s="221">
        <f t="shared" si="85"/>
        <v>0</v>
      </c>
      <c r="G201" s="221">
        <f t="shared" si="85"/>
        <v>0</v>
      </c>
      <c r="H201" s="221">
        <f t="shared" si="85"/>
        <v>0</v>
      </c>
      <c r="I201" s="221">
        <f t="shared" si="85"/>
        <v>0</v>
      </c>
      <c r="J201" s="221">
        <f t="shared" si="85"/>
        <v>0</v>
      </c>
      <c r="K201" s="221">
        <f t="shared" si="85"/>
        <v>0</v>
      </c>
      <c r="L201" s="221">
        <f t="shared" si="85"/>
        <v>0</v>
      </c>
      <c r="M201" s="221">
        <f t="shared" si="85"/>
        <v>0</v>
      </c>
      <c r="N201" s="221">
        <f t="shared" si="85"/>
        <v>0</v>
      </c>
      <c r="O201" s="221">
        <f t="shared" si="85"/>
        <v>0</v>
      </c>
      <c r="P201" s="221">
        <f t="shared" si="85"/>
        <v>0</v>
      </c>
      <c r="Q201" s="221">
        <f t="shared" si="85"/>
        <v>0</v>
      </c>
      <c r="R201" s="221">
        <f t="shared" si="85"/>
        <v>0</v>
      </c>
      <c r="S201" s="221">
        <f t="shared" si="85"/>
        <v>0</v>
      </c>
      <c r="T201" s="221">
        <f t="shared" si="85"/>
        <v>0</v>
      </c>
      <c r="U201" s="221">
        <f t="shared" si="85"/>
        <v>0</v>
      </c>
      <c r="V201" s="221">
        <f t="shared" si="85"/>
        <v>0</v>
      </c>
      <c r="W201" s="221">
        <f t="shared" si="85"/>
        <v>0</v>
      </c>
      <c r="X201" s="221">
        <f t="shared" si="85"/>
        <v>0</v>
      </c>
      <c r="Y201" s="221">
        <f t="shared" si="85"/>
        <v>0</v>
      </c>
      <c r="Z201" s="221">
        <f t="shared" si="85"/>
        <v>0</v>
      </c>
      <c r="AA201" s="221">
        <f t="shared" si="85"/>
        <v>0</v>
      </c>
      <c r="AB201" s="221">
        <f t="shared" si="85"/>
        <v>0</v>
      </c>
      <c r="AC201" s="221">
        <f t="shared" si="85"/>
        <v>0</v>
      </c>
      <c r="AD201" s="221">
        <f t="shared" si="85"/>
        <v>0</v>
      </c>
      <c r="AE201" s="221">
        <f t="shared" si="85"/>
        <v>0</v>
      </c>
      <c r="AF201" s="221">
        <f t="shared" si="85"/>
        <v>0</v>
      </c>
      <c r="AG201" s="221">
        <f t="shared" si="85"/>
        <v>0</v>
      </c>
      <c r="AH201" s="221">
        <f t="shared" si="85"/>
        <v>0</v>
      </c>
      <c r="AI201" s="221">
        <f t="shared" si="85"/>
        <v>0</v>
      </c>
      <c r="AJ201" s="221">
        <f t="shared" si="85"/>
        <v>0</v>
      </c>
      <c r="AK201" s="221">
        <f t="shared" si="85"/>
        <v>0</v>
      </c>
      <c r="AL201" s="221">
        <f t="shared" si="85"/>
        <v>0</v>
      </c>
      <c r="AM201" s="221">
        <f t="shared" si="85"/>
        <v>0</v>
      </c>
      <c r="AN201" s="221">
        <f t="shared" si="85"/>
        <v>0</v>
      </c>
      <c r="AO201" s="221">
        <f t="shared" si="85"/>
        <v>0</v>
      </c>
      <c r="AP201" s="221">
        <f t="shared" si="85"/>
        <v>0</v>
      </c>
    </row>
    <row r="202" spans="1:42" x14ac:dyDescent="0.2">
      <c r="A202" s="125" t="s">
        <v>214</v>
      </c>
      <c r="B202" s="127"/>
      <c r="C202" s="221">
        <f t="shared" ref="C202:AP202" si="86">IF(AND(pbi_uti_tax_fed="Yes",pbi_uti_for_ds="No"),C525,0)</f>
        <v>0</v>
      </c>
      <c r="D202" s="221">
        <f t="shared" si="86"/>
        <v>0</v>
      </c>
      <c r="E202" s="221">
        <f t="shared" si="86"/>
        <v>0</v>
      </c>
      <c r="F202" s="221">
        <f t="shared" si="86"/>
        <v>0</v>
      </c>
      <c r="G202" s="221">
        <f t="shared" si="86"/>
        <v>0</v>
      </c>
      <c r="H202" s="221">
        <f t="shared" si="86"/>
        <v>0</v>
      </c>
      <c r="I202" s="221">
        <f t="shared" si="86"/>
        <v>0</v>
      </c>
      <c r="J202" s="221">
        <f t="shared" si="86"/>
        <v>0</v>
      </c>
      <c r="K202" s="221">
        <f t="shared" si="86"/>
        <v>0</v>
      </c>
      <c r="L202" s="221">
        <f t="shared" si="86"/>
        <v>0</v>
      </c>
      <c r="M202" s="221">
        <f t="shared" si="86"/>
        <v>0</v>
      </c>
      <c r="N202" s="221">
        <f t="shared" si="86"/>
        <v>0</v>
      </c>
      <c r="O202" s="221">
        <f t="shared" si="86"/>
        <v>0</v>
      </c>
      <c r="P202" s="221">
        <f t="shared" si="86"/>
        <v>0</v>
      </c>
      <c r="Q202" s="221">
        <f t="shared" si="86"/>
        <v>0</v>
      </c>
      <c r="R202" s="221">
        <f t="shared" si="86"/>
        <v>0</v>
      </c>
      <c r="S202" s="221">
        <f t="shared" si="86"/>
        <v>0</v>
      </c>
      <c r="T202" s="221">
        <f t="shared" si="86"/>
        <v>0</v>
      </c>
      <c r="U202" s="221">
        <f t="shared" si="86"/>
        <v>0</v>
      </c>
      <c r="V202" s="221">
        <f t="shared" si="86"/>
        <v>0</v>
      </c>
      <c r="W202" s="221">
        <f t="shared" si="86"/>
        <v>0</v>
      </c>
      <c r="X202" s="221">
        <f t="shared" si="86"/>
        <v>0</v>
      </c>
      <c r="Y202" s="221">
        <f t="shared" si="86"/>
        <v>0</v>
      </c>
      <c r="Z202" s="221">
        <f t="shared" si="86"/>
        <v>0</v>
      </c>
      <c r="AA202" s="221">
        <f t="shared" si="86"/>
        <v>0</v>
      </c>
      <c r="AB202" s="221">
        <f t="shared" si="86"/>
        <v>0</v>
      </c>
      <c r="AC202" s="221">
        <f t="shared" si="86"/>
        <v>0</v>
      </c>
      <c r="AD202" s="221">
        <f t="shared" si="86"/>
        <v>0</v>
      </c>
      <c r="AE202" s="221">
        <f t="shared" si="86"/>
        <v>0</v>
      </c>
      <c r="AF202" s="221">
        <f t="shared" si="86"/>
        <v>0</v>
      </c>
      <c r="AG202" s="221">
        <f t="shared" si="86"/>
        <v>0</v>
      </c>
      <c r="AH202" s="221">
        <f t="shared" si="86"/>
        <v>0</v>
      </c>
      <c r="AI202" s="221">
        <f t="shared" si="86"/>
        <v>0</v>
      </c>
      <c r="AJ202" s="221">
        <f t="shared" si="86"/>
        <v>0</v>
      </c>
      <c r="AK202" s="221">
        <f t="shared" si="86"/>
        <v>0</v>
      </c>
      <c r="AL202" s="221">
        <f t="shared" si="86"/>
        <v>0</v>
      </c>
      <c r="AM202" s="221">
        <f t="shared" si="86"/>
        <v>0</v>
      </c>
      <c r="AN202" s="221">
        <f t="shared" si="86"/>
        <v>0</v>
      </c>
      <c r="AO202" s="221">
        <f t="shared" si="86"/>
        <v>0</v>
      </c>
      <c r="AP202" s="221">
        <f t="shared" si="86"/>
        <v>0</v>
      </c>
    </row>
    <row r="203" spans="1:42" x14ac:dyDescent="0.2">
      <c r="A203" s="125" t="s">
        <v>215</v>
      </c>
      <c r="B203" s="127"/>
      <c r="C203" s="221">
        <f t="shared" ref="C203:AP203" si="87">IF(AND(pbi_oth_tax_fed="Yes",pbi_oth_for_ds="No"),C529,0)</f>
        <v>0</v>
      </c>
      <c r="D203" s="221">
        <f t="shared" si="87"/>
        <v>0</v>
      </c>
      <c r="E203" s="221">
        <f t="shared" si="87"/>
        <v>0</v>
      </c>
      <c r="F203" s="221">
        <f t="shared" si="87"/>
        <v>0</v>
      </c>
      <c r="G203" s="221">
        <f t="shared" si="87"/>
        <v>0</v>
      </c>
      <c r="H203" s="221">
        <f t="shared" si="87"/>
        <v>0</v>
      </c>
      <c r="I203" s="221">
        <f t="shared" si="87"/>
        <v>0</v>
      </c>
      <c r="J203" s="221">
        <f t="shared" si="87"/>
        <v>0</v>
      </c>
      <c r="K203" s="221">
        <f t="shared" si="87"/>
        <v>0</v>
      </c>
      <c r="L203" s="221">
        <f t="shared" si="87"/>
        <v>0</v>
      </c>
      <c r="M203" s="221">
        <f t="shared" si="87"/>
        <v>0</v>
      </c>
      <c r="N203" s="221">
        <f t="shared" si="87"/>
        <v>0</v>
      </c>
      <c r="O203" s="221">
        <f t="shared" si="87"/>
        <v>0</v>
      </c>
      <c r="P203" s="221">
        <f t="shared" si="87"/>
        <v>0</v>
      </c>
      <c r="Q203" s="221">
        <f t="shared" si="87"/>
        <v>0</v>
      </c>
      <c r="R203" s="221">
        <f t="shared" si="87"/>
        <v>0</v>
      </c>
      <c r="S203" s="221">
        <f t="shared" si="87"/>
        <v>0</v>
      </c>
      <c r="T203" s="221">
        <f t="shared" si="87"/>
        <v>0</v>
      </c>
      <c r="U203" s="221">
        <f t="shared" si="87"/>
        <v>0</v>
      </c>
      <c r="V203" s="221">
        <f t="shared" si="87"/>
        <v>0</v>
      </c>
      <c r="W203" s="221">
        <f t="shared" si="87"/>
        <v>0</v>
      </c>
      <c r="X203" s="221">
        <f t="shared" si="87"/>
        <v>0</v>
      </c>
      <c r="Y203" s="221">
        <f t="shared" si="87"/>
        <v>0</v>
      </c>
      <c r="Z203" s="221">
        <f t="shared" si="87"/>
        <v>0</v>
      </c>
      <c r="AA203" s="221">
        <f t="shared" si="87"/>
        <v>0</v>
      </c>
      <c r="AB203" s="221">
        <f t="shared" si="87"/>
        <v>0</v>
      </c>
      <c r="AC203" s="221">
        <f t="shared" si="87"/>
        <v>0</v>
      </c>
      <c r="AD203" s="221">
        <f t="shared" si="87"/>
        <v>0</v>
      </c>
      <c r="AE203" s="221">
        <f t="shared" si="87"/>
        <v>0</v>
      </c>
      <c r="AF203" s="221">
        <f t="shared" si="87"/>
        <v>0</v>
      </c>
      <c r="AG203" s="221">
        <f t="shared" si="87"/>
        <v>0</v>
      </c>
      <c r="AH203" s="221">
        <f t="shared" si="87"/>
        <v>0</v>
      </c>
      <c r="AI203" s="221">
        <f t="shared" si="87"/>
        <v>0</v>
      </c>
      <c r="AJ203" s="221">
        <f t="shared" si="87"/>
        <v>0</v>
      </c>
      <c r="AK203" s="221">
        <f t="shared" si="87"/>
        <v>0</v>
      </c>
      <c r="AL203" s="221">
        <f t="shared" si="87"/>
        <v>0</v>
      </c>
      <c r="AM203" s="221">
        <f t="shared" si="87"/>
        <v>0</v>
      </c>
      <c r="AN203" s="221">
        <f t="shared" si="87"/>
        <v>0</v>
      </c>
      <c r="AO203" s="221">
        <f t="shared" si="87"/>
        <v>0</v>
      </c>
      <c r="AP203" s="221">
        <f t="shared" si="87"/>
        <v>0</v>
      </c>
    </row>
    <row r="204" spans="1:42" x14ac:dyDescent="0.2">
      <c r="A204" s="125" t="s">
        <v>13</v>
      </c>
      <c r="B204" s="127"/>
      <c r="C204" s="222">
        <f>SUM(C200:C203)</f>
        <v>0</v>
      </c>
      <c r="D204" s="222">
        <f t="shared" ref="D204:AP204" si="88">SUM(D200:D203)</f>
        <v>0</v>
      </c>
      <c r="E204" s="222">
        <f t="shared" si="88"/>
        <v>0</v>
      </c>
      <c r="F204" s="222">
        <f t="shared" si="88"/>
        <v>0</v>
      </c>
      <c r="G204" s="222">
        <f t="shared" si="88"/>
        <v>0</v>
      </c>
      <c r="H204" s="222">
        <f t="shared" si="88"/>
        <v>0</v>
      </c>
      <c r="I204" s="222">
        <f t="shared" si="88"/>
        <v>0</v>
      </c>
      <c r="J204" s="222">
        <f t="shared" si="88"/>
        <v>0</v>
      </c>
      <c r="K204" s="222">
        <f t="shared" si="88"/>
        <v>0</v>
      </c>
      <c r="L204" s="222">
        <f t="shared" si="88"/>
        <v>0</v>
      </c>
      <c r="M204" s="222">
        <f t="shared" si="88"/>
        <v>0</v>
      </c>
      <c r="N204" s="222">
        <f t="shared" si="88"/>
        <v>0</v>
      </c>
      <c r="O204" s="222">
        <f t="shared" si="88"/>
        <v>0</v>
      </c>
      <c r="P204" s="222">
        <f t="shared" si="88"/>
        <v>0</v>
      </c>
      <c r="Q204" s="222">
        <f t="shared" si="88"/>
        <v>0</v>
      </c>
      <c r="R204" s="222">
        <f t="shared" si="88"/>
        <v>0</v>
      </c>
      <c r="S204" s="222">
        <f t="shared" si="88"/>
        <v>0</v>
      </c>
      <c r="T204" s="222">
        <f t="shared" si="88"/>
        <v>0</v>
      </c>
      <c r="U204" s="222">
        <f t="shared" si="88"/>
        <v>0</v>
      </c>
      <c r="V204" s="222">
        <f t="shared" si="88"/>
        <v>0</v>
      </c>
      <c r="W204" s="222">
        <f t="shared" si="88"/>
        <v>0</v>
      </c>
      <c r="X204" s="222">
        <f t="shared" si="88"/>
        <v>0</v>
      </c>
      <c r="Y204" s="222">
        <f t="shared" si="88"/>
        <v>0</v>
      </c>
      <c r="Z204" s="222">
        <f t="shared" si="88"/>
        <v>0</v>
      </c>
      <c r="AA204" s="222">
        <f t="shared" si="88"/>
        <v>0</v>
      </c>
      <c r="AB204" s="222">
        <f t="shared" si="88"/>
        <v>0</v>
      </c>
      <c r="AC204" s="222">
        <f t="shared" si="88"/>
        <v>0</v>
      </c>
      <c r="AD204" s="222">
        <f t="shared" si="88"/>
        <v>0</v>
      </c>
      <c r="AE204" s="222">
        <f t="shared" si="88"/>
        <v>0</v>
      </c>
      <c r="AF204" s="222">
        <f t="shared" si="88"/>
        <v>0</v>
      </c>
      <c r="AG204" s="222">
        <f t="shared" si="88"/>
        <v>0</v>
      </c>
      <c r="AH204" s="222">
        <f t="shared" si="88"/>
        <v>0</v>
      </c>
      <c r="AI204" s="222">
        <f t="shared" si="88"/>
        <v>0</v>
      </c>
      <c r="AJ204" s="222">
        <f t="shared" si="88"/>
        <v>0</v>
      </c>
      <c r="AK204" s="222">
        <f t="shared" si="88"/>
        <v>0</v>
      </c>
      <c r="AL204" s="222">
        <f t="shared" si="88"/>
        <v>0</v>
      </c>
      <c r="AM204" s="222">
        <f t="shared" si="88"/>
        <v>0</v>
      </c>
      <c r="AN204" s="222">
        <f t="shared" si="88"/>
        <v>0</v>
      </c>
      <c r="AO204" s="222">
        <f t="shared" si="88"/>
        <v>0</v>
      </c>
      <c r="AP204" s="222">
        <f t="shared" si="88"/>
        <v>0</v>
      </c>
    </row>
    <row r="205" spans="1:42" x14ac:dyDescent="0.2">
      <c r="A205" s="123" t="s">
        <v>48</v>
      </c>
      <c r="B205" s="127"/>
      <c r="C205" s="220">
        <f>C186+C192+C198+C204</f>
        <v>1004920.0000000001</v>
      </c>
      <c r="D205" s="220">
        <f t="shared" ref="D205:AP205" si="89">D186+D192+D198+D204</f>
        <v>0</v>
      </c>
      <c r="E205" s="220">
        <f t="shared" si="89"/>
        <v>0</v>
      </c>
      <c r="F205" s="220">
        <f t="shared" si="89"/>
        <v>0</v>
      </c>
      <c r="G205" s="220">
        <f t="shared" si="89"/>
        <v>0</v>
      </c>
      <c r="H205" s="220">
        <f t="shared" si="89"/>
        <v>0</v>
      </c>
      <c r="I205" s="220">
        <f t="shared" si="89"/>
        <v>0</v>
      </c>
      <c r="J205" s="220">
        <f t="shared" si="89"/>
        <v>0</v>
      </c>
      <c r="K205" s="220">
        <f t="shared" si="89"/>
        <v>0</v>
      </c>
      <c r="L205" s="220">
        <f t="shared" si="89"/>
        <v>0</v>
      </c>
      <c r="M205" s="220">
        <f t="shared" si="89"/>
        <v>0</v>
      </c>
      <c r="N205" s="220">
        <f t="shared" si="89"/>
        <v>0</v>
      </c>
      <c r="O205" s="220">
        <f t="shared" si="89"/>
        <v>0</v>
      </c>
      <c r="P205" s="220">
        <f t="shared" si="89"/>
        <v>0</v>
      </c>
      <c r="Q205" s="220">
        <f t="shared" si="89"/>
        <v>0</v>
      </c>
      <c r="R205" s="220">
        <f t="shared" si="89"/>
        <v>0</v>
      </c>
      <c r="S205" s="220">
        <f t="shared" si="89"/>
        <v>0</v>
      </c>
      <c r="T205" s="220">
        <f t="shared" si="89"/>
        <v>0</v>
      </c>
      <c r="U205" s="220">
        <f t="shared" si="89"/>
        <v>0</v>
      </c>
      <c r="V205" s="220">
        <f t="shared" si="89"/>
        <v>0</v>
      </c>
      <c r="W205" s="220">
        <f t="shared" si="89"/>
        <v>0</v>
      </c>
      <c r="X205" s="220">
        <f t="shared" si="89"/>
        <v>0</v>
      </c>
      <c r="Y205" s="220">
        <f t="shared" si="89"/>
        <v>0</v>
      </c>
      <c r="Z205" s="220">
        <f t="shared" si="89"/>
        <v>0</v>
      </c>
      <c r="AA205" s="220">
        <f t="shared" si="89"/>
        <v>0</v>
      </c>
      <c r="AB205" s="220">
        <f t="shared" si="89"/>
        <v>0</v>
      </c>
      <c r="AC205" s="220">
        <f t="shared" si="89"/>
        <v>0</v>
      </c>
      <c r="AD205" s="220">
        <f t="shared" si="89"/>
        <v>0</v>
      </c>
      <c r="AE205" s="220">
        <f t="shared" si="89"/>
        <v>0</v>
      </c>
      <c r="AF205" s="220">
        <f t="shared" si="89"/>
        <v>0</v>
      </c>
      <c r="AG205" s="220">
        <f t="shared" si="89"/>
        <v>0</v>
      </c>
      <c r="AH205" s="220">
        <f t="shared" si="89"/>
        <v>0</v>
      </c>
      <c r="AI205" s="220">
        <f t="shared" si="89"/>
        <v>0</v>
      </c>
      <c r="AJ205" s="220">
        <f t="shared" si="89"/>
        <v>0</v>
      </c>
      <c r="AK205" s="220">
        <f t="shared" si="89"/>
        <v>0</v>
      </c>
      <c r="AL205" s="220">
        <f t="shared" si="89"/>
        <v>0</v>
      </c>
      <c r="AM205" s="220">
        <f t="shared" si="89"/>
        <v>0</v>
      </c>
      <c r="AN205" s="220">
        <f t="shared" si="89"/>
        <v>0</v>
      </c>
      <c r="AO205" s="220">
        <f t="shared" si="89"/>
        <v>0</v>
      </c>
      <c r="AP205" s="220">
        <f t="shared" si="89"/>
        <v>0</v>
      </c>
    </row>
    <row r="206" spans="1:42" x14ac:dyDescent="0.2">
      <c r="A206" s="125"/>
      <c r="B206" s="127"/>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3" t="s">
        <v>49</v>
      </c>
      <c r="B207" s="127"/>
      <c r="C207" s="223">
        <f>C179+C205</f>
        <v>-3190561.0159843741</v>
      </c>
      <c r="D207" s="223">
        <f t="shared" ref="D207:AP207" si="90">D179+D205</f>
        <v>-7572387.0060472172</v>
      </c>
      <c r="E207" s="223">
        <f t="shared" si="90"/>
        <v>-3866056.9416592787</v>
      </c>
      <c r="F207" s="223">
        <f t="shared" si="90"/>
        <v>-1615438.2756377384</v>
      </c>
      <c r="G207" s="223">
        <f t="shared" si="90"/>
        <v>-1549157.7918151545</v>
      </c>
      <c r="H207" s="223">
        <f t="shared" si="90"/>
        <v>160000.18258392782</v>
      </c>
      <c r="I207" s="223">
        <f t="shared" si="90"/>
        <v>1870459.2349255225</v>
      </c>
      <c r="J207" s="223">
        <f t="shared" si="90"/>
        <v>1942581.7049321742</v>
      </c>
      <c r="K207" s="223">
        <f t="shared" si="90"/>
        <v>2018520.8590920386</v>
      </c>
      <c r="L207" s="223">
        <f t="shared" si="90"/>
        <v>2098728.1300280089</v>
      </c>
      <c r="M207" s="223">
        <f t="shared" si="90"/>
        <v>2183289.6911383877</v>
      </c>
      <c r="N207" s="223">
        <f t="shared" si="90"/>
        <v>1052700.5428977043</v>
      </c>
      <c r="O207" s="223">
        <f t="shared" si="90"/>
        <v>308231.04127625359</v>
      </c>
      <c r="P207" s="223">
        <f t="shared" si="90"/>
        <v>1192361.1384462335</v>
      </c>
      <c r="Q207" s="223">
        <f t="shared" si="90"/>
        <v>1769785.2558287624</v>
      </c>
      <c r="R207" s="223">
        <f t="shared" si="90"/>
        <v>1932639.1076664547</v>
      </c>
      <c r="S207" s="223">
        <f t="shared" si="90"/>
        <v>2453564.7674666541</v>
      </c>
      <c r="T207" s="223">
        <f t="shared" si="90"/>
        <v>2934293.762242917</v>
      </c>
      <c r="U207" s="223">
        <f t="shared" si="90"/>
        <v>3054826.3742105109</v>
      </c>
      <c r="V207" s="223">
        <f t="shared" si="90"/>
        <v>3067702.3447295241</v>
      </c>
      <c r="W207" s="223">
        <f t="shared" si="90"/>
        <v>3108144.8644420942</v>
      </c>
      <c r="X207" s="223">
        <f t="shared" si="90"/>
        <v>3148225.1383714192</v>
      </c>
      <c r="Y207" s="223">
        <f t="shared" si="90"/>
        <v>3160027.1162200989</v>
      </c>
      <c r="Z207" s="223">
        <f t="shared" si="90"/>
        <v>1530485.4820843099</v>
      </c>
      <c r="AA207" s="223">
        <f t="shared" si="90"/>
        <v>413356.99647448765</v>
      </c>
      <c r="AB207" s="223">
        <f t="shared" si="90"/>
        <v>0</v>
      </c>
      <c r="AC207" s="223">
        <f t="shared" si="90"/>
        <v>0</v>
      </c>
      <c r="AD207" s="223">
        <f t="shared" si="90"/>
        <v>0</v>
      </c>
      <c r="AE207" s="223">
        <f t="shared" si="90"/>
        <v>0</v>
      </c>
      <c r="AF207" s="223">
        <f t="shared" si="90"/>
        <v>0</v>
      </c>
      <c r="AG207" s="223">
        <f t="shared" si="90"/>
        <v>0</v>
      </c>
      <c r="AH207" s="223">
        <f t="shared" si="90"/>
        <v>0</v>
      </c>
      <c r="AI207" s="223">
        <f t="shared" si="90"/>
        <v>0</v>
      </c>
      <c r="AJ207" s="223">
        <f t="shared" si="90"/>
        <v>0</v>
      </c>
      <c r="AK207" s="223">
        <f t="shared" si="90"/>
        <v>0</v>
      </c>
      <c r="AL207" s="223">
        <f t="shared" si="90"/>
        <v>0</v>
      </c>
      <c r="AM207" s="223">
        <f t="shared" si="90"/>
        <v>0</v>
      </c>
      <c r="AN207" s="223">
        <f t="shared" si="90"/>
        <v>0</v>
      </c>
      <c r="AO207" s="223">
        <f t="shared" si="90"/>
        <v>0</v>
      </c>
      <c r="AP207" s="223">
        <f t="shared" si="90"/>
        <v>0</v>
      </c>
    </row>
    <row r="208" spans="1:42" x14ac:dyDescent="0.2">
      <c r="A208" s="123" t="s">
        <v>97</v>
      </c>
      <c r="B208" s="127"/>
      <c r="C208" s="223">
        <f t="shared" ref="C208:AP208" si="91">C207*-federal_tax_rate/100</f>
        <v>1116696.3555945309</v>
      </c>
      <c r="D208" s="223">
        <f t="shared" si="91"/>
        <v>2650335.4521165262</v>
      </c>
      <c r="E208" s="223">
        <f t="shared" si="91"/>
        <v>1353119.9295807474</v>
      </c>
      <c r="F208" s="223">
        <f t="shared" si="91"/>
        <v>565403.39647320844</v>
      </c>
      <c r="G208" s="223">
        <f t="shared" si="91"/>
        <v>542205.22713530401</v>
      </c>
      <c r="H208" s="223">
        <f t="shared" si="91"/>
        <v>-56000.063904374736</v>
      </c>
      <c r="I208" s="223">
        <f t="shared" si="91"/>
        <v>-654660.73222393286</v>
      </c>
      <c r="J208" s="223">
        <f t="shared" si="91"/>
        <v>-679903.59672626096</v>
      </c>
      <c r="K208" s="223">
        <f t="shared" si="91"/>
        <v>-706482.30068221351</v>
      </c>
      <c r="L208" s="223">
        <f t="shared" si="91"/>
        <v>-734554.84550980316</v>
      </c>
      <c r="M208" s="223">
        <f t="shared" si="91"/>
        <v>-764151.39189843566</v>
      </c>
      <c r="N208" s="223">
        <f t="shared" si="91"/>
        <v>-368445.1900141965</v>
      </c>
      <c r="O208" s="223">
        <f t="shared" si="91"/>
        <v>-107880.86444668876</v>
      </c>
      <c r="P208" s="223">
        <f t="shared" si="91"/>
        <v>-417326.39845618175</v>
      </c>
      <c r="Q208" s="223">
        <f t="shared" si="91"/>
        <v>-619424.8395400669</v>
      </c>
      <c r="R208" s="223">
        <f t="shared" si="91"/>
        <v>-676423.68768325914</v>
      </c>
      <c r="S208" s="223">
        <f t="shared" si="91"/>
        <v>-858747.66861332895</v>
      </c>
      <c r="T208" s="223">
        <f t="shared" si="91"/>
        <v>-1027002.816785021</v>
      </c>
      <c r="U208" s="223">
        <f t="shared" si="91"/>
        <v>-1069189.2309736789</v>
      </c>
      <c r="V208" s="223">
        <f t="shared" si="91"/>
        <v>-1073695.8206553333</v>
      </c>
      <c r="W208" s="223">
        <f t="shared" si="91"/>
        <v>-1087850.702554733</v>
      </c>
      <c r="X208" s="223">
        <f t="shared" si="91"/>
        <v>-1101878.7984299967</v>
      </c>
      <c r="Y208" s="223">
        <f t="shared" si="91"/>
        <v>-1106009.4906770345</v>
      </c>
      <c r="Z208" s="223">
        <f t="shared" si="91"/>
        <v>-535669.91872950841</v>
      </c>
      <c r="AA208" s="223">
        <f t="shared" si="91"/>
        <v>-144674.94876607068</v>
      </c>
      <c r="AB208" s="223">
        <f t="shared" si="91"/>
        <v>0</v>
      </c>
      <c r="AC208" s="223">
        <f t="shared" si="91"/>
        <v>0</v>
      </c>
      <c r="AD208" s="223">
        <f t="shared" si="91"/>
        <v>0</v>
      </c>
      <c r="AE208" s="223">
        <f t="shared" si="91"/>
        <v>0</v>
      </c>
      <c r="AF208" s="223">
        <f t="shared" si="91"/>
        <v>0</v>
      </c>
      <c r="AG208" s="223">
        <f t="shared" si="91"/>
        <v>0</v>
      </c>
      <c r="AH208" s="223">
        <f t="shared" si="91"/>
        <v>0</v>
      </c>
      <c r="AI208" s="223">
        <f t="shared" si="91"/>
        <v>0</v>
      </c>
      <c r="AJ208" s="223">
        <f t="shared" si="91"/>
        <v>0</v>
      </c>
      <c r="AK208" s="223">
        <f t="shared" si="91"/>
        <v>0</v>
      </c>
      <c r="AL208" s="223">
        <f t="shared" si="91"/>
        <v>0</v>
      </c>
      <c r="AM208" s="223">
        <f t="shared" si="91"/>
        <v>0</v>
      </c>
      <c r="AN208" s="223">
        <f t="shared" si="91"/>
        <v>0</v>
      </c>
      <c r="AO208" s="223">
        <f t="shared" si="91"/>
        <v>0</v>
      </c>
      <c r="AP208" s="223">
        <f t="shared" si="91"/>
        <v>0</v>
      </c>
    </row>
    <row r="209" spans="1:42" x14ac:dyDescent="0.2">
      <c r="A209" s="33"/>
      <c r="B209" s="127"/>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row>
    <row r="210" spans="1:42" x14ac:dyDescent="0.2">
      <c r="A210" s="114" t="s">
        <v>121</v>
      </c>
      <c r="B210" s="297"/>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x14ac:dyDescent="0.2">
      <c r="A211" s="30" t="s">
        <v>122</v>
      </c>
      <c r="B211" s="127"/>
    </row>
    <row r="212" spans="1:42" x14ac:dyDescent="0.2">
      <c r="A212" s="4" t="s">
        <v>284</v>
      </c>
      <c r="B212" s="127"/>
      <c r="G212" s="370" t="s">
        <v>73</v>
      </c>
      <c r="H212" s="371"/>
      <c r="I212" s="371"/>
      <c r="J212" s="372"/>
      <c r="K212" s="373" t="s">
        <v>74</v>
      </c>
      <c r="L212" s="374"/>
    </row>
    <row r="213" spans="1:42" ht="51" x14ac:dyDescent="0.2">
      <c r="B213" s="215" t="s">
        <v>63</v>
      </c>
      <c r="C213" s="19" t="s">
        <v>59</v>
      </c>
      <c r="D213" s="19" t="s">
        <v>61</v>
      </c>
      <c r="E213" s="35" t="s">
        <v>62</v>
      </c>
      <c r="F213" s="19" t="s">
        <v>64</v>
      </c>
      <c r="G213" s="19" t="s">
        <v>68</v>
      </c>
      <c r="H213" s="19" t="s">
        <v>70</v>
      </c>
      <c r="I213" s="68" t="s">
        <v>69</v>
      </c>
      <c r="J213" s="19" t="s">
        <v>71</v>
      </c>
      <c r="K213" s="41" t="s">
        <v>3</v>
      </c>
      <c r="L213" s="189" t="s">
        <v>71</v>
      </c>
      <c r="M213" s="36" t="s">
        <v>75</v>
      </c>
      <c r="N213" s="36" t="s">
        <v>76</v>
      </c>
      <c r="O213" s="19" t="s">
        <v>65</v>
      </c>
      <c r="P213" s="188" t="s">
        <v>104</v>
      </c>
      <c r="Q213" s="19" t="s">
        <v>105</v>
      </c>
    </row>
    <row r="214" spans="1:42" s="17" customFormat="1" x14ac:dyDescent="0.2">
      <c r="A214" s="42" t="str">
        <f>Inputs!B132</f>
        <v>5-yr MACRS</v>
      </c>
      <c r="B214" s="291">
        <f>IF(Inputs!$C$139=0,0,depr_alloc_macrs_5_percent*100/Inputs!$C$139)</f>
        <v>92.783505154639172</v>
      </c>
      <c r="C214" s="168">
        <f>-$B$80*depr_alloc_macrs_5_percent/100</f>
        <v>36020544.713315822</v>
      </c>
      <c r="D214" s="168">
        <f>$B214/100*D$220</f>
        <v>0</v>
      </c>
      <c r="E214" s="168">
        <f>$B214/100*E$220</f>
        <v>0</v>
      </c>
      <c r="F214" s="170">
        <f>C214-D214-E214</f>
        <v>36020544.713315822</v>
      </c>
      <c r="G214" s="171">
        <f>IF(Inputs!G132="Yes",F214,0)</f>
        <v>36020544.713315822</v>
      </c>
      <c r="H214" s="178">
        <f t="shared" ref="H214:H219" si="92">IF($G$220=0,0,G214/$G$220)*100</f>
        <v>100</v>
      </c>
      <c r="I214" s="174">
        <f t="shared" ref="I214:I219" si="93">$I$220*H214/100</f>
        <v>0</v>
      </c>
      <c r="J214" s="175">
        <f>I214*0.5</f>
        <v>0</v>
      </c>
      <c r="K214" s="172">
        <f t="shared" ref="K214:K219" si="94">H214/100*$K$220</f>
        <v>0</v>
      </c>
      <c r="L214" s="175">
        <f>K214*0.5</f>
        <v>0</v>
      </c>
      <c r="M214" s="168">
        <f t="shared" ref="M214:M219" si="95">IF(itc_sta_amount_deprbas_sta="Yes",L214,0)+IF(itc_sta_percent_deprbas_sta="Yes",J214,0)</f>
        <v>0</v>
      </c>
      <c r="N214" s="168">
        <f t="shared" ref="N214:N219" si="96">IF(itc_fed_amount_deprbas_sta="Yes",L347,0)+IF(itc_fed_percent_deprbas_sta="Yes",J347,0)</f>
        <v>5403081.7069973731</v>
      </c>
      <c r="O214" s="176">
        <f t="shared" ref="O214:O219" si="97">F214-M214-N214</f>
        <v>30617463.00631845</v>
      </c>
      <c r="P214" s="168">
        <f t="shared" ref="P214:P219" si="98">IF(depr_bonus_sta="Yes",O214*depr_bonus_sta/100,0)</f>
        <v>0</v>
      </c>
      <c r="Q214" s="170">
        <f>O214-P214</f>
        <v>30617463.00631845</v>
      </c>
    </row>
    <row r="215" spans="1:42" s="17" customFormat="1" x14ac:dyDescent="0.2">
      <c r="A215" s="42" t="str">
        <f>Inputs!B133</f>
        <v>15-yr MACRS</v>
      </c>
      <c r="B215" s="291">
        <f>IF(Inputs!$C$139=0,0,depr_alloc_macrs_15_percent*100/Inputs!$C$139)</f>
        <v>1.5463917525773196</v>
      </c>
      <c r="C215" s="168">
        <f>-$B$80*depr_alloc_macrs_15_percent/100</f>
        <v>600342.41188859707</v>
      </c>
      <c r="D215" s="168">
        <f>$B215/100*D$220</f>
        <v>0</v>
      </c>
      <c r="E215" s="168">
        <f t="shared" ref="E215:E219" si="99">$B215/100*E$220</f>
        <v>0</v>
      </c>
      <c r="F215" s="170">
        <f t="shared" ref="F215:F219" si="100">C215-D215-E215</f>
        <v>600342.41188859707</v>
      </c>
      <c r="G215" s="172">
        <f>IF(Inputs!G133="Yes",F215,0)</f>
        <v>0</v>
      </c>
      <c r="H215" s="179">
        <f t="shared" si="92"/>
        <v>0</v>
      </c>
      <c r="I215" s="168">
        <f t="shared" si="93"/>
        <v>0</v>
      </c>
      <c r="J215" s="177">
        <f t="shared" ref="J215:J219" si="101">I215*0.5</f>
        <v>0</v>
      </c>
      <c r="K215" s="172">
        <f t="shared" si="94"/>
        <v>0</v>
      </c>
      <c r="L215" s="177">
        <f t="shared" ref="L215:L219" si="102">K215*0.5</f>
        <v>0</v>
      </c>
      <c r="M215" s="168">
        <f t="shared" si="95"/>
        <v>0</v>
      </c>
      <c r="N215" s="168">
        <f t="shared" si="96"/>
        <v>0</v>
      </c>
      <c r="O215" s="170">
        <f t="shared" si="97"/>
        <v>600342.41188859707</v>
      </c>
      <c r="P215" s="168">
        <f t="shared" si="98"/>
        <v>0</v>
      </c>
      <c r="Q215" s="170">
        <f t="shared" ref="Q215:Q219" si="103">O215-P215</f>
        <v>600342.41188859707</v>
      </c>
    </row>
    <row r="216" spans="1:42" s="17" customFormat="1" x14ac:dyDescent="0.2">
      <c r="A216" s="42" t="str">
        <f>Inputs!B134</f>
        <v>5-yr SL</v>
      </c>
      <c r="B216" s="291">
        <f>IF(Inputs!$C$139=0,0,depr_alloc_sl_5_percent*100/Inputs!$C$139)</f>
        <v>0</v>
      </c>
      <c r="C216" s="168">
        <f>-$B$80*depr_alloc_sl_5_percent/100</f>
        <v>0</v>
      </c>
      <c r="D216" s="168">
        <f t="shared" ref="D216:D219" si="104">$B216/100*D$220</f>
        <v>0</v>
      </c>
      <c r="E216" s="168">
        <f t="shared" si="99"/>
        <v>0</v>
      </c>
      <c r="F216" s="170">
        <f t="shared" si="100"/>
        <v>0</v>
      </c>
      <c r="G216" s="172">
        <f>IF(Inputs!G134="Yes",F216,0)</f>
        <v>0</v>
      </c>
      <c r="H216" s="179">
        <f t="shared" si="92"/>
        <v>0</v>
      </c>
      <c r="I216" s="168">
        <f t="shared" si="93"/>
        <v>0</v>
      </c>
      <c r="J216" s="177">
        <f t="shared" si="101"/>
        <v>0</v>
      </c>
      <c r="K216" s="172">
        <f t="shared" si="94"/>
        <v>0</v>
      </c>
      <c r="L216" s="177">
        <f t="shared" si="102"/>
        <v>0</v>
      </c>
      <c r="M216" s="168">
        <f t="shared" si="95"/>
        <v>0</v>
      </c>
      <c r="N216" s="168">
        <f t="shared" si="96"/>
        <v>0</v>
      </c>
      <c r="O216" s="170">
        <f t="shared" si="97"/>
        <v>0</v>
      </c>
      <c r="P216" s="168">
        <f t="shared" si="98"/>
        <v>0</v>
      </c>
      <c r="Q216" s="170">
        <f t="shared" si="103"/>
        <v>0</v>
      </c>
    </row>
    <row r="217" spans="1:42" s="17" customFormat="1" x14ac:dyDescent="0.2">
      <c r="A217" s="42" t="str">
        <f>Inputs!B135</f>
        <v>15-yr SL</v>
      </c>
      <c r="B217" s="291">
        <f>IF(Inputs!$C$139=0,0,depr_alloc_sl_15_percent*100/Inputs!$C$139)</f>
        <v>2.5773195876288661</v>
      </c>
      <c r="C217" s="168">
        <f>-$B$80*depr_alloc_sl_15_percent/100</f>
        <v>1000570.6864809952</v>
      </c>
      <c r="D217" s="168">
        <f t="shared" si="104"/>
        <v>0</v>
      </c>
      <c r="E217" s="168">
        <f t="shared" si="99"/>
        <v>0</v>
      </c>
      <c r="F217" s="170">
        <f t="shared" si="100"/>
        <v>1000570.6864809952</v>
      </c>
      <c r="G217" s="172">
        <f>IF(Inputs!G135="Yes",F217,0)</f>
        <v>0</v>
      </c>
      <c r="H217" s="179">
        <f t="shared" si="92"/>
        <v>0</v>
      </c>
      <c r="I217" s="168">
        <f t="shared" si="93"/>
        <v>0</v>
      </c>
      <c r="J217" s="177">
        <f t="shared" si="101"/>
        <v>0</v>
      </c>
      <c r="K217" s="172">
        <f t="shared" si="94"/>
        <v>0</v>
      </c>
      <c r="L217" s="177">
        <f t="shared" si="102"/>
        <v>0</v>
      </c>
      <c r="M217" s="168">
        <f t="shared" si="95"/>
        <v>0</v>
      </c>
      <c r="N217" s="168">
        <f t="shared" si="96"/>
        <v>0</v>
      </c>
      <c r="O217" s="170">
        <f t="shared" si="97"/>
        <v>1000570.6864809952</v>
      </c>
      <c r="P217" s="168">
        <f t="shared" si="98"/>
        <v>0</v>
      </c>
      <c r="Q217" s="170">
        <f t="shared" si="103"/>
        <v>1000570.6864809952</v>
      </c>
    </row>
    <row r="218" spans="1:42" s="17" customFormat="1" x14ac:dyDescent="0.2">
      <c r="A218" s="42" t="str">
        <f>Inputs!B136</f>
        <v>20-yr SL</v>
      </c>
      <c r="B218" s="291">
        <f>IF(Inputs!$C$139=0,0,depr_alloc_sl_20_percent*100/Inputs!$C$139)</f>
        <v>3.0927835051546393</v>
      </c>
      <c r="C218" s="168">
        <f>-$B$80*depr_alloc_sl_20_percent/100</f>
        <v>1200684.8237771941</v>
      </c>
      <c r="D218" s="168">
        <f t="shared" si="104"/>
        <v>0</v>
      </c>
      <c r="E218" s="168">
        <f t="shared" si="99"/>
        <v>0</v>
      </c>
      <c r="F218" s="170">
        <f t="shared" si="100"/>
        <v>1200684.8237771941</v>
      </c>
      <c r="G218" s="172">
        <f>IF(Inputs!G136="Yes",F218,0)</f>
        <v>0</v>
      </c>
      <c r="H218" s="179">
        <f t="shared" si="92"/>
        <v>0</v>
      </c>
      <c r="I218" s="168">
        <f t="shared" si="93"/>
        <v>0</v>
      </c>
      <c r="J218" s="177">
        <f t="shared" si="101"/>
        <v>0</v>
      </c>
      <c r="K218" s="172">
        <f t="shared" si="94"/>
        <v>0</v>
      </c>
      <c r="L218" s="177">
        <f t="shared" si="102"/>
        <v>0</v>
      </c>
      <c r="M218" s="168">
        <f t="shared" si="95"/>
        <v>0</v>
      </c>
      <c r="N218" s="168">
        <f t="shared" si="96"/>
        <v>0</v>
      </c>
      <c r="O218" s="170">
        <f t="shared" si="97"/>
        <v>1200684.8237771941</v>
      </c>
      <c r="P218" s="168">
        <f t="shared" si="98"/>
        <v>0</v>
      </c>
      <c r="Q218" s="170">
        <f t="shared" si="103"/>
        <v>1200684.8237771941</v>
      </c>
    </row>
    <row r="219" spans="1:42" s="17" customFormat="1" x14ac:dyDescent="0.2">
      <c r="A219" s="42" t="str">
        <f>Inputs!B137</f>
        <v>39-yr SL</v>
      </c>
      <c r="B219" s="292">
        <f>IF(Inputs!$C$139=0,0,depr_alloc_sl_39_percent*100/Inputs!$C$139)</f>
        <v>0</v>
      </c>
      <c r="C219" s="168">
        <f>-$B$80*depr_alloc_sl_39_percent/100</f>
        <v>0</v>
      </c>
      <c r="D219" s="168">
        <f t="shared" si="104"/>
        <v>0</v>
      </c>
      <c r="E219" s="168">
        <f t="shared" si="99"/>
        <v>0</v>
      </c>
      <c r="F219" s="170">
        <f t="shared" si="100"/>
        <v>0</v>
      </c>
      <c r="G219" s="172">
        <f>IF(Inputs!G137="Yes",F219,0)</f>
        <v>0</v>
      </c>
      <c r="H219" s="179">
        <f t="shared" si="92"/>
        <v>0</v>
      </c>
      <c r="I219" s="168">
        <f t="shared" si="93"/>
        <v>0</v>
      </c>
      <c r="J219" s="177">
        <f t="shared" si="101"/>
        <v>0</v>
      </c>
      <c r="K219" s="172">
        <f t="shared" si="94"/>
        <v>0</v>
      </c>
      <c r="L219" s="177">
        <f t="shared" si="102"/>
        <v>0</v>
      </c>
      <c r="M219" s="183">
        <f t="shared" si="95"/>
        <v>0</v>
      </c>
      <c r="N219" s="169">
        <f t="shared" si="96"/>
        <v>0</v>
      </c>
      <c r="O219" s="173">
        <f t="shared" si="97"/>
        <v>0</v>
      </c>
      <c r="P219" s="169">
        <f t="shared" si="98"/>
        <v>0</v>
      </c>
      <c r="Q219" s="173">
        <f t="shared" si="103"/>
        <v>0</v>
      </c>
    </row>
    <row r="220" spans="1:42" s="17" customFormat="1" x14ac:dyDescent="0.2">
      <c r="A220" s="42" t="s">
        <v>13</v>
      </c>
      <c r="B220" s="292">
        <f>SUM(B214:B219)</f>
        <v>100</v>
      </c>
      <c r="C220" s="186">
        <f>SUM(C214:C219)</f>
        <v>38822142.635462604</v>
      </c>
      <c r="D220" s="186">
        <f>B229+B235</f>
        <v>0</v>
      </c>
      <c r="E220" s="186">
        <f>B241</f>
        <v>0</v>
      </c>
      <c r="F220" s="276">
        <f>SUM(F214:F219)</f>
        <v>38822142.635462604</v>
      </c>
      <c r="G220" s="184">
        <f>SUM(G214:G219)</f>
        <v>36020544.713315822</v>
      </c>
      <c r="H220" s="180">
        <f>SUM(H214:H219)</f>
        <v>100</v>
      </c>
      <c r="I220" s="186">
        <f>MIN(itc_sta_percent_maxvalue,itc_sta_percent/100*G220)</f>
        <v>0</v>
      </c>
      <c r="J220" s="186">
        <f>SUM(J214:J219)</f>
        <v>0</v>
      </c>
      <c r="K220" s="184">
        <f>itc_sta_amount</f>
        <v>0</v>
      </c>
      <c r="L220" s="187">
        <f t="shared" ref="L220:Q220" si="105">SUM(L214:L219)</f>
        <v>0</v>
      </c>
      <c r="M220" s="169">
        <f t="shared" si="105"/>
        <v>0</v>
      </c>
      <c r="N220" s="169">
        <f t="shared" si="105"/>
        <v>5403081.7069973731</v>
      </c>
      <c r="O220" s="173">
        <f t="shared" si="105"/>
        <v>33419060.928465236</v>
      </c>
      <c r="P220" s="173">
        <f>SUM(P214:P219)</f>
        <v>0</v>
      </c>
      <c r="Q220" s="173">
        <f t="shared" si="105"/>
        <v>33419060.928465236</v>
      </c>
    </row>
    <row r="221" spans="1:42" s="127" customFormat="1" x14ac:dyDescent="0.2">
      <c r="A221" s="4"/>
      <c r="B221" s="4"/>
    </row>
    <row r="222" spans="1:42" s="127" customFormat="1" x14ac:dyDescent="0.2">
      <c r="A222" s="4" t="s">
        <v>72</v>
      </c>
      <c r="B222" s="4"/>
    </row>
    <row r="223" spans="1:42" s="127" customFormat="1" x14ac:dyDescent="0.2">
      <c r="A223" s="122" t="str">
        <f>A492</f>
        <v>Investment Based Incentive (IBI)</v>
      </c>
      <c r="B223" s="4"/>
    </row>
    <row r="224" spans="1:42" s="127" customFormat="1" x14ac:dyDescent="0.2">
      <c r="A224" s="28" t="str">
        <f t="shared" ref="A224:A235" si="106">A493</f>
        <v>As fixed amount</v>
      </c>
      <c r="B224" s="4"/>
    </row>
    <row r="225" spans="1:2" s="127" customFormat="1" x14ac:dyDescent="0.2">
      <c r="A225" s="124" t="str">
        <f t="shared" si="106"/>
        <v>Federal ($)</v>
      </c>
      <c r="B225" s="224">
        <f>IF(ibi_fed_amount_deprbas_sta="Yes",ibi_fed_amount,0)</f>
        <v>0</v>
      </c>
    </row>
    <row r="226" spans="1:2" s="127" customFormat="1" x14ac:dyDescent="0.2">
      <c r="A226" s="124" t="str">
        <f t="shared" si="106"/>
        <v>State ($)</v>
      </c>
      <c r="B226" s="224">
        <f>IF(ibi_sta_amount_deprbas_sta="Yes",ibi_sta_amount,0)</f>
        <v>0</v>
      </c>
    </row>
    <row r="227" spans="1:2" s="127" customFormat="1" x14ac:dyDescent="0.2">
      <c r="A227" s="124" t="str">
        <f t="shared" si="106"/>
        <v>Utility ($)</v>
      </c>
      <c r="B227" s="224">
        <f>IF(ibi_uti_amount_deprbas_sta="Yes",ibi_uti_amount,0)</f>
        <v>0</v>
      </c>
    </row>
    <row r="228" spans="1:2" s="127" customFormat="1" x14ac:dyDescent="0.2">
      <c r="A228" s="124" t="str">
        <f t="shared" si="106"/>
        <v>Other ($)</v>
      </c>
      <c r="B228" s="225">
        <f>IF(ibi_oth_amount_deprbas_sta="Yes",ibi_oth_amount,0)</f>
        <v>0</v>
      </c>
    </row>
    <row r="229" spans="1:2" s="127" customFormat="1" x14ac:dyDescent="0.2">
      <c r="A229" s="124" t="str">
        <f t="shared" si="106"/>
        <v>Total</v>
      </c>
      <c r="B229" s="224">
        <f>SUM(B225:B228)</f>
        <v>0</v>
      </c>
    </row>
    <row r="230" spans="1:2" s="127" customFormat="1" x14ac:dyDescent="0.2">
      <c r="A230" s="28" t="str">
        <f t="shared" si="106"/>
        <v>As percentage</v>
      </c>
      <c r="B230" s="4"/>
    </row>
    <row r="231" spans="1:2" s="127" customFormat="1" x14ac:dyDescent="0.2">
      <c r="A231" s="124" t="str">
        <f t="shared" si="106"/>
        <v>Federal (% of total installed cost)</v>
      </c>
      <c r="B231" s="224">
        <f>IF(ibi_fed_percent_deprbas_sta="Yes",C500,0)</f>
        <v>0</v>
      </c>
    </row>
    <row r="232" spans="1:2" s="127" customFormat="1" x14ac:dyDescent="0.2">
      <c r="A232" s="124" t="str">
        <f>A501</f>
        <v>State (% of total installed cost)</v>
      </c>
      <c r="B232" s="224">
        <f>IF(ibi_sta_percent_deprbas_sta="Yes",C501,0)</f>
        <v>0</v>
      </c>
    </row>
    <row r="233" spans="1:2" s="127" customFormat="1" x14ac:dyDescent="0.2">
      <c r="A233" s="124" t="str">
        <f t="shared" si="106"/>
        <v>Utility (% of total installed cost)</v>
      </c>
      <c r="B233" s="224">
        <f>IF(ibi_uti_percent_deprbas_sta="Yes",C502,0)</f>
        <v>0</v>
      </c>
    </row>
    <row r="234" spans="1:2" s="127" customFormat="1" x14ac:dyDescent="0.2">
      <c r="A234" s="124" t="str">
        <f t="shared" si="106"/>
        <v>Other (% of total installed cost)</v>
      </c>
      <c r="B234" s="225">
        <f>IF(ibi_oth_percent_deprbas_sta="Yes",C503,0)</f>
        <v>0</v>
      </c>
    </row>
    <row r="235" spans="1:2" s="127" customFormat="1" x14ac:dyDescent="0.2">
      <c r="A235" s="124" t="str">
        <f t="shared" si="106"/>
        <v>Total</v>
      </c>
      <c r="B235" s="224">
        <f>SUM(B231:B234)</f>
        <v>0</v>
      </c>
    </row>
    <row r="236" spans="1:2" s="127" customFormat="1" x14ac:dyDescent="0.2">
      <c r="A236" s="122" t="str">
        <f t="shared" ref="A236:A241" si="107">A506</f>
        <v>Capacity Based Incentive (CBI)</v>
      </c>
      <c r="B236" s="4"/>
    </row>
    <row r="237" spans="1:2" s="127" customFormat="1" x14ac:dyDescent="0.2">
      <c r="A237" s="28" t="str">
        <f t="shared" si="107"/>
        <v>Federal ($/W)</v>
      </c>
      <c r="B237" s="224">
        <f>IF(cbi_fed_deprbas_sta="Yes",C507,0)</f>
        <v>0</v>
      </c>
    </row>
    <row r="238" spans="1:2" s="127" customFormat="1" x14ac:dyDescent="0.2">
      <c r="A238" s="28" t="str">
        <f t="shared" si="107"/>
        <v>State ($/W)</v>
      </c>
      <c r="B238" s="224">
        <f>IF(cbi_sta_deprbas_sta="Yes",C508,0)</f>
        <v>0</v>
      </c>
    </row>
    <row r="239" spans="1:2" s="127" customFormat="1" x14ac:dyDescent="0.2">
      <c r="A239" s="28" t="str">
        <f t="shared" si="107"/>
        <v>Utility ($/W)</v>
      </c>
      <c r="B239" s="224">
        <f>IF(cbi_uti_deprbas_sta="Yes",C509,0)</f>
        <v>0</v>
      </c>
    </row>
    <row r="240" spans="1:2" s="127" customFormat="1" x14ac:dyDescent="0.2">
      <c r="A240" s="28" t="str">
        <f t="shared" si="107"/>
        <v>Other ($/W)</v>
      </c>
      <c r="B240" s="224">
        <f>IF(cbi_oth_deprbas_sta="Yes",C510,0)</f>
        <v>0</v>
      </c>
    </row>
    <row r="241" spans="1:42" s="127" customFormat="1" x14ac:dyDescent="0.2">
      <c r="A241" s="28" t="str">
        <f t="shared" si="107"/>
        <v>Total</v>
      </c>
      <c r="B241" s="223">
        <f>SUM(B237:B240)</f>
        <v>0</v>
      </c>
    </row>
    <row r="242" spans="1:42" s="127" customFormat="1" x14ac:dyDescent="0.2">
      <c r="A242" s="122" t="s">
        <v>60</v>
      </c>
      <c r="B242" s="224">
        <f>B229+B235+B241</f>
        <v>0</v>
      </c>
    </row>
    <row r="243" spans="1:42" s="127" customFormat="1" x14ac:dyDescent="0.2">
      <c r="A243" s="4"/>
      <c r="B243" s="4"/>
    </row>
    <row r="244" spans="1:42" s="127" customFormat="1" x14ac:dyDescent="0.2">
      <c r="A244" s="4" t="s">
        <v>98</v>
      </c>
      <c r="B244" s="4"/>
    </row>
    <row r="245" spans="1:42" s="127" customFormat="1" x14ac:dyDescent="0.2">
      <c r="A245" s="28" t="s">
        <v>66</v>
      </c>
      <c r="B245" s="4"/>
    </row>
    <row r="246" spans="1:42" x14ac:dyDescent="0.2">
      <c r="A246" s="34" t="str">
        <f t="shared" ref="A246:A251" si="108">A214</f>
        <v>5-yr MACRS</v>
      </c>
      <c r="B246" s="230">
        <f t="array" ref="B246">SUM(IF(ISNUMBER(C246:AP246),C246:AP246))</f>
        <v>100</v>
      </c>
      <c r="C246" s="231">
        <f>LOOKUP(C$2,'Depreciation Schedules'!$A$3:$A$42,'Depreciation Schedules'!$B$3:$B$42)</f>
        <v>20</v>
      </c>
      <c r="D246" s="231">
        <f>LOOKUP(D$2,'Depreciation Schedules'!$A$3:$A$42,'Depreciation Schedules'!$B$3:$B$42)</f>
        <v>32</v>
      </c>
      <c r="E246" s="231">
        <f>LOOKUP(E$2,'Depreciation Schedules'!$A$3:$A$42,'Depreciation Schedules'!$B$3:$B$42)</f>
        <v>19.2</v>
      </c>
      <c r="F246" s="231">
        <f>LOOKUP(F$2,'Depreciation Schedules'!$A$3:$A$42,'Depreciation Schedules'!$B$3:$B$42)</f>
        <v>11.52</v>
      </c>
      <c r="G246" s="231">
        <f>LOOKUP(G$2,'Depreciation Schedules'!$A$3:$A$42,'Depreciation Schedules'!$B$3:$B$42)</f>
        <v>11.52</v>
      </c>
      <c r="H246" s="231">
        <f>LOOKUP(H$2,'Depreciation Schedules'!$A$3:$A$42,'Depreciation Schedules'!$B$3:$B$42)</f>
        <v>5.76</v>
      </c>
      <c r="I246" s="231">
        <f>LOOKUP(I$2,'Depreciation Schedules'!$A$3:$A$42,'Depreciation Schedules'!$B$3:$B$42)</f>
        <v>0</v>
      </c>
      <c r="J246" s="231">
        <f>LOOKUP(J$2,'Depreciation Schedules'!$A$3:$A$42,'Depreciation Schedules'!$B$3:$B$42)</f>
        <v>0</v>
      </c>
      <c r="K246" s="231">
        <f>LOOKUP(K$2,'Depreciation Schedules'!$A$3:$A$42,'Depreciation Schedules'!$B$3:$B$42)</f>
        <v>0</v>
      </c>
      <c r="L246" s="231">
        <f>LOOKUP(L$2,'Depreciation Schedules'!$A$3:$A$42,'Depreciation Schedules'!$B$3:$B$42)</f>
        <v>0</v>
      </c>
      <c r="M246" s="231">
        <f>LOOKUP(M$2,'Depreciation Schedules'!$A$3:$A$42,'Depreciation Schedules'!$B$3:$B$42)</f>
        <v>0</v>
      </c>
      <c r="N246" s="231">
        <f>LOOKUP(N$2,'Depreciation Schedules'!$A$3:$A$42,'Depreciation Schedules'!$B$3:$B$42)</f>
        <v>0</v>
      </c>
      <c r="O246" s="231">
        <f>LOOKUP(O$2,'Depreciation Schedules'!$A$3:$A$42,'Depreciation Schedules'!$B$3:$B$42)</f>
        <v>0</v>
      </c>
      <c r="P246" s="231">
        <f>LOOKUP(P$2,'Depreciation Schedules'!$A$3:$A$42,'Depreciation Schedules'!$B$3:$B$42)</f>
        <v>0</v>
      </c>
      <c r="Q246" s="231">
        <f>LOOKUP(Q$2,'Depreciation Schedules'!$A$3:$A$42,'Depreciation Schedules'!$B$3:$B$42)</f>
        <v>0</v>
      </c>
      <c r="R246" s="231">
        <f>LOOKUP(R$2,'Depreciation Schedules'!$A$3:$A$42,'Depreciation Schedules'!$B$3:$B$42)</f>
        <v>0</v>
      </c>
      <c r="S246" s="231">
        <f>LOOKUP(S$2,'Depreciation Schedules'!$A$3:$A$42,'Depreciation Schedules'!$B$3:$B$42)</f>
        <v>0</v>
      </c>
      <c r="T246" s="231">
        <f>LOOKUP(T$2,'Depreciation Schedules'!$A$3:$A$42,'Depreciation Schedules'!$B$3:$B$42)</f>
        <v>0</v>
      </c>
      <c r="U246" s="231">
        <f>LOOKUP(U$2,'Depreciation Schedules'!$A$3:$A$42,'Depreciation Schedules'!$B$3:$B$42)</f>
        <v>0</v>
      </c>
      <c r="V246" s="231">
        <f>LOOKUP(V$2,'Depreciation Schedules'!$A$3:$A$42,'Depreciation Schedules'!$B$3:$B$42)</f>
        <v>0</v>
      </c>
      <c r="W246" s="231">
        <f>LOOKUP(W$2,'Depreciation Schedules'!$A$3:$A$42,'Depreciation Schedules'!$B$3:$B$42)</f>
        <v>0</v>
      </c>
      <c r="X246" s="231">
        <f>LOOKUP(X$2,'Depreciation Schedules'!$A$3:$A$42,'Depreciation Schedules'!$B$3:$B$42)</f>
        <v>0</v>
      </c>
      <c r="Y246" s="231">
        <f>LOOKUP(Y$2,'Depreciation Schedules'!$A$3:$A$42,'Depreciation Schedules'!$B$3:$B$42)</f>
        <v>0</v>
      </c>
      <c r="Z246" s="231">
        <f>LOOKUP(Z$2,'Depreciation Schedules'!$A$3:$A$42,'Depreciation Schedules'!$B$3:$B$42)</f>
        <v>0</v>
      </c>
      <c r="AA246" s="231">
        <f>LOOKUP(AA$2,'Depreciation Schedules'!$A$3:$A$42,'Depreciation Schedules'!$B$3:$B$42)</f>
        <v>0</v>
      </c>
      <c r="AB246" s="231" t="e">
        <f>LOOKUP(AB$2,'Depreciation Schedules'!$A$3:$A$42,'Depreciation Schedules'!$B$3:$B$42)</f>
        <v>#N/A</v>
      </c>
      <c r="AC246" s="231" t="e">
        <f>LOOKUP(AC$2,'Depreciation Schedules'!$A$3:$A$42,'Depreciation Schedules'!$B$3:$B$42)</f>
        <v>#N/A</v>
      </c>
      <c r="AD246" s="231" t="e">
        <f>LOOKUP(AD$2,'Depreciation Schedules'!$A$3:$A$42,'Depreciation Schedules'!$B$3:$B$42)</f>
        <v>#N/A</v>
      </c>
      <c r="AE246" s="231" t="e">
        <f>LOOKUP(AE$2,'Depreciation Schedules'!$A$3:$A$42,'Depreciation Schedules'!$B$3:$B$42)</f>
        <v>#N/A</v>
      </c>
      <c r="AF246" s="231" t="e">
        <f>LOOKUP(AF$2,'Depreciation Schedules'!$A$3:$A$42,'Depreciation Schedules'!$B$3:$B$42)</f>
        <v>#N/A</v>
      </c>
      <c r="AG246" s="231" t="e">
        <f>LOOKUP(AG$2,'Depreciation Schedules'!$A$3:$A$42,'Depreciation Schedules'!$B$3:$B$42)</f>
        <v>#N/A</v>
      </c>
      <c r="AH246" s="231" t="e">
        <f>LOOKUP(AH$2,'Depreciation Schedules'!$A$3:$A$42,'Depreciation Schedules'!$B$3:$B$42)</f>
        <v>#N/A</v>
      </c>
      <c r="AI246" s="231" t="e">
        <f>LOOKUP(AI$2,'Depreciation Schedules'!$A$3:$A$42,'Depreciation Schedules'!$B$3:$B$42)</f>
        <v>#N/A</v>
      </c>
      <c r="AJ246" s="231" t="e">
        <f>LOOKUP(AJ$2,'Depreciation Schedules'!$A$3:$A$42,'Depreciation Schedules'!$B$3:$B$42)</f>
        <v>#N/A</v>
      </c>
      <c r="AK246" s="231" t="e">
        <f>LOOKUP(AK$2,'Depreciation Schedules'!$A$3:$A$42,'Depreciation Schedules'!$B$3:$B$42)</f>
        <v>#N/A</v>
      </c>
      <c r="AL246" s="231" t="e">
        <f>LOOKUP(AL$2,'Depreciation Schedules'!$A$3:$A$42,'Depreciation Schedules'!$B$3:$B$42)</f>
        <v>#N/A</v>
      </c>
      <c r="AM246" s="231" t="e">
        <f>LOOKUP(AM$2,'Depreciation Schedules'!$A$3:$A$42,'Depreciation Schedules'!$B$3:$B$42)</f>
        <v>#N/A</v>
      </c>
      <c r="AN246" s="231" t="e">
        <f>LOOKUP(AN$2,'Depreciation Schedules'!$A$3:$A$42,'Depreciation Schedules'!$B$3:$B$42)</f>
        <v>#N/A</v>
      </c>
      <c r="AO246" s="231" t="e">
        <f>LOOKUP(AO$2,'Depreciation Schedules'!$A$3:$A$42,'Depreciation Schedules'!$B$3:$B$42)</f>
        <v>#N/A</v>
      </c>
      <c r="AP246" s="231" t="e">
        <f>LOOKUP(AP$2,'Depreciation Schedules'!$A$3:$A$42,'Depreciation Schedules'!$B$3:$B$42)</f>
        <v>#N/A</v>
      </c>
    </row>
    <row r="247" spans="1:42" x14ac:dyDescent="0.2">
      <c r="A247" s="34" t="str">
        <f t="shared" si="108"/>
        <v>15-yr MACRS</v>
      </c>
      <c r="B247" s="230">
        <f t="array" ref="B247">SUM(IF(ISNUMBER(C247:AP247),C247:AP247))</f>
        <v>99.990000000000009</v>
      </c>
      <c r="C247" s="231">
        <f>LOOKUP(C$2,'Depreciation Schedules'!$A$3:$A$42,'Depreciation Schedules'!$C$3:$C$42)</f>
        <v>5</v>
      </c>
      <c r="D247" s="231">
        <f>LOOKUP(D$2,'Depreciation Schedules'!$A$3:$A$42,'Depreciation Schedules'!$C$3:$C$42)</f>
        <v>9.5</v>
      </c>
      <c r="E247" s="231">
        <f>LOOKUP(E$2,'Depreciation Schedules'!$A$3:$A$42,'Depreciation Schedules'!$C$3:$C$42)</f>
        <v>8.5500000000000007</v>
      </c>
      <c r="F247" s="231">
        <f>LOOKUP(F$2,'Depreciation Schedules'!$A$3:$A$42,'Depreciation Schedules'!$C$3:$C$42)</f>
        <v>7.7</v>
      </c>
      <c r="G247" s="231">
        <f>LOOKUP(G$2,'Depreciation Schedules'!$A$3:$A$42,'Depreciation Schedules'!$C$3:$C$42)</f>
        <v>6.93</v>
      </c>
      <c r="H247" s="231">
        <f>LOOKUP(H$2,'Depreciation Schedules'!$A$3:$A$42,'Depreciation Schedules'!$C$3:$C$42)</f>
        <v>6.23</v>
      </c>
      <c r="I247" s="231">
        <f>LOOKUP(I$2,'Depreciation Schedules'!$A$3:$A$42,'Depreciation Schedules'!$C$3:$C$42)</f>
        <v>5.9</v>
      </c>
      <c r="J247" s="231">
        <f>LOOKUP(J$2,'Depreciation Schedules'!$A$3:$A$42,'Depreciation Schedules'!$C$3:$C$42)</f>
        <v>5.9</v>
      </c>
      <c r="K247" s="231">
        <f>LOOKUP(K$2,'Depreciation Schedules'!$A$3:$A$42,'Depreciation Schedules'!$C$3:$C$42)</f>
        <v>5.91</v>
      </c>
      <c r="L247" s="231">
        <f>LOOKUP(L$2,'Depreciation Schedules'!$A$3:$A$42,'Depreciation Schedules'!$C$3:$C$42)</f>
        <v>5.9</v>
      </c>
      <c r="M247" s="231">
        <f>LOOKUP(M$2,'Depreciation Schedules'!$A$3:$A$42,'Depreciation Schedules'!$C$3:$C$42)</f>
        <v>5.91</v>
      </c>
      <c r="N247" s="231">
        <f>LOOKUP(N$2,'Depreciation Schedules'!$A$3:$A$42,'Depreciation Schedules'!$C$3:$C$42)</f>
        <v>5.9</v>
      </c>
      <c r="O247" s="231">
        <f>LOOKUP(O$2,'Depreciation Schedules'!$A$3:$A$42,'Depreciation Schedules'!$C$3:$C$42)</f>
        <v>5.91</v>
      </c>
      <c r="P247" s="231">
        <f>LOOKUP(P$2,'Depreciation Schedules'!$A$3:$A$42,'Depreciation Schedules'!$C$3:$C$42)</f>
        <v>5.9</v>
      </c>
      <c r="Q247" s="231">
        <f>LOOKUP(Q$2,'Depreciation Schedules'!$A$3:$A$42,'Depreciation Schedules'!$C$3:$C$42)</f>
        <v>5.9</v>
      </c>
      <c r="R247" s="231">
        <f>LOOKUP(R$2,'Depreciation Schedules'!$A$3:$A$42,'Depreciation Schedules'!$C$3:$C$42)</f>
        <v>2.95</v>
      </c>
      <c r="S247" s="231">
        <f>LOOKUP(S$2,'Depreciation Schedules'!$A$3:$A$42,'Depreciation Schedules'!$C$3:$C$42)</f>
        <v>0</v>
      </c>
      <c r="T247" s="231">
        <f>LOOKUP(T$2,'Depreciation Schedules'!$A$3:$A$42,'Depreciation Schedules'!$C$3:$C$42)</f>
        <v>0</v>
      </c>
      <c r="U247" s="231">
        <f>LOOKUP(U$2,'Depreciation Schedules'!$A$3:$A$42,'Depreciation Schedules'!$C$3:$C$42)</f>
        <v>0</v>
      </c>
      <c r="V247" s="231">
        <f>LOOKUP(V$2,'Depreciation Schedules'!$A$3:$A$42,'Depreciation Schedules'!$C$3:$C$42)</f>
        <v>0</v>
      </c>
      <c r="W247" s="231">
        <f>LOOKUP(W$2,'Depreciation Schedules'!$A$3:$A$42,'Depreciation Schedules'!$C$3:$C$42)</f>
        <v>0</v>
      </c>
      <c r="X247" s="231">
        <f>LOOKUP(X$2,'Depreciation Schedules'!$A$3:$A$42,'Depreciation Schedules'!$C$3:$C$42)</f>
        <v>0</v>
      </c>
      <c r="Y247" s="231">
        <f>LOOKUP(Y$2,'Depreciation Schedules'!$A$3:$A$42,'Depreciation Schedules'!$C$3:$C$42)</f>
        <v>0</v>
      </c>
      <c r="Z247" s="231">
        <f>LOOKUP(Z$2,'Depreciation Schedules'!$A$3:$A$42,'Depreciation Schedules'!$C$3:$C$42)</f>
        <v>0</v>
      </c>
      <c r="AA247" s="231">
        <f>LOOKUP(AA$2,'Depreciation Schedules'!$A$3:$A$42,'Depreciation Schedules'!$C$3:$C$42)</f>
        <v>0</v>
      </c>
      <c r="AB247" s="231" t="e">
        <f>LOOKUP(AB$2,'Depreciation Schedules'!$A$3:$A$42,'Depreciation Schedules'!$C$3:$C$42)</f>
        <v>#N/A</v>
      </c>
      <c r="AC247" s="231" t="e">
        <f>LOOKUP(AC$2,'Depreciation Schedules'!$A$3:$A$42,'Depreciation Schedules'!$C$3:$C$42)</f>
        <v>#N/A</v>
      </c>
      <c r="AD247" s="231" t="e">
        <f>LOOKUP(AD$2,'Depreciation Schedules'!$A$3:$A$42,'Depreciation Schedules'!$C$3:$C$42)</f>
        <v>#N/A</v>
      </c>
      <c r="AE247" s="231" t="e">
        <f>LOOKUP(AE$2,'Depreciation Schedules'!$A$3:$A$42,'Depreciation Schedules'!$C$3:$C$42)</f>
        <v>#N/A</v>
      </c>
      <c r="AF247" s="231" t="e">
        <f>LOOKUP(AF$2,'Depreciation Schedules'!$A$3:$A$42,'Depreciation Schedules'!$C$3:$C$42)</f>
        <v>#N/A</v>
      </c>
      <c r="AG247" s="231" t="e">
        <f>LOOKUP(AG$2,'Depreciation Schedules'!$A$3:$A$42,'Depreciation Schedules'!$C$3:$C$42)</f>
        <v>#N/A</v>
      </c>
      <c r="AH247" s="231" t="e">
        <f>LOOKUP(AH$2,'Depreciation Schedules'!$A$3:$A$42,'Depreciation Schedules'!$C$3:$C$42)</f>
        <v>#N/A</v>
      </c>
      <c r="AI247" s="231" t="e">
        <f>LOOKUP(AI$2,'Depreciation Schedules'!$A$3:$A$42,'Depreciation Schedules'!$C$3:$C$42)</f>
        <v>#N/A</v>
      </c>
      <c r="AJ247" s="231" t="e">
        <f>LOOKUP(AJ$2,'Depreciation Schedules'!$A$3:$A$42,'Depreciation Schedules'!$C$3:$C$42)</f>
        <v>#N/A</v>
      </c>
      <c r="AK247" s="231" t="e">
        <f>LOOKUP(AK$2,'Depreciation Schedules'!$A$3:$A$42,'Depreciation Schedules'!$C$3:$C$42)</f>
        <v>#N/A</v>
      </c>
      <c r="AL247" s="231" t="e">
        <f>LOOKUP(AL$2,'Depreciation Schedules'!$A$3:$A$42,'Depreciation Schedules'!$C$3:$C$42)</f>
        <v>#N/A</v>
      </c>
      <c r="AM247" s="231" t="e">
        <f>LOOKUP(AM$2,'Depreciation Schedules'!$A$3:$A$42,'Depreciation Schedules'!$C$3:$C$42)</f>
        <v>#N/A</v>
      </c>
      <c r="AN247" s="231" t="e">
        <f>LOOKUP(AN$2,'Depreciation Schedules'!$A$3:$A$42,'Depreciation Schedules'!$C$3:$C$42)</f>
        <v>#N/A</v>
      </c>
      <c r="AO247" s="231" t="e">
        <f>LOOKUP(AO$2,'Depreciation Schedules'!$A$3:$A$42,'Depreciation Schedules'!$C$3:$C$42)</f>
        <v>#N/A</v>
      </c>
      <c r="AP247" s="231" t="e">
        <f>LOOKUP(AP$2,'Depreciation Schedules'!$A$3:$A$42,'Depreciation Schedules'!$C$3:$C$42)</f>
        <v>#N/A</v>
      </c>
    </row>
    <row r="248" spans="1:42" x14ac:dyDescent="0.2">
      <c r="A248" s="34" t="str">
        <f t="shared" si="108"/>
        <v>5-yr SL</v>
      </c>
      <c r="B248" s="230">
        <f t="array" ref="B248">SUM(IF(ISNUMBER(C248:AP248),C248:AP248))</f>
        <v>100</v>
      </c>
      <c r="C248" s="231">
        <f>LOOKUP(C$2,'Depreciation Schedules'!$A$3:$A$42,'Depreciation Schedules'!$D$3:$D$42)</f>
        <v>10</v>
      </c>
      <c r="D248" s="231">
        <f>LOOKUP(D$2,'Depreciation Schedules'!$A$3:$A$42,'Depreciation Schedules'!$D$3:$D$42)</f>
        <v>20</v>
      </c>
      <c r="E248" s="231">
        <f>LOOKUP(E$2,'Depreciation Schedules'!$A$3:$A$42,'Depreciation Schedules'!$D$3:$D$42)</f>
        <v>20</v>
      </c>
      <c r="F248" s="231">
        <f>LOOKUP(F$2,'Depreciation Schedules'!$A$3:$A$42,'Depreciation Schedules'!$D$3:$D$42)</f>
        <v>20</v>
      </c>
      <c r="G248" s="231">
        <f>LOOKUP(G$2,'Depreciation Schedules'!$A$3:$A$42,'Depreciation Schedules'!$D$3:$D$42)</f>
        <v>20</v>
      </c>
      <c r="H248" s="231">
        <f>LOOKUP(H$2,'Depreciation Schedules'!$A$3:$A$42,'Depreciation Schedules'!$D$3:$D$42)</f>
        <v>10</v>
      </c>
      <c r="I248" s="231">
        <f>LOOKUP(I$2,'Depreciation Schedules'!$A$3:$A$42,'Depreciation Schedules'!$D$3:$D$42)</f>
        <v>0</v>
      </c>
      <c r="J248" s="231">
        <f>LOOKUP(J$2,'Depreciation Schedules'!$A$3:$A$42,'Depreciation Schedules'!$D$3:$D$42)</f>
        <v>0</v>
      </c>
      <c r="K248" s="231">
        <f>LOOKUP(K$2,'Depreciation Schedules'!$A$3:$A$42,'Depreciation Schedules'!$D$3:$D$42)</f>
        <v>0</v>
      </c>
      <c r="L248" s="231">
        <f>LOOKUP(L$2,'Depreciation Schedules'!$A$3:$A$42,'Depreciation Schedules'!$D$3:$D$42)</f>
        <v>0</v>
      </c>
      <c r="M248" s="231">
        <f>LOOKUP(M$2,'Depreciation Schedules'!$A$3:$A$42,'Depreciation Schedules'!$D$3:$D$42)</f>
        <v>0</v>
      </c>
      <c r="N248" s="231">
        <f>LOOKUP(N$2,'Depreciation Schedules'!$A$3:$A$42,'Depreciation Schedules'!$D$3:$D$42)</f>
        <v>0</v>
      </c>
      <c r="O248" s="231">
        <f>LOOKUP(O$2,'Depreciation Schedules'!$A$3:$A$42,'Depreciation Schedules'!$D$3:$D$42)</f>
        <v>0</v>
      </c>
      <c r="P248" s="231">
        <f>LOOKUP(P$2,'Depreciation Schedules'!$A$3:$A$42,'Depreciation Schedules'!$D$3:$D$42)</f>
        <v>0</v>
      </c>
      <c r="Q248" s="231">
        <f>LOOKUP(Q$2,'Depreciation Schedules'!$A$3:$A$42,'Depreciation Schedules'!$D$3:$D$42)</f>
        <v>0</v>
      </c>
      <c r="R248" s="231">
        <f>LOOKUP(R$2,'Depreciation Schedules'!$A$3:$A$42,'Depreciation Schedules'!$D$3:$D$42)</f>
        <v>0</v>
      </c>
      <c r="S248" s="231">
        <f>LOOKUP(S$2,'Depreciation Schedules'!$A$3:$A$42,'Depreciation Schedules'!$D$3:$D$42)</f>
        <v>0</v>
      </c>
      <c r="T248" s="231">
        <f>LOOKUP(T$2,'Depreciation Schedules'!$A$3:$A$42,'Depreciation Schedules'!$D$3:$D$42)</f>
        <v>0</v>
      </c>
      <c r="U248" s="231">
        <f>LOOKUP(U$2,'Depreciation Schedules'!$A$3:$A$42,'Depreciation Schedules'!$D$3:$D$42)</f>
        <v>0</v>
      </c>
      <c r="V248" s="231">
        <f>LOOKUP(V$2,'Depreciation Schedules'!$A$3:$A$42,'Depreciation Schedules'!$D$3:$D$42)</f>
        <v>0</v>
      </c>
      <c r="W248" s="231">
        <f>LOOKUP(W$2,'Depreciation Schedules'!$A$3:$A$42,'Depreciation Schedules'!$D$3:$D$42)</f>
        <v>0</v>
      </c>
      <c r="X248" s="231">
        <f>LOOKUP(X$2,'Depreciation Schedules'!$A$3:$A$42,'Depreciation Schedules'!$D$3:$D$42)</f>
        <v>0</v>
      </c>
      <c r="Y248" s="231">
        <f>LOOKUP(Y$2,'Depreciation Schedules'!$A$3:$A$42,'Depreciation Schedules'!$D$3:$D$42)</f>
        <v>0</v>
      </c>
      <c r="Z248" s="231">
        <f>LOOKUP(Z$2,'Depreciation Schedules'!$A$3:$A$42,'Depreciation Schedules'!$D$3:$D$42)</f>
        <v>0</v>
      </c>
      <c r="AA248" s="231">
        <f>LOOKUP(AA$2,'Depreciation Schedules'!$A$3:$A$42,'Depreciation Schedules'!$D$3:$D$42)</f>
        <v>0</v>
      </c>
      <c r="AB248" s="231" t="e">
        <f>LOOKUP(AB$2,'Depreciation Schedules'!$A$3:$A$42,'Depreciation Schedules'!$D$3:$D$42)</f>
        <v>#N/A</v>
      </c>
      <c r="AC248" s="231" t="e">
        <f>LOOKUP(AC$2,'Depreciation Schedules'!$A$3:$A$42,'Depreciation Schedules'!$D$3:$D$42)</f>
        <v>#N/A</v>
      </c>
      <c r="AD248" s="231" t="e">
        <f>LOOKUP(AD$2,'Depreciation Schedules'!$A$3:$A$42,'Depreciation Schedules'!$D$3:$D$42)</f>
        <v>#N/A</v>
      </c>
      <c r="AE248" s="231" t="e">
        <f>LOOKUP(AE$2,'Depreciation Schedules'!$A$3:$A$42,'Depreciation Schedules'!$D$3:$D$42)</f>
        <v>#N/A</v>
      </c>
      <c r="AF248" s="231" t="e">
        <f>LOOKUP(AF$2,'Depreciation Schedules'!$A$3:$A$42,'Depreciation Schedules'!$D$3:$D$42)</f>
        <v>#N/A</v>
      </c>
      <c r="AG248" s="231" t="e">
        <f>LOOKUP(AG$2,'Depreciation Schedules'!$A$3:$A$42,'Depreciation Schedules'!$D$3:$D$42)</f>
        <v>#N/A</v>
      </c>
      <c r="AH248" s="231" t="e">
        <f>LOOKUP(AH$2,'Depreciation Schedules'!$A$3:$A$42,'Depreciation Schedules'!$D$3:$D$42)</f>
        <v>#N/A</v>
      </c>
      <c r="AI248" s="231" t="e">
        <f>LOOKUP(AI$2,'Depreciation Schedules'!$A$3:$A$42,'Depreciation Schedules'!$D$3:$D$42)</f>
        <v>#N/A</v>
      </c>
      <c r="AJ248" s="231" t="e">
        <f>LOOKUP(AJ$2,'Depreciation Schedules'!$A$3:$A$42,'Depreciation Schedules'!$D$3:$D$42)</f>
        <v>#N/A</v>
      </c>
      <c r="AK248" s="231" t="e">
        <f>LOOKUP(AK$2,'Depreciation Schedules'!$A$3:$A$42,'Depreciation Schedules'!$D$3:$D$42)</f>
        <v>#N/A</v>
      </c>
      <c r="AL248" s="231" t="e">
        <f>LOOKUP(AL$2,'Depreciation Schedules'!$A$3:$A$42,'Depreciation Schedules'!$D$3:$D$42)</f>
        <v>#N/A</v>
      </c>
      <c r="AM248" s="231" t="e">
        <f>LOOKUP(AM$2,'Depreciation Schedules'!$A$3:$A$42,'Depreciation Schedules'!$D$3:$D$42)</f>
        <v>#N/A</v>
      </c>
      <c r="AN248" s="231" t="e">
        <f>LOOKUP(AN$2,'Depreciation Schedules'!$A$3:$A$42,'Depreciation Schedules'!$D$3:$D$42)</f>
        <v>#N/A</v>
      </c>
      <c r="AO248" s="231" t="e">
        <f>LOOKUP(AO$2,'Depreciation Schedules'!$A$3:$A$42,'Depreciation Schedules'!$D$3:$D$42)</f>
        <v>#N/A</v>
      </c>
      <c r="AP248" s="231" t="e">
        <f>LOOKUP(AP$2,'Depreciation Schedules'!$A$3:$A$42,'Depreciation Schedules'!$D$3:$D$42)</f>
        <v>#N/A</v>
      </c>
    </row>
    <row r="249" spans="1:42" x14ac:dyDescent="0.2">
      <c r="A249" s="34" t="str">
        <f t="shared" si="108"/>
        <v>15-yr SL</v>
      </c>
      <c r="B249" s="230">
        <f t="array" ref="B249">SUM(IF(ISNUMBER(C249:AP249),C249:AP249))</f>
        <v>100.02000000000001</v>
      </c>
      <c r="C249" s="231">
        <f>LOOKUP(C$2,'Depreciation Schedules'!$A$3:$A$42,'Depreciation Schedules'!$E$3:$E$42)</f>
        <v>3.33</v>
      </c>
      <c r="D249" s="231">
        <f>LOOKUP(D$2,'Depreciation Schedules'!$A$3:$A$42,'Depreciation Schedules'!$E$3:$E$42)</f>
        <v>6.67</v>
      </c>
      <c r="E249" s="231">
        <f>LOOKUP(E$2,'Depreciation Schedules'!$A$3:$A$42,'Depreciation Schedules'!$E$3:$E$42)</f>
        <v>6.67</v>
      </c>
      <c r="F249" s="231">
        <f>LOOKUP(F$2,'Depreciation Schedules'!$A$3:$A$42,'Depreciation Schedules'!$E$3:$E$42)</f>
        <v>6.67</v>
      </c>
      <c r="G249" s="231">
        <f>LOOKUP(G$2,'Depreciation Schedules'!$A$3:$A$42,'Depreciation Schedules'!$E$3:$E$42)</f>
        <v>6.67</v>
      </c>
      <c r="H249" s="231">
        <f>LOOKUP(H$2,'Depreciation Schedules'!$A$3:$A$42,'Depreciation Schedules'!$E$3:$E$42)</f>
        <v>6.67</v>
      </c>
      <c r="I249" s="231">
        <f>LOOKUP(I$2,'Depreciation Schedules'!$A$3:$A$42,'Depreciation Schedules'!$E$3:$E$42)</f>
        <v>6.67</v>
      </c>
      <c r="J249" s="231">
        <f>LOOKUP(J$2,'Depreciation Schedules'!$A$3:$A$42,'Depreciation Schedules'!$E$3:$E$42)</f>
        <v>6.67</v>
      </c>
      <c r="K249" s="231">
        <f>LOOKUP(K$2,'Depreciation Schedules'!$A$3:$A$42,'Depreciation Schedules'!$E$3:$E$42)</f>
        <v>6.67</v>
      </c>
      <c r="L249" s="231">
        <f>LOOKUP(L$2,'Depreciation Schedules'!$A$3:$A$42,'Depreciation Schedules'!$E$3:$E$42)</f>
        <v>6.67</v>
      </c>
      <c r="M249" s="231">
        <f>LOOKUP(M$2,'Depreciation Schedules'!$A$3:$A$42,'Depreciation Schedules'!$E$3:$E$42)</f>
        <v>6.67</v>
      </c>
      <c r="N249" s="231">
        <f>LOOKUP(N$2,'Depreciation Schedules'!$A$3:$A$42,'Depreciation Schedules'!$E$3:$E$42)</f>
        <v>6.66</v>
      </c>
      <c r="O249" s="231">
        <f>LOOKUP(O$2,'Depreciation Schedules'!$A$3:$A$42,'Depreciation Schedules'!$E$3:$E$42)</f>
        <v>6.67</v>
      </c>
      <c r="P249" s="231">
        <f>LOOKUP(P$2,'Depreciation Schedules'!$A$3:$A$42,'Depreciation Schedules'!$E$3:$E$42)</f>
        <v>6.66</v>
      </c>
      <c r="Q249" s="231">
        <f>LOOKUP(Q$2,'Depreciation Schedules'!$A$3:$A$42,'Depreciation Schedules'!$E$3:$E$42)</f>
        <v>6.67</v>
      </c>
      <c r="R249" s="231">
        <f>LOOKUP(R$2,'Depreciation Schedules'!$A$3:$A$42,'Depreciation Schedules'!$E$3:$E$42)</f>
        <v>3.33</v>
      </c>
      <c r="S249" s="231">
        <f>LOOKUP(S$2,'Depreciation Schedules'!$A$3:$A$42,'Depreciation Schedules'!$E$3:$E$42)</f>
        <v>0</v>
      </c>
      <c r="T249" s="231">
        <f>LOOKUP(T$2,'Depreciation Schedules'!$A$3:$A$42,'Depreciation Schedules'!$E$3:$E$42)</f>
        <v>0</v>
      </c>
      <c r="U249" s="231">
        <f>LOOKUP(U$2,'Depreciation Schedules'!$A$3:$A$42,'Depreciation Schedules'!$E$3:$E$42)</f>
        <v>0</v>
      </c>
      <c r="V249" s="231">
        <f>LOOKUP(V$2,'Depreciation Schedules'!$A$3:$A$42,'Depreciation Schedules'!$E$3:$E$42)</f>
        <v>0</v>
      </c>
      <c r="W249" s="231">
        <f>LOOKUP(W$2,'Depreciation Schedules'!$A$3:$A$42,'Depreciation Schedules'!$E$3:$E$42)</f>
        <v>0</v>
      </c>
      <c r="X249" s="231">
        <f>LOOKUP(X$2,'Depreciation Schedules'!$A$3:$A$42,'Depreciation Schedules'!$E$3:$E$42)</f>
        <v>0</v>
      </c>
      <c r="Y249" s="231">
        <f>LOOKUP(Y$2,'Depreciation Schedules'!$A$3:$A$42,'Depreciation Schedules'!$E$3:$E$42)</f>
        <v>0</v>
      </c>
      <c r="Z249" s="231">
        <f>LOOKUP(Z$2,'Depreciation Schedules'!$A$3:$A$42,'Depreciation Schedules'!$E$3:$E$42)</f>
        <v>0</v>
      </c>
      <c r="AA249" s="231">
        <f>LOOKUP(AA$2,'Depreciation Schedules'!$A$3:$A$42,'Depreciation Schedules'!$E$3:$E$42)</f>
        <v>0</v>
      </c>
      <c r="AB249" s="231" t="e">
        <f>LOOKUP(AB$2,'Depreciation Schedules'!$A$3:$A$42,'Depreciation Schedules'!$E$3:$E$42)</f>
        <v>#N/A</v>
      </c>
      <c r="AC249" s="231" t="e">
        <f>LOOKUP(AC$2,'Depreciation Schedules'!$A$3:$A$42,'Depreciation Schedules'!$E$3:$E$42)</f>
        <v>#N/A</v>
      </c>
      <c r="AD249" s="231" t="e">
        <f>LOOKUP(AD$2,'Depreciation Schedules'!$A$3:$A$42,'Depreciation Schedules'!$E$3:$E$42)</f>
        <v>#N/A</v>
      </c>
      <c r="AE249" s="231" t="e">
        <f>LOOKUP(AE$2,'Depreciation Schedules'!$A$3:$A$42,'Depreciation Schedules'!$E$3:$E$42)</f>
        <v>#N/A</v>
      </c>
      <c r="AF249" s="231" t="e">
        <f>LOOKUP(AF$2,'Depreciation Schedules'!$A$3:$A$42,'Depreciation Schedules'!$E$3:$E$42)</f>
        <v>#N/A</v>
      </c>
      <c r="AG249" s="231" t="e">
        <f>LOOKUP(AG$2,'Depreciation Schedules'!$A$3:$A$42,'Depreciation Schedules'!$E$3:$E$42)</f>
        <v>#N/A</v>
      </c>
      <c r="AH249" s="231" t="e">
        <f>LOOKUP(AH$2,'Depreciation Schedules'!$A$3:$A$42,'Depreciation Schedules'!$E$3:$E$42)</f>
        <v>#N/A</v>
      </c>
      <c r="AI249" s="231" t="e">
        <f>LOOKUP(AI$2,'Depreciation Schedules'!$A$3:$A$42,'Depreciation Schedules'!$E$3:$E$42)</f>
        <v>#N/A</v>
      </c>
      <c r="AJ249" s="231" t="e">
        <f>LOOKUP(AJ$2,'Depreciation Schedules'!$A$3:$A$42,'Depreciation Schedules'!$E$3:$E$42)</f>
        <v>#N/A</v>
      </c>
      <c r="AK249" s="231" t="e">
        <f>LOOKUP(AK$2,'Depreciation Schedules'!$A$3:$A$42,'Depreciation Schedules'!$E$3:$E$42)</f>
        <v>#N/A</v>
      </c>
      <c r="AL249" s="231" t="e">
        <f>LOOKUP(AL$2,'Depreciation Schedules'!$A$3:$A$42,'Depreciation Schedules'!$E$3:$E$42)</f>
        <v>#N/A</v>
      </c>
      <c r="AM249" s="231" t="e">
        <f>LOOKUP(AM$2,'Depreciation Schedules'!$A$3:$A$42,'Depreciation Schedules'!$E$3:$E$42)</f>
        <v>#N/A</v>
      </c>
      <c r="AN249" s="231" t="e">
        <f>LOOKUP(AN$2,'Depreciation Schedules'!$A$3:$A$42,'Depreciation Schedules'!$E$3:$E$42)</f>
        <v>#N/A</v>
      </c>
      <c r="AO249" s="231" t="e">
        <f>LOOKUP(AO$2,'Depreciation Schedules'!$A$3:$A$42,'Depreciation Schedules'!$E$3:$E$42)</f>
        <v>#N/A</v>
      </c>
      <c r="AP249" s="231" t="e">
        <f>LOOKUP(AP$2,'Depreciation Schedules'!$A$3:$A$42,'Depreciation Schedules'!$E$3:$E$42)</f>
        <v>#N/A</v>
      </c>
    </row>
    <row r="250" spans="1:42" x14ac:dyDescent="0.2">
      <c r="A250" s="34" t="str">
        <f t="shared" si="108"/>
        <v>20-yr SL</v>
      </c>
      <c r="B250" s="230">
        <f t="array" ref="B250">SUM(IF(ISNUMBER(C250:AP250),C250:AP250))</f>
        <v>100</v>
      </c>
      <c r="C250" s="231">
        <f>LOOKUP(C$2,'Depreciation Schedules'!$A$3:$A$42,'Depreciation Schedules'!$F$3:$F$42)</f>
        <v>2.5</v>
      </c>
      <c r="D250" s="231">
        <f>LOOKUP(D$2,'Depreciation Schedules'!$A$3:$A$42,'Depreciation Schedules'!$F$3:$F$42)</f>
        <v>5</v>
      </c>
      <c r="E250" s="231">
        <f>LOOKUP(E$2,'Depreciation Schedules'!$A$3:$A$42,'Depreciation Schedules'!$F$3:$F$42)</f>
        <v>5</v>
      </c>
      <c r="F250" s="231">
        <f>LOOKUP(F$2,'Depreciation Schedules'!$A$3:$A$42,'Depreciation Schedules'!$F$3:$F$42)</f>
        <v>5</v>
      </c>
      <c r="G250" s="231">
        <f>LOOKUP(G$2,'Depreciation Schedules'!$A$3:$A$42,'Depreciation Schedules'!$F$3:$F$42)</f>
        <v>5</v>
      </c>
      <c r="H250" s="231">
        <f>LOOKUP(H$2,'Depreciation Schedules'!$A$3:$A$42,'Depreciation Schedules'!$F$3:$F$42)</f>
        <v>5</v>
      </c>
      <c r="I250" s="231">
        <f>LOOKUP(I$2,'Depreciation Schedules'!$A$3:$A$42,'Depreciation Schedules'!$F$3:$F$42)</f>
        <v>5</v>
      </c>
      <c r="J250" s="231">
        <f>LOOKUP(J$2,'Depreciation Schedules'!$A$3:$A$42,'Depreciation Schedules'!$F$3:$F$42)</f>
        <v>5</v>
      </c>
      <c r="K250" s="231">
        <f>LOOKUP(K$2,'Depreciation Schedules'!$A$3:$A$42,'Depreciation Schedules'!$F$3:$F$42)</f>
        <v>5</v>
      </c>
      <c r="L250" s="231">
        <f>LOOKUP(L$2,'Depreciation Schedules'!$A$3:$A$42,'Depreciation Schedules'!$F$3:$F$42)</f>
        <v>5</v>
      </c>
      <c r="M250" s="231">
        <f>LOOKUP(M$2,'Depreciation Schedules'!$A$3:$A$42,'Depreciation Schedules'!$F$3:$F$42)</f>
        <v>5</v>
      </c>
      <c r="N250" s="231">
        <f>LOOKUP(N$2,'Depreciation Schedules'!$A$3:$A$42,'Depreciation Schedules'!$F$3:$F$42)</f>
        <v>5</v>
      </c>
      <c r="O250" s="231">
        <f>LOOKUP(O$2,'Depreciation Schedules'!$A$3:$A$42,'Depreciation Schedules'!$F$3:$F$42)</f>
        <v>5</v>
      </c>
      <c r="P250" s="231">
        <f>LOOKUP(P$2,'Depreciation Schedules'!$A$3:$A$42,'Depreciation Schedules'!$F$3:$F$42)</f>
        <v>5</v>
      </c>
      <c r="Q250" s="231">
        <f>LOOKUP(Q$2,'Depreciation Schedules'!$A$3:$A$42,'Depreciation Schedules'!$F$3:$F$42)</f>
        <v>5</v>
      </c>
      <c r="R250" s="231">
        <f>LOOKUP(R$2,'Depreciation Schedules'!$A$3:$A$42,'Depreciation Schedules'!$F$3:$F$42)</f>
        <v>5</v>
      </c>
      <c r="S250" s="231">
        <f>LOOKUP(S$2,'Depreciation Schedules'!$A$3:$A$42,'Depreciation Schedules'!$F$3:$F$42)</f>
        <v>5</v>
      </c>
      <c r="T250" s="231">
        <f>LOOKUP(T$2,'Depreciation Schedules'!$A$3:$A$42,'Depreciation Schedules'!$F$3:$F$42)</f>
        <v>5</v>
      </c>
      <c r="U250" s="231">
        <f>LOOKUP(U$2,'Depreciation Schedules'!$A$3:$A$42,'Depreciation Schedules'!$F$3:$F$42)</f>
        <v>5</v>
      </c>
      <c r="V250" s="231">
        <f>LOOKUP(V$2,'Depreciation Schedules'!$A$3:$A$42,'Depreciation Schedules'!$F$3:$F$42)</f>
        <v>5</v>
      </c>
      <c r="W250" s="231">
        <f>LOOKUP(W$2,'Depreciation Schedules'!$A$3:$A$42,'Depreciation Schedules'!$F$3:$F$42)</f>
        <v>2.5</v>
      </c>
      <c r="X250" s="231">
        <f>LOOKUP(X$2,'Depreciation Schedules'!$A$3:$A$42,'Depreciation Schedules'!$F$3:$F$42)</f>
        <v>0</v>
      </c>
      <c r="Y250" s="231">
        <f>LOOKUP(Y$2,'Depreciation Schedules'!$A$3:$A$42,'Depreciation Schedules'!$F$3:$F$42)</f>
        <v>0</v>
      </c>
      <c r="Z250" s="231">
        <f>LOOKUP(Z$2,'Depreciation Schedules'!$A$3:$A$42,'Depreciation Schedules'!$F$3:$F$42)</f>
        <v>0</v>
      </c>
      <c r="AA250" s="231">
        <f>LOOKUP(AA$2,'Depreciation Schedules'!$A$3:$A$42,'Depreciation Schedules'!$F$3:$F$42)</f>
        <v>0</v>
      </c>
      <c r="AB250" s="231" t="e">
        <f>LOOKUP(AB$2,'Depreciation Schedules'!$A$3:$A$42,'Depreciation Schedules'!$F$3:$F$42)</f>
        <v>#N/A</v>
      </c>
      <c r="AC250" s="231" t="e">
        <f>LOOKUP(AC$2,'Depreciation Schedules'!$A$3:$A$42,'Depreciation Schedules'!$F$3:$F$42)</f>
        <v>#N/A</v>
      </c>
      <c r="AD250" s="231" t="e">
        <f>LOOKUP(AD$2,'Depreciation Schedules'!$A$3:$A$42,'Depreciation Schedules'!$F$3:$F$42)</f>
        <v>#N/A</v>
      </c>
      <c r="AE250" s="231" t="e">
        <f>LOOKUP(AE$2,'Depreciation Schedules'!$A$3:$A$42,'Depreciation Schedules'!$F$3:$F$42)</f>
        <v>#N/A</v>
      </c>
      <c r="AF250" s="231" t="e">
        <f>LOOKUP(AF$2,'Depreciation Schedules'!$A$3:$A$42,'Depreciation Schedules'!$F$3:$F$42)</f>
        <v>#N/A</v>
      </c>
      <c r="AG250" s="231" t="e">
        <f>LOOKUP(AG$2,'Depreciation Schedules'!$A$3:$A$42,'Depreciation Schedules'!$F$3:$F$42)</f>
        <v>#N/A</v>
      </c>
      <c r="AH250" s="231" t="e">
        <f>LOOKUP(AH$2,'Depreciation Schedules'!$A$3:$A$42,'Depreciation Schedules'!$F$3:$F$42)</f>
        <v>#N/A</v>
      </c>
      <c r="AI250" s="231" t="e">
        <f>LOOKUP(AI$2,'Depreciation Schedules'!$A$3:$A$42,'Depreciation Schedules'!$F$3:$F$42)</f>
        <v>#N/A</v>
      </c>
      <c r="AJ250" s="231" t="e">
        <f>LOOKUP(AJ$2,'Depreciation Schedules'!$A$3:$A$42,'Depreciation Schedules'!$F$3:$F$42)</f>
        <v>#N/A</v>
      </c>
      <c r="AK250" s="231" t="e">
        <f>LOOKUP(AK$2,'Depreciation Schedules'!$A$3:$A$42,'Depreciation Schedules'!$F$3:$F$42)</f>
        <v>#N/A</v>
      </c>
      <c r="AL250" s="231" t="e">
        <f>LOOKUP(AL$2,'Depreciation Schedules'!$A$3:$A$42,'Depreciation Schedules'!$F$3:$F$42)</f>
        <v>#N/A</v>
      </c>
      <c r="AM250" s="231" t="e">
        <f>LOOKUP(AM$2,'Depreciation Schedules'!$A$3:$A$42,'Depreciation Schedules'!$F$3:$F$42)</f>
        <v>#N/A</v>
      </c>
      <c r="AN250" s="231" t="e">
        <f>LOOKUP(AN$2,'Depreciation Schedules'!$A$3:$A$42,'Depreciation Schedules'!$F$3:$F$42)</f>
        <v>#N/A</v>
      </c>
      <c r="AO250" s="231" t="e">
        <f>LOOKUP(AO$2,'Depreciation Schedules'!$A$3:$A$42,'Depreciation Schedules'!$F$3:$F$42)</f>
        <v>#N/A</v>
      </c>
      <c r="AP250" s="231" t="e">
        <f>LOOKUP(AP$2,'Depreciation Schedules'!$A$3:$A$42,'Depreciation Schedules'!$F$3:$F$42)</f>
        <v>#N/A</v>
      </c>
    </row>
    <row r="251" spans="1:42" x14ac:dyDescent="0.2">
      <c r="A251" s="34" t="str">
        <f t="shared" si="108"/>
        <v>39-yr SL</v>
      </c>
      <c r="B251" s="234">
        <f t="array" ref="B251">SUM(IF(ISNUMBER(C251:AP251),C251:AP251))</f>
        <v>62.820512820512739</v>
      </c>
      <c r="C251" s="231">
        <f>LOOKUP(C$2,'Depreciation Schedules'!$A$3:$A$42,'Depreciation Schedules'!$G$3:$G$42)</f>
        <v>1.2820512820512799</v>
      </c>
      <c r="D251" s="231">
        <f>LOOKUP(D$2,'Depreciation Schedules'!$A$3:$A$42,'Depreciation Schedules'!$G$3:$G$42)</f>
        <v>2.5641025641025599</v>
      </c>
      <c r="E251" s="231">
        <f>LOOKUP(E$2,'Depreciation Schedules'!$A$3:$A$42,'Depreciation Schedules'!$G$3:$G$42)</f>
        <v>2.5641025641025599</v>
      </c>
      <c r="F251" s="231">
        <f>LOOKUP(F$2,'Depreciation Schedules'!$A$3:$A$42,'Depreciation Schedules'!$G$3:$G$42)</f>
        <v>2.5641025641025599</v>
      </c>
      <c r="G251" s="231">
        <f>LOOKUP(G$2,'Depreciation Schedules'!$A$3:$A$42,'Depreciation Schedules'!$G$3:$G$42)</f>
        <v>2.5641025641025599</v>
      </c>
      <c r="H251" s="231">
        <f>LOOKUP(H$2,'Depreciation Schedules'!$A$3:$A$42,'Depreciation Schedules'!$G$3:$G$42)</f>
        <v>2.5641025641025599</v>
      </c>
      <c r="I251" s="231">
        <f>LOOKUP(I$2,'Depreciation Schedules'!$A$3:$A$42,'Depreciation Schedules'!$G$3:$G$42)</f>
        <v>2.5641025641025599</v>
      </c>
      <c r="J251" s="231">
        <f>LOOKUP(J$2,'Depreciation Schedules'!$A$3:$A$42,'Depreciation Schedules'!$G$3:$G$42)</f>
        <v>2.5641025641025599</v>
      </c>
      <c r="K251" s="231">
        <f>LOOKUP(K$2,'Depreciation Schedules'!$A$3:$A$42,'Depreciation Schedules'!$G$3:$G$42)</f>
        <v>2.5641025641025599</v>
      </c>
      <c r="L251" s="231">
        <f>LOOKUP(L$2,'Depreciation Schedules'!$A$3:$A$42,'Depreciation Schedules'!$G$3:$G$42)</f>
        <v>2.5641025641025599</v>
      </c>
      <c r="M251" s="231">
        <f>LOOKUP(M$2,'Depreciation Schedules'!$A$3:$A$42,'Depreciation Schedules'!$G$3:$G$42)</f>
        <v>2.5641025641025599</v>
      </c>
      <c r="N251" s="231">
        <f>LOOKUP(N$2,'Depreciation Schedules'!$A$3:$A$42,'Depreciation Schedules'!$G$3:$G$42)</f>
        <v>2.5641025641025599</v>
      </c>
      <c r="O251" s="231">
        <f>LOOKUP(O$2,'Depreciation Schedules'!$A$3:$A$42,'Depreciation Schedules'!$G$3:$G$42)</f>
        <v>2.5641025641025599</v>
      </c>
      <c r="P251" s="231">
        <f>LOOKUP(P$2,'Depreciation Schedules'!$A$3:$A$42,'Depreciation Schedules'!$G$3:$G$42)</f>
        <v>2.5641025641025599</v>
      </c>
      <c r="Q251" s="231">
        <f>LOOKUP(Q$2,'Depreciation Schedules'!$A$3:$A$42,'Depreciation Schedules'!$G$3:$G$42)</f>
        <v>2.5641025641025599</v>
      </c>
      <c r="R251" s="231">
        <f>LOOKUP(R$2,'Depreciation Schedules'!$A$3:$A$42,'Depreciation Schedules'!$G$3:$G$42)</f>
        <v>2.5641025641025599</v>
      </c>
      <c r="S251" s="231">
        <f>LOOKUP(S$2,'Depreciation Schedules'!$A$3:$A$42,'Depreciation Schedules'!$G$3:$G$42)</f>
        <v>2.5641025641025599</v>
      </c>
      <c r="T251" s="231">
        <f>LOOKUP(T$2,'Depreciation Schedules'!$A$3:$A$42,'Depreciation Schedules'!$G$3:$G$42)</f>
        <v>2.5641025641025599</v>
      </c>
      <c r="U251" s="231">
        <f>LOOKUP(U$2,'Depreciation Schedules'!$A$3:$A$42,'Depreciation Schedules'!$G$3:$G$42)</f>
        <v>2.5641025641025599</v>
      </c>
      <c r="V251" s="231">
        <f>LOOKUP(V$2,'Depreciation Schedules'!$A$3:$A$42,'Depreciation Schedules'!$G$3:$G$42)</f>
        <v>2.5641025641025599</v>
      </c>
      <c r="W251" s="231">
        <f>LOOKUP(W$2,'Depreciation Schedules'!$A$3:$A$42,'Depreciation Schedules'!$G$3:$G$42)</f>
        <v>2.5641025641025599</v>
      </c>
      <c r="X251" s="231">
        <f>LOOKUP(X$2,'Depreciation Schedules'!$A$3:$A$42,'Depreciation Schedules'!$G$3:$G$42)</f>
        <v>2.5641025641025599</v>
      </c>
      <c r="Y251" s="231">
        <f>LOOKUP(Y$2,'Depreciation Schedules'!$A$3:$A$42,'Depreciation Schedules'!$G$3:$G$42)</f>
        <v>2.5641025641025599</v>
      </c>
      <c r="Z251" s="231">
        <f>LOOKUP(Z$2,'Depreciation Schedules'!$A$3:$A$42,'Depreciation Schedules'!$G$3:$G$42)</f>
        <v>2.5641025641025599</v>
      </c>
      <c r="AA251" s="231">
        <f>LOOKUP(AA$2,'Depreciation Schedules'!$A$3:$A$42,'Depreciation Schedules'!$G$3:$G$42)</f>
        <v>2.5641025641025599</v>
      </c>
      <c r="AB251" s="231" t="e">
        <f>LOOKUP(AB$2,'Depreciation Schedules'!$A$3:$A$42,'Depreciation Schedules'!$G$3:$G$42)</f>
        <v>#N/A</v>
      </c>
      <c r="AC251" s="231" t="e">
        <f>LOOKUP(AC$2,'Depreciation Schedules'!$A$3:$A$42,'Depreciation Schedules'!$G$3:$G$42)</f>
        <v>#N/A</v>
      </c>
      <c r="AD251" s="231" t="e">
        <f>LOOKUP(AD$2,'Depreciation Schedules'!$A$3:$A$42,'Depreciation Schedules'!$G$3:$G$42)</f>
        <v>#N/A</v>
      </c>
      <c r="AE251" s="231" t="e">
        <f>LOOKUP(AE$2,'Depreciation Schedules'!$A$3:$A$42,'Depreciation Schedules'!$G$3:$G$42)</f>
        <v>#N/A</v>
      </c>
      <c r="AF251" s="231" t="e">
        <f>LOOKUP(AF$2,'Depreciation Schedules'!$A$3:$A$42,'Depreciation Schedules'!$G$3:$G$42)</f>
        <v>#N/A</v>
      </c>
      <c r="AG251" s="231" t="e">
        <f>LOOKUP(AG$2,'Depreciation Schedules'!$A$3:$A$42,'Depreciation Schedules'!$G$3:$G$42)</f>
        <v>#N/A</v>
      </c>
      <c r="AH251" s="231" t="e">
        <f>LOOKUP(AH$2,'Depreciation Schedules'!$A$3:$A$42,'Depreciation Schedules'!$G$3:$G$42)</f>
        <v>#N/A</v>
      </c>
      <c r="AI251" s="231" t="e">
        <f>LOOKUP(AI$2,'Depreciation Schedules'!$A$3:$A$42,'Depreciation Schedules'!$G$3:$G$42)</f>
        <v>#N/A</v>
      </c>
      <c r="AJ251" s="231" t="e">
        <f>LOOKUP(AJ$2,'Depreciation Schedules'!$A$3:$A$42,'Depreciation Schedules'!$G$3:$G$42)</f>
        <v>#N/A</v>
      </c>
      <c r="AK251" s="231" t="e">
        <f>LOOKUP(AK$2,'Depreciation Schedules'!$A$3:$A$42,'Depreciation Schedules'!$G$3:$G$42)</f>
        <v>#N/A</v>
      </c>
      <c r="AL251" s="231" t="e">
        <f>LOOKUP(AL$2,'Depreciation Schedules'!$A$3:$A$42,'Depreciation Schedules'!$G$3:$G$42)</f>
        <v>#N/A</v>
      </c>
      <c r="AM251" s="231" t="e">
        <f>LOOKUP(AM$2,'Depreciation Schedules'!$A$3:$A$42,'Depreciation Schedules'!$G$3:$G$42)</f>
        <v>#N/A</v>
      </c>
      <c r="AN251" s="231" t="e">
        <f>LOOKUP(AN$2,'Depreciation Schedules'!$A$3:$A$42,'Depreciation Schedules'!$G$3:$G$42)</f>
        <v>#N/A</v>
      </c>
      <c r="AO251" s="231" t="e">
        <f>LOOKUP(AO$2,'Depreciation Schedules'!$A$3:$A$42,'Depreciation Schedules'!$G$3:$G$42)</f>
        <v>#N/A</v>
      </c>
      <c r="AP251" s="231" t="e">
        <f>LOOKUP(AP$2,'Depreciation Schedules'!$A$3:$A$42,'Depreciation Schedules'!$G$3:$G$42)</f>
        <v>#N/A</v>
      </c>
    </row>
    <row r="252" spans="1:42" x14ac:dyDescent="0.2">
      <c r="A252" s="28" t="s">
        <v>3</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row>
    <row r="253" spans="1:42" x14ac:dyDescent="0.2">
      <c r="A253" s="34" t="str">
        <f>A246</f>
        <v>5-yr MACRS</v>
      </c>
      <c r="B253" s="235">
        <f>SUM(IF(ISNUMBER(C253:AP253),C253:AP253))</f>
        <v>0</v>
      </c>
      <c r="C253" s="195">
        <f>C246/100*$Q214</f>
        <v>6123492.6012636907</v>
      </c>
      <c r="D253" s="195">
        <f t="shared" ref="D253:AP253" si="109">D246/100*$Q214</f>
        <v>9797588.1620219033</v>
      </c>
      <c r="E253" s="195">
        <f t="shared" si="109"/>
        <v>5878552.8972131424</v>
      </c>
      <c r="F253" s="195">
        <f t="shared" si="109"/>
        <v>3527131.7383278855</v>
      </c>
      <c r="G253" s="195">
        <f t="shared" si="109"/>
        <v>3527131.7383278855</v>
      </c>
      <c r="H253" s="195">
        <f t="shared" si="109"/>
        <v>1763565.8691639428</v>
      </c>
      <c r="I253" s="195">
        <f t="shared" si="109"/>
        <v>0</v>
      </c>
      <c r="J253" s="195">
        <f t="shared" si="109"/>
        <v>0</v>
      </c>
      <c r="K253" s="195">
        <f t="shared" si="109"/>
        <v>0</v>
      </c>
      <c r="L253" s="195">
        <f t="shared" si="109"/>
        <v>0</v>
      </c>
      <c r="M253" s="195">
        <f t="shared" si="109"/>
        <v>0</v>
      </c>
      <c r="N253" s="195">
        <f t="shared" si="109"/>
        <v>0</v>
      </c>
      <c r="O253" s="195">
        <f t="shared" si="109"/>
        <v>0</v>
      </c>
      <c r="P253" s="195">
        <f t="shared" si="109"/>
        <v>0</v>
      </c>
      <c r="Q253" s="195">
        <f t="shared" si="109"/>
        <v>0</v>
      </c>
      <c r="R253" s="195">
        <f t="shared" si="109"/>
        <v>0</v>
      </c>
      <c r="S253" s="195">
        <f t="shared" si="109"/>
        <v>0</v>
      </c>
      <c r="T253" s="195">
        <f t="shared" si="109"/>
        <v>0</v>
      </c>
      <c r="U253" s="195">
        <f t="shared" si="109"/>
        <v>0</v>
      </c>
      <c r="V253" s="195">
        <f t="shared" si="109"/>
        <v>0</v>
      </c>
      <c r="W253" s="195">
        <f t="shared" si="109"/>
        <v>0</v>
      </c>
      <c r="X253" s="195">
        <f t="shared" si="109"/>
        <v>0</v>
      </c>
      <c r="Y253" s="195">
        <f t="shared" si="109"/>
        <v>0</v>
      </c>
      <c r="Z253" s="195">
        <f t="shared" si="109"/>
        <v>0</v>
      </c>
      <c r="AA253" s="195">
        <f t="shared" si="109"/>
        <v>0</v>
      </c>
      <c r="AB253" s="195" t="e">
        <f t="shared" si="109"/>
        <v>#N/A</v>
      </c>
      <c r="AC253" s="195" t="e">
        <f t="shared" si="109"/>
        <v>#N/A</v>
      </c>
      <c r="AD253" s="195" t="e">
        <f t="shared" si="109"/>
        <v>#N/A</v>
      </c>
      <c r="AE253" s="195" t="e">
        <f t="shared" si="109"/>
        <v>#N/A</v>
      </c>
      <c r="AF253" s="195" t="e">
        <f t="shared" si="109"/>
        <v>#N/A</v>
      </c>
      <c r="AG253" s="195" t="e">
        <f t="shared" si="109"/>
        <v>#N/A</v>
      </c>
      <c r="AH253" s="195" t="e">
        <f t="shared" si="109"/>
        <v>#N/A</v>
      </c>
      <c r="AI253" s="195" t="e">
        <f t="shared" si="109"/>
        <v>#N/A</v>
      </c>
      <c r="AJ253" s="195" t="e">
        <f t="shared" si="109"/>
        <v>#N/A</v>
      </c>
      <c r="AK253" s="195" t="e">
        <f t="shared" si="109"/>
        <v>#N/A</v>
      </c>
      <c r="AL253" s="195" t="e">
        <f t="shared" si="109"/>
        <v>#N/A</v>
      </c>
      <c r="AM253" s="195" t="e">
        <f t="shared" si="109"/>
        <v>#N/A</v>
      </c>
      <c r="AN253" s="195" t="e">
        <f t="shared" si="109"/>
        <v>#N/A</v>
      </c>
      <c r="AO253" s="195" t="e">
        <f t="shared" si="109"/>
        <v>#N/A</v>
      </c>
      <c r="AP253" s="195" t="e">
        <f t="shared" si="109"/>
        <v>#N/A</v>
      </c>
    </row>
    <row r="254" spans="1:42" x14ac:dyDescent="0.2">
      <c r="A254" s="34" t="str">
        <f t="shared" ref="A254:A258" si="110">A247</f>
        <v>15-yr MACRS</v>
      </c>
      <c r="B254" s="235">
        <f t="array" ref="B254">SUM(IF(ISNUMBER(C254:AP254),C254:AP254))</f>
        <v>600282.37764740828</v>
      </c>
      <c r="C254" s="195">
        <f t="shared" ref="C254:AP254" si="111">C247/100*$Q215</f>
        <v>30017.120594429856</v>
      </c>
      <c r="D254" s="195">
        <f t="shared" si="111"/>
        <v>57032.529129416725</v>
      </c>
      <c r="E254" s="195">
        <f t="shared" si="111"/>
        <v>51329.276216475053</v>
      </c>
      <c r="F254" s="195">
        <f t="shared" si="111"/>
        <v>46226.365715421976</v>
      </c>
      <c r="G254" s="195">
        <f t="shared" si="111"/>
        <v>41603.729143879777</v>
      </c>
      <c r="H254" s="195">
        <f t="shared" si="111"/>
        <v>37401.332260659598</v>
      </c>
      <c r="I254" s="195">
        <f t="shared" si="111"/>
        <v>35420.202301427227</v>
      </c>
      <c r="J254" s="195">
        <f t="shared" si="111"/>
        <v>35420.202301427227</v>
      </c>
      <c r="K254" s="195">
        <f t="shared" si="111"/>
        <v>35480.236542616083</v>
      </c>
      <c r="L254" s="195">
        <f t="shared" si="111"/>
        <v>35420.202301427227</v>
      </c>
      <c r="M254" s="195">
        <f t="shared" si="111"/>
        <v>35480.236542616083</v>
      </c>
      <c r="N254" s="195">
        <f t="shared" si="111"/>
        <v>35420.202301427227</v>
      </c>
      <c r="O254" s="195">
        <f t="shared" si="111"/>
        <v>35480.236542616083</v>
      </c>
      <c r="P254" s="195">
        <f t="shared" si="111"/>
        <v>35420.202301427227</v>
      </c>
      <c r="Q254" s="195">
        <f t="shared" si="111"/>
        <v>35420.202301427227</v>
      </c>
      <c r="R254" s="195">
        <f t="shared" si="111"/>
        <v>17710.101150713614</v>
      </c>
      <c r="S254" s="195">
        <f t="shared" si="111"/>
        <v>0</v>
      </c>
      <c r="T254" s="195">
        <f t="shared" si="111"/>
        <v>0</v>
      </c>
      <c r="U254" s="195">
        <f t="shared" si="111"/>
        <v>0</v>
      </c>
      <c r="V254" s="195">
        <f t="shared" si="111"/>
        <v>0</v>
      </c>
      <c r="W254" s="195">
        <f t="shared" si="111"/>
        <v>0</v>
      </c>
      <c r="X254" s="195">
        <f t="shared" si="111"/>
        <v>0</v>
      </c>
      <c r="Y254" s="195">
        <f t="shared" si="111"/>
        <v>0</v>
      </c>
      <c r="Z254" s="195">
        <f t="shared" si="111"/>
        <v>0</v>
      </c>
      <c r="AA254" s="195">
        <f t="shared" si="111"/>
        <v>0</v>
      </c>
      <c r="AB254" s="195" t="e">
        <f t="shared" si="111"/>
        <v>#N/A</v>
      </c>
      <c r="AC254" s="195" t="e">
        <f t="shared" si="111"/>
        <v>#N/A</v>
      </c>
      <c r="AD254" s="195" t="e">
        <f t="shared" si="111"/>
        <v>#N/A</v>
      </c>
      <c r="AE254" s="195" t="e">
        <f t="shared" si="111"/>
        <v>#N/A</v>
      </c>
      <c r="AF254" s="195" t="e">
        <f t="shared" si="111"/>
        <v>#N/A</v>
      </c>
      <c r="AG254" s="195" t="e">
        <f t="shared" si="111"/>
        <v>#N/A</v>
      </c>
      <c r="AH254" s="195" t="e">
        <f t="shared" si="111"/>
        <v>#N/A</v>
      </c>
      <c r="AI254" s="195" t="e">
        <f t="shared" si="111"/>
        <v>#N/A</v>
      </c>
      <c r="AJ254" s="195" t="e">
        <f t="shared" si="111"/>
        <v>#N/A</v>
      </c>
      <c r="AK254" s="195" t="e">
        <f t="shared" si="111"/>
        <v>#N/A</v>
      </c>
      <c r="AL254" s="195" t="e">
        <f t="shared" si="111"/>
        <v>#N/A</v>
      </c>
      <c r="AM254" s="195" t="e">
        <f t="shared" si="111"/>
        <v>#N/A</v>
      </c>
      <c r="AN254" s="195" t="e">
        <f t="shared" si="111"/>
        <v>#N/A</v>
      </c>
      <c r="AO254" s="195" t="e">
        <f t="shared" si="111"/>
        <v>#N/A</v>
      </c>
      <c r="AP254" s="195" t="e">
        <f t="shared" si="111"/>
        <v>#N/A</v>
      </c>
    </row>
    <row r="255" spans="1:42" x14ac:dyDescent="0.2">
      <c r="A255" s="34" t="str">
        <f t="shared" si="110"/>
        <v>5-yr SL</v>
      </c>
      <c r="B255" s="235">
        <f t="array" ref="B255">SUM(IF(ISNUMBER(C255:AP255),C255:AP255))</f>
        <v>0</v>
      </c>
      <c r="C255" s="195">
        <f t="shared" ref="C255:AP255" si="112">C248/100*$Q216</f>
        <v>0</v>
      </c>
      <c r="D255" s="195">
        <f t="shared" si="112"/>
        <v>0</v>
      </c>
      <c r="E255" s="195">
        <f t="shared" si="112"/>
        <v>0</v>
      </c>
      <c r="F255" s="195">
        <f t="shared" si="112"/>
        <v>0</v>
      </c>
      <c r="G255" s="195">
        <f t="shared" si="112"/>
        <v>0</v>
      </c>
      <c r="H255" s="195">
        <f t="shared" si="112"/>
        <v>0</v>
      </c>
      <c r="I255" s="195">
        <f t="shared" si="112"/>
        <v>0</v>
      </c>
      <c r="J255" s="195">
        <f t="shared" si="112"/>
        <v>0</v>
      </c>
      <c r="K255" s="195">
        <f t="shared" si="112"/>
        <v>0</v>
      </c>
      <c r="L255" s="195">
        <f t="shared" si="112"/>
        <v>0</v>
      </c>
      <c r="M255" s="195">
        <f t="shared" si="112"/>
        <v>0</v>
      </c>
      <c r="N255" s="195">
        <f t="shared" si="112"/>
        <v>0</v>
      </c>
      <c r="O255" s="195">
        <f t="shared" si="112"/>
        <v>0</v>
      </c>
      <c r="P255" s="195">
        <f t="shared" si="112"/>
        <v>0</v>
      </c>
      <c r="Q255" s="195">
        <f t="shared" si="112"/>
        <v>0</v>
      </c>
      <c r="R255" s="195">
        <f t="shared" si="112"/>
        <v>0</v>
      </c>
      <c r="S255" s="195">
        <f t="shared" si="112"/>
        <v>0</v>
      </c>
      <c r="T255" s="195">
        <f t="shared" si="112"/>
        <v>0</v>
      </c>
      <c r="U255" s="195">
        <f t="shared" si="112"/>
        <v>0</v>
      </c>
      <c r="V255" s="195">
        <f t="shared" si="112"/>
        <v>0</v>
      </c>
      <c r="W255" s="195">
        <f t="shared" si="112"/>
        <v>0</v>
      </c>
      <c r="X255" s="195">
        <f t="shared" si="112"/>
        <v>0</v>
      </c>
      <c r="Y255" s="195">
        <f t="shared" si="112"/>
        <v>0</v>
      </c>
      <c r="Z255" s="195">
        <f t="shared" si="112"/>
        <v>0</v>
      </c>
      <c r="AA255" s="195">
        <f t="shared" si="112"/>
        <v>0</v>
      </c>
      <c r="AB255" s="195" t="e">
        <f t="shared" si="112"/>
        <v>#N/A</v>
      </c>
      <c r="AC255" s="195" t="e">
        <f t="shared" si="112"/>
        <v>#N/A</v>
      </c>
      <c r="AD255" s="195" t="e">
        <f t="shared" si="112"/>
        <v>#N/A</v>
      </c>
      <c r="AE255" s="195" t="e">
        <f t="shared" si="112"/>
        <v>#N/A</v>
      </c>
      <c r="AF255" s="195" t="e">
        <f t="shared" si="112"/>
        <v>#N/A</v>
      </c>
      <c r="AG255" s="195" t="e">
        <f t="shared" si="112"/>
        <v>#N/A</v>
      </c>
      <c r="AH255" s="195" t="e">
        <f t="shared" si="112"/>
        <v>#N/A</v>
      </c>
      <c r="AI255" s="195" t="e">
        <f t="shared" si="112"/>
        <v>#N/A</v>
      </c>
      <c r="AJ255" s="195" t="e">
        <f t="shared" si="112"/>
        <v>#N/A</v>
      </c>
      <c r="AK255" s="195" t="e">
        <f t="shared" si="112"/>
        <v>#N/A</v>
      </c>
      <c r="AL255" s="195" t="e">
        <f t="shared" si="112"/>
        <v>#N/A</v>
      </c>
      <c r="AM255" s="195" t="e">
        <f t="shared" si="112"/>
        <v>#N/A</v>
      </c>
      <c r="AN255" s="195" t="e">
        <f t="shared" si="112"/>
        <v>#N/A</v>
      </c>
      <c r="AO255" s="195" t="e">
        <f t="shared" si="112"/>
        <v>#N/A</v>
      </c>
      <c r="AP255" s="195" t="e">
        <f t="shared" si="112"/>
        <v>#N/A</v>
      </c>
    </row>
    <row r="256" spans="1:42" x14ac:dyDescent="0.2">
      <c r="A256" s="34" t="str">
        <f t="shared" si="110"/>
        <v>15-yr SL</v>
      </c>
      <c r="B256" s="235">
        <f t="array" ref="B256">SUM(IF(ISNUMBER(C256:AP256),C256:AP256))</f>
        <v>1000770.8006182915</v>
      </c>
      <c r="C256" s="195">
        <f t="shared" ref="C256:AP256" si="113">C249/100*$Q217</f>
        <v>33319.003859817145</v>
      </c>
      <c r="D256" s="195">
        <f t="shared" si="113"/>
        <v>66738.064788282369</v>
      </c>
      <c r="E256" s="195">
        <f t="shared" si="113"/>
        <v>66738.064788282369</v>
      </c>
      <c r="F256" s="195">
        <f t="shared" si="113"/>
        <v>66738.064788282369</v>
      </c>
      <c r="G256" s="195">
        <f t="shared" si="113"/>
        <v>66738.064788282369</v>
      </c>
      <c r="H256" s="195">
        <f t="shared" si="113"/>
        <v>66738.064788282369</v>
      </c>
      <c r="I256" s="195">
        <f t="shared" si="113"/>
        <v>66738.064788282369</v>
      </c>
      <c r="J256" s="195">
        <f t="shared" si="113"/>
        <v>66738.064788282369</v>
      </c>
      <c r="K256" s="195">
        <f t="shared" si="113"/>
        <v>66738.064788282369</v>
      </c>
      <c r="L256" s="195">
        <f t="shared" si="113"/>
        <v>66738.064788282369</v>
      </c>
      <c r="M256" s="195">
        <f t="shared" si="113"/>
        <v>66738.064788282369</v>
      </c>
      <c r="N256" s="195">
        <f t="shared" si="113"/>
        <v>66638.00771963429</v>
      </c>
      <c r="O256" s="195">
        <f t="shared" si="113"/>
        <v>66738.064788282369</v>
      </c>
      <c r="P256" s="195">
        <f t="shared" si="113"/>
        <v>66638.00771963429</v>
      </c>
      <c r="Q256" s="195">
        <f t="shared" si="113"/>
        <v>66738.064788282369</v>
      </c>
      <c r="R256" s="195">
        <f t="shared" si="113"/>
        <v>33319.003859817145</v>
      </c>
      <c r="S256" s="195">
        <f t="shared" si="113"/>
        <v>0</v>
      </c>
      <c r="T256" s="195">
        <f t="shared" si="113"/>
        <v>0</v>
      </c>
      <c r="U256" s="195">
        <f t="shared" si="113"/>
        <v>0</v>
      </c>
      <c r="V256" s="195">
        <f t="shared" si="113"/>
        <v>0</v>
      </c>
      <c r="W256" s="195">
        <f t="shared" si="113"/>
        <v>0</v>
      </c>
      <c r="X256" s="195">
        <f t="shared" si="113"/>
        <v>0</v>
      </c>
      <c r="Y256" s="195">
        <f t="shared" si="113"/>
        <v>0</v>
      </c>
      <c r="Z256" s="195">
        <f t="shared" si="113"/>
        <v>0</v>
      </c>
      <c r="AA256" s="195">
        <f t="shared" si="113"/>
        <v>0</v>
      </c>
      <c r="AB256" s="195" t="e">
        <f t="shared" si="113"/>
        <v>#N/A</v>
      </c>
      <c r="AC256" s="195" t="e">
        <f t="shared" si="113"/>
        <v>#N/A</v>
      </c>
      <c r="AD256" s="195" t="e">
        <f t="shared" si="113"/>
        <v>#N/A</v>
      </c>
      <c r="AE256" s="195" t="e">
        <f t="shared" si="113"/>
        <v>#N/A</v>
      </c>
      <c r="AF256" s="195" t="e">
        <f t="shared" si="113"/>
        <v>#N/A</v>
      </c>
      <c r="AG256" s="195" t="e">
        <f t="shared" si="113"/>
        <v>#N/A</v>
      </c>
      <c r="AH256" s="195" t="e">
        <f t="shared" si="113"/>
        <v>#N/A</v>
      </c>
      <c r="AI256" s="195" t="e">
        <f t="shared" si="113"/>
        <v>#N/A</v>
      </c>
      <c r="AJ256" s="195" t="e">
        <f t="shared" si="113"/>
        <v>#N/A</v>
      </c>
      <c r="AK256" s="195" t="e">
        <f t="shared" si="113"/>
        <v>#N/A</v>
      </c>
      <c r="AL256" s="195" t="e">
        <f t="shared" si="113"/>
        <v>#N/A</v>
      </c>
      <c r="AM256" s="195" t="e">
        <f t="shared" si="113"/>
        <v>#N/A</v>
      </c>
      <c r="AN256" s="195" t="e">
        <f t="shared" si="113"/>
        <v>#N/A</v>
      </c>
      <c r="AO256" s="195" t="e">
        <f t="shared" si="113"/>
        <v>#N/A</v>
      </c>
      <c r="AP256" s="195" t="e">
        <f t="shared" si="113"/>
        <v>#N/A</v>
      </c>
    </row>
    <row r="257" spans="1:42" x14ac:dyDescent="0.2">
      <c r="A257" s="34" t="str">
        <f t="shared" si="110"/>
        <v>20-yr SL</v>
      </c>
      <c r="B257" s="235">
        <f t="array" ref="B257">SUM(IF(ISNUMBER(C257:AP257),C257:AP257))</f>
        <v>1200684.8237771941</v>
      </c>
      <c r="C257" s="195">
        <f t="shared" ref="C257:AP257" si="114">C250/100*$Q218</f>
        <v>30017.120594429856</v>
      </c>
      <c r="D257" s="195">
        <f t="shared" si="114"/>
        <v>60034.241188859713</v>
      </c>
      <c r="E257" s="195">
        <f t="shared" si="114"/>
        <v>60034.241188859713</v>
      </c>
      <c r="F257" s="195">
        <f t="shared" si="114"/>
        <v>60034.241188859713</v>
      </c>
      <c r="G257" s="195">
        <f t="shared" si="114"/>
        <v>60034.241188859713</v>
      </c>
      <c r="H257" s="195">
        <f t="shared" si="114"/>
        <v>60034.241188859713</v>
      </c>
      <c r="I257" s="195">
        <f t="shared" si="114"/>
        <v>60034.241188859713</v>
      </c>
      <c r="J257" s="195">
        <f t="shared" si="114"/>
        <v>60034.241188859713</v>
      </c>
      <c r="K257" s="195">
        <f t="shared" si="114"/>
        <v>60034.241188859713</v>
      </c>
      <c r="L257" s="195">
        <f t="shared" si="114"/>
        <v>60034.241188859713</v>
      </c>
      <c r="M257" s="195">
        <f t="shared" si="114"/>
        <v>60034.241188859713</v>
      </c>
      <c r="N257" s="195">
        <f t="shared" si="114"/>
        <v>60034.241188859713</v>
      </c>
      <c r="O257" s="195">
        <f t="shared" si="114"/>
        <v>60034.241188859713</v>
      </c>
      <c r="P257" s="195">
        <f t="shared" si="114"/>
        <v>60034.241188859713</v>
      </c>
      <c r="Q257" s="195">
        <f t="shared" si="114"/>
        <v>60034.241188859713</v>
      </c>
      <c r="R257" s="195">
        <f t="shared" si="114"/>
        <v>60034.241188859713</v>
      </c>
      <c r="S257" s="195">
        <f t="shared" si="114"/>
        <v>60034.241188859713</v>
      </c>
      <c r="T257" s="195">
        <f t="shared" si="114"/>
        <v>60034.241188859713</v>
      </c>
      <c r="U257" s="195">
        <f t="shared" si="114"/>
        <v>60034.241188859713</v>
      </c>
      <c r="V257" s="195">
        <f t="shared" si="114"/>
        <v>60034.241188859713</v>
      </c>
      <c r="W257" s="195">
        <f t="shared" si="114"/>
        <v>30017.120594429856</v>
      </c>
      <c r="X257" s="195">
        <f t="shared" si="114"/>
        <v>0</v>
      </c>
      <c r="Y257" s="195">
        <f t="shared" si="114"/>
        <v>0</v>
      </c>
      <c r="Z257" s="195">
        <f t="shared" si="114"/>
        <v>0</v>
      </c>
      <c r="AA257" s="195">
        <f t="shared" si="114"/>
        <v>0</v>
      </c>
      <c r="AB257" s="195" t="e">
        <f t="shared" si="114"/>
        <v>#N/A</v>
      </c>
      <c r="AC257" s="195" t="e">
        <f t="shared" si="114"/>
        <v>#N/A</v>
      </c>
      <c r="AD257" s="195" t="e">
        <f t="shared" si="114"/>
        <v>#N/A</v>
      </c>
      <c r="AE257" s="195" t="e">
        <f t="shared" si="114"/>
        <v>#N/A</v>
      </c>
      <c r="AF257" s="195" t="e">
        <f t="shared" si="114"/>
        <v>#N/A</v>
      </c>
      <c r="AG257" s="195" t="e">
        <f t="shared" si="114"/>
        <v>#N/A</v>
      </c>
      <c r="AH257" s="195" t="e">
        <f t="shared" si="114"/>
        <v>#N/A</v>
      </c>
      <c r="AI257" s="195" t="e">
        <f t="shared" si="114"/>
        <v>#N/A</v>
      </c>
      <c r="AJ257" s="195" t="e">
        <f t="shared" si="114"/>
        <v>#N/A</v>
      </c>
      <c r="AK257" s="195" t="e">
        <f t="shared" si="114"/>
        <v>#N/A</v>
      </c>
      <c r="AL257" s="195" t="e">
        <f t="shared" si="114"/>
        <v>#N/A</v>
      </c>
      <c r="AM257" s="195" t="e">
        <f t="shared" si="114"/>
        <v>#N/A</v>
      </c>
      <c r="AN257" s="195" t="e">
        <f t="shared" si="114"/>
        <v>#N/A</v>
      </c>
      <c r="AO257" s="195" t="e">
        <f t="shared" si="114"/>
        <v>#N/A</v>
      </c>
      <c r="AP257" s="195" t="e">
        <f t="shared" si="114"/>
        <v>#N/A</v>
      </c>
    </row>
    <row r="258" spans="1:42" x14ac:dyDescent="0.2">
      <c r="A258" s="34" t="str">
        <f t="shared" si="110"/>
        <v>39-yr SL</v>
      </c>
      <c r="B258" s="235">
        <f t="array" ref="B258">SUM(IF(ISNUMBER(C258:AP258),C258:AP258))</f>
        <v>0</v>
      </c>
      <c r="C258" s="195">
        <f t="shared" ref="C258:AP258" si="115">C251/100*$Q219</f>
        <v>0</v>
      </c>
      <c r="D258" s="195">
        <f t="shared" si="115"/>
        <v>0</v>
      </c>
      <c r="E258" s="195">
        <f t="shared" si="115"/>
        <v>0</v>
      </c>
      <c r="F258" s="195">
        <f t="shared" si="115"/>
        <v>0</v>
      </c>
      <c r="G258" s="195">
        <f t="shared" si="115"/>
        <v>0</v>
      </c>
      <c r="H258" s="195">
        <f t="shared" si="115"/>
        <v>0</v>
      </c>
      <c r="I258" s="195">
        <f t="shared" si="115"/>
        <v>0</v>
      </c>
      <c r="J258" s="195">
        <f t="shared" si="115"/>
        <v>0</v>
      </c>
      <c r="K258" s="195">
        <f t="shared" si="115"/>
        <v>0</v>
      </c>
      <c r="L258" s="195">
        <f t="shared" si="115"/>
        <v>0</v>
      </c>
      <c r="M258" s="195">
        <f t="shared" si="115"/>
        <v>0</v>
      </c>
      <c r="N258" s="195">
        <f t="shared" si="115"/>
        <v>0</v>
      </c>
      <c r="O258" s="195">
        <f t="shared" si="115"/>
        <v>0</v>
      </c>
      <c r="P258" s="195">
        <f t="shared" si="115"/>
        <v>0</v>
      </c>
      <c r="Q258" s="195">
        <f t="shared" si="115"/>
        <v>0</v>
      </c>
      <c r="R258" s="195">
        <f t="shared" si="115"/>
        <v>0</v>
      </c>
      <c r="S258" s="195">
        <f t="shared" si="115"/>
        <v>0</v>
      </c>
      <c r="T258" s="195">
        <f t="shared" si="115"/>
        <v>0</v>
      </c>
      <c r="U258" s="195">
        <f t="shared" si="115"/>
        <v>0</v>
      </c>
      <c r="V258" s="195">
        <f t="shared" si="115"/>
        <v>0</v>
      </c>
      <c r="W258" s="195">
        <f t="shared" si="115"/>
        <v>0</v>
      </c>
      <c r="X258" s="195">
        <f t="shared" si="115"/>
        <v>0</v>
      </c>
      <c r="Y258" s="195">
        <f t="shared" si="115"/>
        <v>0</v>
      </c>
      <c r="Z258" s="195">
        <f t="shared" si="115"/>
        <v>0</v>
      </c>
      <c r="AA258" s="195">
        <f t="shared" si="115"/>
        <v>0</v>
      </c>
      <c r="AB258" s="195" t="e">
        <f t="shared" si="115"/>
        <v>#N/A</v>
      </c>
      <c r="AC258" s="195" t="e">
        <f t="shared" si="115"/>
        <v>#N/A</v>
      </c>
      <c r="AD258" s="195" t="e">
        <f t="shared" si="115"/>
        <v>#N/A</v>
      </c>
      <c r="AE258" s="195" t="e">
        <f t="shared" si="115"/>
        <v>#N/A</v>
      </c>
      <c r="AF258" s="195" t="e">
        <f t="shared" si="115"/>
        <v>#N/A</v>
      </c>
      <c r="AG258" s="195" t="e">
        <f t="shared" si="115"/>
        <v>#N/A</v>
      </c>
      <c r="AH258" s="195" t="e">
        <f t="shared" si="115"/>
        <v>#N/A</v>
      </c>
      <c r="AI258" s="195" t="e">
        <f t="shared" si="115"/>
        <v>#N/A</v>
      </c>
      <c r="AJ258" s="195" t="e">
        <f t="shared" si="115"/>
        <v>#N/A</v>
      </c>
      <c r="AK258" s="195" t="e">
        <f t="shared" si="115"/>
        <v>#N/A</v>
      </c>
      <c r="AL258" s="195" t="e">
        <f t="shared" si="115"/>
        <v>#N/A</v>
      </c>
      <c r="AM258" s="195" t="e">
        <f t="shared" si="115"/>
        <v>#N/A</v>
      </c>
      <c r="AN258" s="195" t="e">
        <f t="shared" si="115"/>
        <v>#N/A</v>
      </c>
      <c r="AO258" s="195" t="e">
        <f t="shared" si="115"/>
        <v>#N/A</v>
      </c>
      <c r="AP258" s="195" t="e">
        <f t="shared" si="115"/>
        <v>#N/A</v>
      </c>
    </row>
    <row r="259" spans="1:42" x14ac:dyDescent="0.2">
      <c r="A259" s="34" t="s">
        <v>104</v>
      </c>
      <c r="B259" s="236">
        <f t="shared" ref="B259" si="116">SUM(C259:AP259)</f>
        <v>0</v>
      </c>
      <c r="C259" s="201">
        <f>P220</f>
        <v>0</v>
      </c>
      <c r="D259" s="201">
        <v>0</v>
      </c>
      <c r="E259" s="201">
        <v>0</v>
      </c>
      <c r="F259" s="201">
        <v>0</v>
      </c>
      <c r="G259" s="201">
        <v>0</v>
      </c>
      <c r="H259" s="201">
        <v>0</v>
      </c>
      <c r="I259" s="201">
        <v>0</v>
      </c>
      <c r="J259" s="201">
        <v>0</v>
      </c>
      <c r="K259" s="201">
        <v>0</v>
      </c>
      <c r="L259" s="201">
        <v>0</v>
      </c>
      <c r="M259" s="201">
        <v>0</v>
      </c>
      <c r="N259" s="201">
        <v>0</v>
      </c>
      <c r="O259" s="201">
        <v>0</v>
      </c>
      <c r="P259" s="201">
        <v>0</v>
      </c>
      <c r="Q259" s="201">
        <v>0</v>
      </c>
      <c r="R259" s="201">
        <v>0</v>
      </c>
      <c r="S259" s="201">
        <v>0</v>
      </c>
      <c r="T259" s="201">
        <v>0</v>
      </c>
      <c r="U259" s="201">
        <v>0</v>
      </c>
      <c r="V259" s="201">
        <v>0</v>
      </c>
      <c r="W259" s="201">
        <v>0</v>
      </c>
      <c r="X259" s="201">
        <v>0</v>
      </c>
      <c r="Y259" s="201">
        <v>0</v>
      </c>
      <c r="Z259" s="201">
        <v>0</v>
      </c>
      <c r="AA259" s="201">
        <v>0</v>
      </c>
      <c r="AB259" s="201">
        <v>0</v>
      </c>
      <c r="AC259" s="201">
        <v>0</v>
      </c>
      <c r="AD259" s="201">
        <v>0</v>
      </c>
      <c r="AE259" s="201">
        <v>0</v>
      </c>
      <c r="AF259" s="201">
        <v>0</v>
      </c>
      <c r="AG259" s="201">
        <v>0</v>
      </c>
      <c r="AH259" s="201">
        <v>0</v>
      </c>
      <c r="AI259" s="201">
        <v>0</v>
      </c>
      <c r="AJ259" s="201">
        <v>0</v>
      </c>
      <c r="AK259" s="201">
        <v>0</v>
      </c>
      <c r="AL259" s="201">
        <v>0</v>
      </c>
      <c r="AM259" s="201">
        <v>0</v>
      </c>
      <c r="AN259" s="201">
        <v>0</v>
      </c>
      <c r="AO259" s="201">
        <v>0</v>
      </c>
      <c r="AP259" s="201">
        <v>0</v>
      </c>
    </row>
    <row r="260" spans="1:42" x14ac:dyDescent="0.2">
      <c r="A260" s="33"/>
      <c r="B260" s="237">
        <f t="array" ref="B260">SUM(IF(ISNUMBER(C260:AP260),C260:AP260))</f>
        <v>33419201.008361362</v>
      </c>
      <c r="C260" s="195">
        <f>SUM(C253:C259)</f>
        <v>6216845.8463123674</v>
      </c>
      <c r="D260" s="195">
        <f t="shared" ref="D260:AP260" si="117">SUM(D253:D259)</f>
        <v>9981392.9971284624</v>
      </c>
      <c r="E260" s="195">
        <f t="shared" si="117"/>
        <v>6056654.4794067591</v>
      </c>
      <c r="F260" s="195">
        <f t="shared" si="117"/>
        <v>3700130.4100204497</v>
      </c>
      <c r="G260" s="195">
        <f t="shared" si="117"/>
        <v>3695507.7734489073</v>
      </c>
      <c r="H260" s="195">
        <f t="shared" si="117"/>
        <v>1927739.5074017446</v>
      </c>
      <c r="I260" s="195">
        <f t="shared" si="117"/>
        <v>162192.50827856932</v>
      </c>
      <c r="J260" s="195">
        <f t="shared" si="117"/>
        <v>162192.50827856932</v>
      </c>
      <c r="K260" s="195">
        <f t="shared" si="117"/>
        <v>162252.54251975816</v>
      </c>
      <c r="L260" s="195">
        <f t="shared" si="117"/>
        <v>162192.50827856932</v>
      </c>
      <c r="M260" s="195">
        <f t="shared" si="117"/>
        <v>162252.54251975816</v>
      </c>
      <c r="N260" s="195">
        <f t="shared" si="117"/>
        <v>162092.45120992122</v>
      </c>
      <c r="O260" s="195">
        <f t="shared" si="117"/>
        <v>162252.54251975816</v>
      </c>
      <c r="P260" s="195">
        <f t="shared" si="117"/>
        <v>162092.45120992122</v>
      </c>
      <c r="Q260" s="195">
        <f t="shared" si="117"/>
        <v>162192.50827856932</v>
      </c>
      <c r="R260" s="195">
        <f t="shared" si="117"/>
        <v>111063.34619939048</v>
      </c>
      <c r="S260" s="195">
        <f t="shared" si="117"/>
        <v>60034.241188859713</v>
      </c>
      <c r="T260" s="195">
        <f t="shared" si="117"/>
        <v>60034.241188859713</v>
      </c>
      <c r="U260" s="195">
        <f t="shared" si="117"/>
        <v>60034.241188859713</v>
      </c>
      <c r="V260" s="195">
        <f t="shared" si="117"/>
        <v>60034.241188859713</v>
      </c>
      <c r="W260" s="195">
        <f t="shared" si="117"/>
        <v>30017.120594429856</v>
      </c>
      <c r="X260" s="195">
        <f t="shared" si="117"/>
        <v>0</v>
      </c>
      <c r="Y260" s="195">
        <f t="shared" si="117"/>
        <v>0</v>
      </c>
      <c r="Z260" s="195">
        <f t="shared" si="117"/>
        <v>0</v>
      </c>
      <c r="AA260" s="195">
        <f t="shared" si="117"/>
        <v>0</v>
      </c>
      <c r="AB260" s="195" t="e">
        <f t="shared" si="117"/>
        <v>#N/A</v>
      </c>
      <c r="AC260" s="195" t="e">
        <f t="shared" si="117"/>
        <v>#N/A</v>
      </c>
      <c r="AD260" s="195" t="e">
        <f t="shared" si="117"/>
        <v>#N/A</v>
      </c>
      <c r="AE260" s="195" t="e">
        <f t="shared" si="117"/>
        <v>#N/A</v>
      </c>
      <c r="AF260" s="195" t="e">
        <f t="shared" si="117"/>
        <v>#N/A</v>
      </c>
      <c r="AG260" s="195" t="e">
        <f t="shared" si="117"/>
        <v>#N/A</v>
      </c>
      <c r="AH260" s="195" t="e">
        <f t="shared" si="117"/>
        <v>#N/A</v>
      </c>
      <c r="AI260" s="195" t="e">
        <f t="shared" si="117"/>
        <v>#N/A</v>
      </c>
      <c r="AJ260" s="195" t="e">
        <f t="shared" si="117"/>
        <v>#N/A</v>
      </c>
      <c r="AK260" s="195" t="e">
        <f t="shared" si="117"/>
        <v>#N/A</v>
      </c>
      <c r="AL260" s="195" t="e">
        <f t="shared" si="117"/>
        <v>#N/A</v>
      </c>
      <c r="AM260" s="195" t="e">
        <f t="shared" si="117"/>
        <v>#N/A</v>
      </c>
      <c r="AN260" s="195" t="e">
        <f t="shared" si="117"/>
        <v>#N/A</v>
      </c>
      <c r="AO260" s="195" t="e">
        <f t="shared" si="117"/>
        <v>#N/A</v>
      </c>
      <c r="AP260" s="195" t="e">
        <f t="shared" si="117"/>
        <v>#N/A</v>
      </c>
    </row>
    <row r="261" spans="1:42" s="127" customFormat="1" x14ac:dyDescent="0.2">
      <c r="A261" s="33"/>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c r="AP261" s="210"/>
    </row>
    <row r="262" spans="1:42" s="127" customFormat="1" x14ac:dyDescent="0.2">
      <c r="A262" s="31" t="s">
        <v>90</v>
      </c>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c r="AP262" s="210"/>
    </row>
    <row r="263" spans="1:42" x14ac:dyDescent="0.2">
      <c r="A263" s="33" t="s">
        <v>92</v>
      </c>
      <c r="B263" s="38" t="str">
        <f>equip_reserve_depr_sta</f>
        <v>5-yr MACRS</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row>
    <row r="264" spans="1:42" x14ac:dyDescent="0.2">
      <c r="A264" s="33" t="s">
        <v>93</v>
      </c>
      <c r="B264" s="239">
        <f t="shared" ref="B264:AP264" si="118">B2</f>
        <v>0</v>
      </c>
      <c r="C264" s="239">
        <f t="shared" si="118"/>
        <v>1</v>
      </c>
      <c r="D264" s="239">
        <f t="shared" si="118"/>
        <v>2</v>
      </c>
      <c r="E264" s="239">
        <f t="shared" si="118"/>
        <v>3</v>
      </c>
      <c r="F264" s="239">
        <f t="shared" si="118"/>
        <v>4</v>
      </c>
      <c r="G264" s="239">
        <f t="shared" si="118"/>
        <v>5</v>
      </c>
      <c r="H264" s="239">
        <f t="shared" si="118"/>
        <v>6</v>
      </c>
      <c r="I264" s="239">
        <f t="shared" si="118"/>
        <v>7</v>
      </c>
      <c r="J264" s="239">
        <f t="shared" si="118"/>
        <v>8</v>
      </c>
      <c r="K264" s="239">
        <f t="shared" si="118"/>
        <v>9</v>
      </c>
      <c r="L264" s="239">
        <f t="shared" si="118"/>
        <v>10</v>
      </c>
      <c r="M264" s="239">
        <f t="shared" si="118"/>
        <v>11</v>
      </c>
      <c r="N264" s="239">
        <f t="shared" si="118"/>
        <v>12</v>
      </c>
      <c r="O264" s="239">
        <f t="shared" si="118"/>
        <v>13</v>
      </c>
      <c r="P264" s="239">
        <f t="shared" si="118"/>
        <v>14</v>
      </c>
      <c r="Q264" s="239">
        <f t="shared" si="118"/>
        <v>15</v>
      </c>
      <c r="R264" s="239">
        <f t="shared" si="118"/>
        <v>16</v>
      </c>
      <c r="S264" s="239">
        <f t="shared" si="118"/>
        <v>17</v>
      </c>
      <c r="T264" s="239">
        <f t="shared" si="118"/>
        <v>18</v>
      </c>
      <c r="U264" s="239">
        <f t="shared" si="118"/>
        <v>19</v>
      </c>
      <c r="V264" s="239">
        <f t="shared" si="118"/>
        <v>20</v>
      </c>
      <c r="W264" s="239">
        <f t="shared" si="118"/>
        <v>21</v>
      </c>
      <c r="X264" s="239">
        <f t="shared" si="118"/>
        <v>22</v>
      </c>
      <c r="Y264" s="239">
        <f t="shared" si="118"/>
        <v>23</v>
      </c>
      <c r="Z264" s="239">
        <f t="shared" si="118"/>
        <v>24</v>
      </c>
      <c r="AA264" s="239">
        <f t="shared" si="118"/>
        <v>25</v>
      </c>
      <c r="AB264" s="239" t="str">
        <f t="shared" si="118"/>
        <v/>
      </c>
      <c r="AC264" s="239" t="str">
        <f t="shared" si="118"/>
        <v/>
      </c>
      <c r="AD264" s="239" t="str">
        <f t="shared" si="118"/>
        <v/>
      </c>
      <c r="AE264" s="239" t="str">
        <f t="shared" si="118"/>
        <v/>
      </c>
      <c r="AF264" s="239" t="str">
        <f t="shared" si="118"/>
        <v/>
      </c>
      <c r="AG264" s="239" t="str">
        <f t="shared" si="118"/>
        <v/>
      </c>
      <c r="AH264" s="239" t="str">
        <f t="shared" si="118"/>
        <v/>
      </c>
      <c r="AI264" s="239" t="str">
        <f t="shared" si="118"/>
        <v/>
      </c>
      <c r="AJ264" s="239" t="str">
        <f t="shared" si="118"/>
        <v/>
      </c>
      <c r="AK264" s="239" t="str">
        <f t="shared" si="118"/>
        <v/>
      </c>
      <c r="AL264" s="239" t="str">
        <f t="shared" si="118"/>
        <v/>
      </c>
      <c r="AM264" s="239" t="str">
        <f t="shared" si="118"/>
        <v/>
      </c>
      <c r="AN264" s="239" t="str">
        <f t="shared" si="118"/>
        <v/>
      </c>
      <c r="AO264" s="239" t="str">
        <f t="shared" si="118"/>
        <v/>
      </c>
      <c r="AP264" s="239" t="str">
        <f t="shared" si="118"/>
        <v/>
      </c>
    </row>
    <row r="265" spans="1:42" x14ac:dyDescent="0.2">
      <c r="A265" s="33" t="s">
        <v>219</v>
      </c>
      <c r="B265" s="238">
        <v>0</v>
      </c>
      <c r="C265" s="231">
        <f t="shared" ref="C265:AP265" si="119">IF($B$263=$A246,C246,0)+IF($B$263=$A247,C247,0)+IF($B$263=$A248,C248,0)+IF($B$263=$A249,C249,0)+IF($B$263=$A250,C250,0)+IF($B$263=$A251,C251,0)</f>
        <v>20</v>
      </c>
      <c r="D265" s="231">
        <f t="shared" si="119"/>
        <v>32</v>
      </c>
      <c r="E265" s="231">
        <f t="shared" si="119"/>
        <v>19.2</v>
      </c>
      <c r="F265" s="231">
        <f t="shared" si="119"/>
        <v>11.52</v>
      </c>
      <c r="G265" s="231">
        <f t="shared" si="119"/>
        <v>11.52</v>
      </c>
      <c r="H265" s="231">
        <f t="shared" si="119"/>
        <v>5.76</v>
      </c>
      <c r="I265" s="231">
        <f t="shared" si="119"/>
        <v>0</v>
      </c>
      <c r="J265" s="231">
        <f t="shared" si="119"/>
        <v>0</v>
      </c>
      <c r="K265" s="231">
        <f t="shared" si="119"/>
        <v>0</v>
      </c>
      <c r="L265" s="231">
        <f t="shared" si="119"/>
        <v>0</v>
      </c>
      <c r="M265" s="231">
        <f t="shared" si="119"/>
        <v>0</v>
      </c>
      <c r="N265" s="231">
        <f t="shared" si="119"/>
        <v>0</v>
      </c>
      <c r="O265" s="231">
        <f t="shared" si="119"/>
        <v>0</v>
      </c>
      <c r="P265" s="231">
        <f t="shared" si="119"/>
        <v>0</v>
      </c>
      <c r="Q265" s="231">
        <f t="shared" si="119"/>
        <v>0</v>
      </c>
      <c r="R265" s="231">
        <f t="shared" si="119"/>
        <v>0</v>
      </c>
      <c r="S265" s="231">
        <f t="shared" si="119"/>
        <v>0</v>
      </c>
      <c r="T265" s="231">
        <f t="shared" si="119"/>
        <v>0</v>
      </c>
      <c r="U265" s="231">
        <f t="shared" si="119"/>
        <v>0</v>
      </c>
      <c r="V265" s="231">
        <f t="shared" si="119"/>
        <v>0</v>
      </c>
      <c r="W265" s="231">
        <f t="shared" si="119"/>
        <v>0</v>
      </c>
      <c r="X265" s="231">
        <f t="shared" si="119"/>
        <v>0</v>
      </c>
      <c r="Y265" s="231">
        <f t="shared" si="119"/>
        <v>0</v>
      </c>
      <c r="Z265" s="231">
        <f t="shared" si="119"/>
        <v>0</v>
      </c>
      <c r="AA265" s="231">
        <f t="shared" si="119"/>
        <v>0</v>
      </c>
      <c r="AB265" s="231" t="e">
        <f t="shared" si="119"/>
        <v>#N/A</v>
      </c>
      <c r="AC265" s="231" t="e">
        <f t="shared" si="119"/>
        <v>#N/A</v>
      </c>
      <c r="AD265" s="231" t="e">
        <f t="shared" si="119"/>
        <v>#N/A</v>
      </c>
      <c r="AE265" s="231" t="e">
        <f t="shared" si="119"/>
        <v>#N/A</v>
      </c>
      <c r="AF265" s="231" t="e">
        <f t="shared" si="119"/>
        <v>#N/A</v>
      </c>
      <c r="AG265" s="231" t="e">
        <f t="shared" si="119"/>
        <v>#N/A</v>
      </c>
      <c r="AH265" s="231" t="e">
        <f t="shared" si="119"/>
        <v>#N/A</v>
      </c>
      <c r="AI265" s="231" t="e">
        <f t="shared" si="119"/>
        <v>#N/A</v>
      </c>
      <c r="AJ265" s="231" t="e">
        <f t="shared" si="119"/>
        <v>#N/A</v>
      </c>
      <c r="AK265" s="231" t="e">
        <f t="shared" si="119"/>
        <v>#N/A</v>
      </c>
      <c r="AL265" s="231" t="e">
        <f t="shared" si="119"/>
        <v>#N/A</v>
      </c>
      <c r="AM265" s="231" t="e">
        <f t="shared" si="119"/>
        <v>#N/A</v>
      </c>
      <c r="AN265" s="231" t="e">
        <f t="shared" si="119"/>
        <v>#N/A</v>
      </c>
      <c r="AO265" s="231" t="e">
        <f t="shared" si="119"/>
        <v>#N/A</v>
      </c>
      <c r="AP265" s="231" t="e">
        <f t="shared" si="119"/>
        <v>#N/A</v>
      </c>
    </row>
    <row r="266" spans="1:42" x14ac:dyDescent="0.2">
      <c r="A266" s="33"/>
      <c r="B266" s="39"/>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row>
    <row r="267" spans="1:42" x14ac:dyDescent="0.2">
      <c r="A267" s="31" t="s">
        <v>115</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row>
    <row r="268" spans="1:42" x14ac:dyDescent="0.2">
      <c r="A268" s="33" t="s">
        <v>91</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4">
        <v>1</v>
      </c>
      <c r="B269" s="4">
        <v>0</v>
      </c>
      <c r="C269" s="220">
        <f>IF(C$2&lt;=analysis_period,IF(SUM($C578:C578)&gt;0,B269+1,0),0)</f>
        <v>0</v>
      </c>
      <c r="D269" s="220">
        <f>IF(D$2&lt;=analysis_period,IF(SUM($C578:D578)&gt;0,C269+1,0),0)</f>
        <v>0</v>
      </c>
      <c r="E269" s="220">
        <f>IF(E$2&lt;=analysis_period,IF(SUM($C578:E578)&gt;0,D269+1,0),0)</f>
        <v>0</v>
      </c>
      <c r="F269" s="220">
        <f>IF(F$2&lt;=analysis_period,IF(SUM($C578:F578)&gt;0,E269+1,0),0)</f>
        <v>0</v>
      </c>
      <c r="G269" s="220">
        <f>IF(G$2&lt;=analysis_period,IF(SUM($C578:G578)&gt;0,F269+1,0),0)</f>
        <v>0</v>
      </c>
      <c r="H269" s="220">
        <f>IF(H$2&lt;=analysis_period,IF(SUM($C578:H578)&gt;0,G269+1,0),0)</f>
        <v>0</v>
      </c>
      <c r="I269" s="220">
        <f>IF(I$2&lt;=analysis_period,IF(SUM($C578:I578)&gt;0,H269+1,0),0)</f>
        <v>0</v>
      </c>
      <c r="J269" s="220">
        <f>IF(J$2&lt;=analysis_period,IF(SUM($C578:J578)&gt;0,I269+1,0),0)</f>
        <v>0</v>
      </c>
      <c r="K269" s="220">
        <f>IF(K$2&lt;=analysis_period,IF(SUM($C578:K578)&gt;0,J269+1,0),0)</f>
        <v>0</v>
      </c>
      <c r="L269" s="220">
        <f>IF(L$2&lt;=analysis_period,IF(SUM($C578:L578)&gt;0,K269+1,0),0)</f>
        <v>0</v>
      </c>
      <c r="M269" s="220">
        <f>IF(M$2&lt;=analysis_period,IF(SUM($C578:M578)&gt;0,L269+1,0),0)</f>
        <v>0</v>
      </c>
      <c r="N269" s="220">
        <f>IF(N$2&lt;=analysis_period,IF(SUM($C578:N578)&gt;0,M269+1,0),0)</f>
        <v>1</v>
      </c>
      <c r="O269" s="220">
        <f>IF(O$2&lt;=analysis_period,IF(SUM($C578:O578)&gt;0,N269+1,0),0)</f>
        <v>2</v>
      </c>
      <c r="P269" s="220">
        <f>IF(P$2&lt;=analysis_period,IF(SUM($C578:P578)&gt;0,O269+1,0),0)</f>
        <v>3</v>
      </c>
      <c r="Q269" s="220">
        <f>IF(Q$2&lt;=analysis_period,IF(SUM($C578:Q578)&gt;0,P269+1,0),0)</f>
        <v>4</v>
      </c>
      <c r="R269" s="220">
        <f>IF(R$2&lt;=analysis_period,IF(SUM($C578:R578)&gt;0,Q269+1,0),0)</f>
        <v>5</v>
      </c>
      <c r="S269" s="220">
        <f>IF(S$2&lt;=analysis_period,IF(SUM($C578:S578)&gt;0,R269+1,0),0)</f>
        <v>6</v>
      </c>
      <c r="T269" s="220">
        <f>IF(T$2&lt;=analysis_period,IF(SUM($C578:T578)&gt;0,S269+1,0),0)</f>
        <v>7</v>
      </c>
      <c r="U269" s="220">
        <f>IF(U$2&lt;=analysis_period,IF(SUM($C578:U578)&gt;0,T269+1,0),0)</f>
        <v>8</v>
      </c>
      <c r="V269" s="220">
        <f>IF(V$2&lt;=analysis_period,IF(SUM($C578:V578)&gt;0,U269+1,0),0)</f>
        <v>9</v>
      </c>
      <c r="W269" s="220">
        <f>IF(W$2&lt;=analysis_period,IF(SUM($C578:W578)&gt;0,V269+1,0),0)</f>
        <v>10</v>
      </c>
      <c r="X269" s="220">
        <f>IF(X$2&lt;=analysis_period,IF(SUM($C578:X578)&gt;0,W269+1,0),0)</f>
        <v>11</v>
      </c>
      <c r="Y269" s="220">
        <f>IF(Y$2&lt;=analysis_period,IF(SUM($C578:Y578)&gt;0,X269+1,0),0)</f>
        <v>12</v>
      </c>
      <c r="Z269" s="220">
        <f>IF(Z$2&lt;=analysis_period,IF(SUM($C578:Z578)&gt;0,Y269+1,0),0)</f>
        <v>13</v>
      </c>
      <c r="AA269" s="220">
        <f>IF(AA$2&lt;=analysis_period,IF(SUM($C578:AA578)&gt;0,Z269+1,0),0)</f>
        <v>14</v>
      </c>
      <c r="AB269" s="220">
        <f>IF(AB$2&lt;=analysis_period,IF(SUM($C578:AB578)&gt;0,AA269+1,0),0)</f>
        <v>0</v>
      </c>
      <c r="AC269" s="220">
        <f>IF(AC$2&lt;=analysis_period,IF(SUM($C578:AC578)&gt;0,AB269+1,0),0)</f>
        <v>0</v>
      </c>
      <c r="AD269" s="220">
        <f>IF(AD$2&lt;=analysis_period,IF(SUM($C578:AD578)&gt;0,AC269+1,0),0)</f>
        <v>0</v>
      </c>
      <c r="AE269" s="220">
        <f>IF(AE$2&lt;=analysis_period,IF(SUM($C578:AE578)&gt;0,AD269+1,0),0)</f>
        <v>0</v>
      </c>
      <c r="AF269" s="220">
        <f>IF(AF$2&lt;=analysis_period,IF(SUM($C578:AF578)&gt;0,AE269+1,0),0)</f>
        <v>0</v>
      </c>
      <c r="AG269" s="220">
        <f>IF(AG$2&lt;=analysis_period,IF(SUM($C578:AG578)&gt;0,AF269+1,0),0)</f>
        <v>0</v>
      </c>
      <c r="AH269" s="220">
        <f>IF(AH$2&lt;=analysis_period,IF(SUM($C578:AH578)&gt;0,AG269+1,0),0)</f>
        <v>0</v>
      </c>
      <c r="AI269" s="220">
        <f>IF(AI$2&lt;=analysis_period,IF(SUM($C578:AI578)&gt;0,AH269+1,0),0)</f>
        <v>0</v>
      </c>
      <c r="AJ269" s="220">
        <f>IF(AJ$2&lt;=analysis_period,IF(SUM($C578:AJ578)&gt;0,AI269+1,0),0)</f>
        <v>0</v>
      </c>
      <c r="AK269" s="220">
        <f>IF(AK$2&lt;=analysis_period,IF(SUM($C578:AK578)&gt;0,AJ269+1,0),0)</f>
        <v>0</v>
      </c>
      <c r="AL269" s="220">
        <f>IF(AL$2&lt;=analysis_period,IF(SUM($C578:AL578)&gt;0,AK269+1,0),0)</f>
        <v>0</v>
      </c>
      <c r="AM269" s="220">
        <f>IF(AM$2&lt;=analysis_period,IF(SUM($C578:AM578)&gt;0,AL269+1,0),0)</f>
        <v>0</v>
      </c>
      <c r="AN269" s="220">
        <f>IF(AN$2&lt;=analysis_period,IF(SUM($C578:AN578)&gt;0,AM269+1,0),0)</f>
        <v>0</v>
      </c>
      <c r="AO269" s="220">
        <f>IF(AO$2&lt;=analysis_period,IF(SUM($C578:AO578)&gt;0,AN269+1,0),0)</f>
        <v>0</v>
      </c>
      <c r="AP269" s="220">
        <f>IF(AP$2&lt;=analysis_period,IF(SUM($C578:AP578)&gt;0,AO269+1,0),0)</f>
        <v>0</v>
      </c>
    </row>
    <row r="270" spans="1:42" x14ac:dyDescent="0.2">
      <c r="A270" s="4">
        <f>A269+1</f>
        <v>2</v>
      </c>
      <c r="B270" s="4">
        <v>0</v>
      </c>
      <c r="C270" s="220">
        <f>IF(C$2&lt;=analysis_period,IF(SUM($C579:C579)&gt;0,B270+1,0),0)</f>
        <v>0</v>
      </c>
      <c r="D270" s="220">
        <f>IF(D$2&lt;=analysis_period,IF(SUM($C579:D579)&gt;0,C270+1,0),0)</f>
        <v>0</v>
      </c>
      <c r="E270" s="220">
        <f>IF(E$2&lt;=analysis_period,IF(SUM($C579:E579)&gt;0,D270+1,0),0)</f>
        <v>0</v>
      </c>
      <c r="F270" s="220">
        <f>IF(F$2&lt;=analysis_period,IF(SUM($C579:F579)&gt;0,E270+1,0),0)</f>
        <v>0</v>
      </c>
      <c r="G270" s="220">
        <f>IF(G$2&lt;=analysis_period,IF(SUM($C579:G579)&gt;0,F270+1,0),0)</f>
        <v>0</v>
      </c>
      <c r="H270" s="220">
        <f>IF(H$2&lt;=analysis_period,IF(SUM($C579:H579)&gt;0,G270+1,0),0)</f>
        <v>0</v>
      </c>
      <c r="I270" s="220">
        <f>IF(I$2&lt;=analysis_period,IF(SUM($C579:I579)&gt;0,H270+1,0),0)</f>
        <v>0</v>
      </c>
      <c r="J270" s="220">
        <f>IF(J$2&lt;=analysis_period,IF(SUM($C579:J579)&gt;0,I270+1,0),0)</f>
        <v>0</v>
      </c>
      <c r="K270" s="220">
        <f>IF(K$2&lt;=analysis_period,IF(SUM($C579:K579)&gt;0,J270+1,0),0)</f>
        <v>0</v>
      </c>
      <c r="L270" s="220">
        <f>IF(L$2&lt;=analysis_period,IF(SUM($C579:L579)&gt;0,K270+1,0),0)</f>
        <v>0</v>
      </c>
      <c r="M270" s="220">
        <f>IF(M$2&lt;=analysis_period,IF(SUM($C579:M579)&gt;0,L270+1,0),0)</f>
        <v>0</v>
      </c>
      <c r="N270" s="220">
        <f>IF(N$2&lt;=analysis_period,IF(SUM($C579:N579)&gt;0,M270+1,0),0)</f>
        <v>0</v>
      </c>
      <c r="O270" s="220">
        <f>IF(O$2&lt;=analysis_period,IF(SUM($C579:O579)&gt;0,N270+1,0),0)</f>
        <v>0</v>
      </c>
      <c r="P270" s="220">
        <f>IF(P$2&lt;=analysis_period,IF(SUM($C579:P579)&gt;0,O270+1,0),0)</f>
        <v>0</v>
      </c>
      <c r="Q270" s="220">
        <f>IF(Q$2&lt;=analysis_period,IF(SUM($C579:Q579)&gt;0,P270+1,0),0)</f>
        <v>0</v>
      </c>
      <c r="R270" s="220">
        <f>IF(R$2&lt;=analysis_period,IF(SUM($C579:R579)&gt;0,Q270+1,0),0)</f>
        <v>0</v>
      </c>
      <c r="S270" s="220">
        <f>IF(S$2&lt;=analysis_period,IF(SUM($C579:S579)&gt;0,R270+1,0),0)</f>
        <v>0</v>
      </c>
      <c r="T270" s="220">
        <f>IF(T$2&lt;=analysis_period,IF(SUM($C579:T579)&gt;0,S270+1,0),0)</f>
        <v>0</v>
      </c>
      <c r="U270" s="220">
        <f>IF(U$2&lt;=analysis_period,IF(SUM($C579:U579)&gt;0,T270+1,0),0)</f>
        <v>0</v>
      </c>
      <c r="V270" s="220">
        <f>IF(V$2&lt;=analysis_period,IF(SUM($C579:V579)&gt;0,U270+1,0),0)</f>
        <v>0</v>
      </c>
      <c r="W270" s="220">
        <f>IF(W$2&lt;=analysis_period,IF(SUM($C579:W579)&gt;0,V270+1,0),0)</f>
        <v>0</v>
      </c>
      <c r="X270" s="220">
        <f>IF(X$2&lt;=analysis_period,IF(SUM($C579:X579)&gt;0,W270+1,0),0)</f>
        <v>0</v>
      </c>
      <c r="Y270" s="220">
        <f>IF(Y$2&lt;=analysis_period,IF(SUM($C579:Y579)&gt;0,X270+1,0),0)</f>
        <v>0</v>
      </c>
      <c r="Z270" s="220">
        <f>IF(Z$2&lt;=analysis_period,IF(SUM($C579:Z579)&gt;0,Y270+1,0),0)</f>
        <v>1</v>
      </c>
      <c r="AA270" s="220">
        <f>IF(AA$2&lt;=analysis_period,IF(SUM($C579:AA579)&gt;0,Z270+1,0),0)</f>
        <v>2</v>
      </c>
      <c r="AB270" s="220">
        <f>IF(AB$2&lt;=analysis_period,IF(SUM($C579:AB579)&gt;0,AA270+1,0),0)</f>
        <v>0</v>
      </c>
      <c r="AC270" s="220">
        <f>IF(AC$2&lt;=analysis_period,IF(SUM($C579:AC579)&gt;0,AB270+1,0),0)</f>
        <v>0</v>
      </c>
      <c r="AD270" s="220">
        <f>IF(AD$2&lt;=analysis_period,IF(SUM($C579:AD579)&gt;0,AC270+1,0),0)</f>
        <v>0</v>
      </c>
      <c r="AE270" s="220">
        <f>IF(AE$2&lt;=analysis_period,IF(SUM($C579:AE579)&gt;0,AD270+1,0),0)</f>
        <v>0</v>
      </c>
      <c r="AF270" s="220">
        <f>IF(AF$2&lt;=analysis_period,IF(SUM($C579:AF579)&gt;0,AE270+1,0),0)</f>
        <v>0</v>
      </c>
      <c r="AG270" s="220">
        <f>IF(AG$2&lt;=analysis_period,IF(SUM($C579:AG579)&gt;0,AF270+1,0),0)</f>
        <v>0</v>
      </c>
      <c r="AH270" s="220">
        <f>IF(AH$2&lt;=analysis_period,IF(SUM($C579:AH579)&gt;0,AG270+1,0),0)</f>
        <v>0</v>
      </c>
      <c r="AI270" s="220">
        <f>IF(AI$2&lt;=analysis_period,IF(SUM($C579:AI579)&gt;0,AH270+1,0),0)</f>
        <v>0</v>
      </c>
      <c r="AJ270" s="220">
        <f>IF(AJ$2&lt;=analysis_period,IF(SUM($C579:AJ579)&gt;0,AI270+1,0),0)</f>
        <v>0</v>
      </c>
      <c r="AK270" s="220">
        <f>IF(AK$2&lt;=analysis_period,IF(SUM($C579:AK579)&gt;0,AJ270+1,0),0)</f>
        <v>0</v>
      </c>
      <c r="AL270" s="220">
        <f>IF(AL$2&lt;=analysis_period,IF(SUM($C579:AL579)&gt;0,AK270+1,0),0)</f>
        <v>0</v>
      </c>
      <c r="AM270" s="220">
        <f>IF(AM$2&lt;=analysis_period,IF(SUM($C579:AM579)&gt;0,AL270+1,0),0)</f>
        <v>0</v>
      </c>
      <c r="AN270" s="220">
        <f>IF(AN$2&lt;=analysis_period,IF(SUM($C579:AN579)&gt;0,AM270+1,0),0)</f>
        <v>0</v>
      </c>
      <c r="AO270" s="220">
        <f>IF(AO$2&lt;=analysis_period,IF(SUM($C579:AO579)&gt;0,AN270+1,0),0)</f>
        <v>0</v>
      </c>
      <c r="AP270" s="220">
        <f>IF(AP$2&lt;=analysis_period,IF(SUM($C579:AP579)&gt;0,AO270+1,0),0)</f>
        <v>0</v>
      </c>
    </row>
    <row r="271" spans="1:42" x14ac:dyDescent="0.2">
      <c r="A271" s="4">
        <f t="shared" ref="A271:A278" si="120">A270+1</f>
        <v>3</v>
      </c>
      <c r="B271" s="4">
        <v>0</v>
      </c>
      <c r="C271" s="220">
        <f>IF(C$2&lt;=analysis_period,IF(SUM($C580:C580)&gt;0,B271+1,0),0)</f>
        <v>0</v>
      </c>
      <c r="D271" s="220">
        <f>IF(D$2&lt;=analysis_period,IF(SUM($C580:D580)&gt;0,C271+1,0),0)</f>
        <v>0</v>
      </c>
      <c r="E271" s="220">
        <f>IF(E$2&lt;=analysis_period,IF(SUM($C580:E580)&gt;0,D271+1,0),0)</f>
        <v>0</v>
      </c>
      <c r="F271" s="220">
        <f>IF(F$2&lt;=analysis_period,IF(SUM($C580:F580)&gt;0,E271+1,0),0)</f>
        <v>0</v>
      </c>
      <c r="G271" s="220">
        <f>IF(G$2&lt;=analysis_period,IF(SUM($C580:G580)&gt;0,F271+1,0),0)</f>
        <v>0</v>
      </c>
      <c r="H271" s="220">
        <f>IF(H$2&lt;=analysis_period,IF(SUM($C580:H580)&gt;0,G271+1,0),0)</f>
        <v>0</v>
      </c>
      <c r="I271" s="220">
        <f>IF(I$2&lt;=analysis_period,IF(SUM($C580:I580)&gt;0,H271+1,0),0)</f>
        <v>0</v>
      </c>
      <c r="J271" s="220">
        <f>IF(J$2&lt;=analysis_period,IF(SUM($C580:J580)&gt;0,I271+1,0),0)</f>
        <v>0</v>
      </c>
      <c r="K271" s="220">
        <f>IF(K$2&lt;=analysis_period,IF(SUM($C580:K580)&gt;0,J271+1,0),0)</f>
        <v>0</v>
      </c>
      <c r="L271" s="220">
        <f>IF(L$2&lt;=analysis_period,IF(SUM($C580:L580)&gt;0,K271+1,0),0)</f>
        <v>0</v>
      </c>
      <c r="M271" s="220">
        <f>IF(M$2&lt;=analysis_period,IF(SUM($C580:M580)&gt;0,L271+1,0),0)</f>
        <v>0</v>
      </c>
      <c r="N271" s="220">
        <f>IF(N$2&lt;=analysis_period,IF(SUM($C580:N580)&gt;0,M271+1,0),0)</f>
        <v>0</v>
      </c>
      <c r="O271" s="220">
        <f>IF(O$2&lt;=analysis_period,IF(SUM($C580:O580)&gt;0,N271+1,0),0)</f>
        <v>0</v>
      </c>
      <c r="P271" s="220">
        <f>IF(P$2&lt;=analysis_period,IF(SUM($C580:P580)&gt;0,O271+1,0),0)</f>
        <v>0</v>
      </c>
      <c r="Q271" s="220">
        <f>IF(Q$2&lt;=analysis_period,IF(SUM($C580:Q580)&gt;0,P271+1,0),0)</f>
        <v>0</v>
      </c>
      <c r="R271" s="220">
        <f>IF(R$2&lt;=analysis_period,IF(SUM($C580:R580)&gt;0,Q271+1,0),0)</f>
        <v>0</v>
      </c>
      <c r="S271" s="220">
        <f>IF(S$2&lt;=analysis_period,IF(SUM($C580:S580)&gt;0,R271+1,0),0)</f>
        <v>0</v>
      </c>
      <c r="T271" s="220">
        <f>IF(T$2&lt;=analysis_period,IF(SUM($C580:T580)&gt;0,S271+1,0),0)</f>
        <v>0</v>
      </c>
      <c r="U271" s="220">
        <f>IF(U$2&lt;=analysis_period,IF(SUM($C580:U580)&gt;0,T271+1,0),0)</f>
        <v>0</v>
      </c>
      <c r="V271" s="220">
        <f>IF(V$2&lt;=analysis_period,IF(SUM($C580:V580)&gt;0,U271+1,0),0)</f>
        <v>0</v>
      </c>
      <c r="W271" s="220">
        <f>IF(W$2&lt;=analysis_period,IF(SUM($C580:W580)&gt;0,V271+1,0),0)</f>
        <v>0</v>
      </c>
      <c r="X271" s="220">
        <f>IF(X$2&lt;=analysis_period,IF(SUM($C580:X580)&gt;0,W271+1,0),0)</f>
        <v>0</v>
      </c>
      <c r="Y271" s="220">
        <f>IF(Y$2&lt;=analysis_period,IF(SUM($C580:Y580)&gt;0,X271+1,0),0)</f>
        <v>0</v>
      </c>
      <c r="Z271" s="220">
        <f>IF(Z$2&lt;=analysis_period,IF(SUM($C580:Z580)&gt;0,Y271+1,0),0)</f>
        <v>0</v>
      </c>
      <c r="AA271" s="220">
        <f>IF(AA$2&lt;=analysis_period,IF(SUM($C580:AA580)&gt;0,Z271+1,0),0)</f>
        <v>0</v>
      </c>
      <c r="AB271" s="220">
        <f>IF(AB$2&lt;=analysis_period,IF(SUM($C580:AB580)&gt;0,AA271+1,0),0)</f>
        <v>0</v>
      </c>
      <c r="AC271" s="220">
        <f>IF(AC$2&lt;=analysis_period,IF(SUM($C580:AC580)&gt;0,AB271+1,0),0)</f>
        <v>0</v>
      </c>
      <c r="AD271" s="220">
        <f>IF(AD$2&lt;=analysis_period,IF(SUM($C580:AD580)&gt;0,AC271+1,0),0)</f>
        <v>0</v>
      </c>
      <c r="AE271" s="220">
        <f>IF(AE$2&lt;=analysis_period,IF(SUM($C580:AE580)&gt;0,AD271+1,0),0)</f>
        <v>0</v>
      </c>
      <c r="AF271" s="220">
        <f>IF(AF$2&lt;=analysis_period,IF(SUM($C580:AF580)&gt;0,AE271+1,0),0)</f>
        <v>0</v>
      </c>
      <c r="AG271" s="220">
        <f>IF(AG$2&lt;=analysis_period,IF(SUM($C580:AG580)&gt;0,AF271+1,0),0)</f>
        <v>0</v>
      </c>
      <c r="AH271" s="220">
        <f>IF(AH$2&lt;=analysis_period,IF(SUM($C580:AH580)&gt;0,AG271+1,0),0)</f>
        <v>0</v>
      </c>
      <c r="AI271" s="220">
        <f>IF(AI$2&lt;=analysis_period,IF(SUM($C580:AI580)&gt;0,AH271+1,0),0)</f>
        <v>0</v>
      </c>
      <c r="AJ271" s="220">
        <f>IF(AJ$2&lt;=analysis_period,IF(SUM($C580:AJ580)&gt;0,AI271+1,0),0)</f>
        <v>0</v>
      </c>
      <c r="AK271" s="220">
        <f>IF(AK$2&lt;=analysis_period,IF(SUM($C580:AK580)&gt;0,AJ271+1,0),0)</f>
        <v>0</v>
      </c>
      <c r="AL271" s="220">
        <f>IF(AL$2&lt;=analysis_period,IF(SUM($C580:AL580)&gt;0,AK271+1,0),0)</f>
        <v>0</v>
      </c>
      <c r="AM271" s="220">
        <f>IF(AM$2&lt;=analysis_period,IF(SUM($C580:AM580)&gt;0,AL271+1,0),0)</f>
        <v>0</v>
      </c>
      <c r="AN271" s="220">
        <f>IF(AN$2&lt;=analysis_period,IF(SUM($C580:AN580)&gt;0,AM271+1,0),0)</f>
        <v>0</v>
      </c>
      <c r="AO271" s="220">
        <f>IF(AO$2&lt;=analysis_period,IF(SUM($C580:AO580)&gt;0,AN271+1,0),0)</f>
        <v>0</v>
      </c>
      <c r="AP271" s="220">
        <f>IF(AP$2&lt;=analysis_period,IF(SUM($C580:AP580)&gt;0,AO271+1,0),0)</f>
        <v>0</v>
      </c>
    </row>
    <row r="272" spans="1:42" x14ac:dyDescent="0.2">
      <c r="A272" s="4">
        <f t="shared" si="120"/>
        <v>4</v>
      </c>
      <c r="B272" s="4">
        <v>0</v>
      </c>
      <c r="C272" s="220">
        <f>IF(C$2&lt;=analysis_period,IF(SUM($C581:C581)&gt;0,B272+1,0),0)</f>
        <v>0</v>
      </c>
      <c r="D272" s="220">
        <f>IF(D$2&lt;=analysis_period,IF(SUM($C581:D581)&gt;0,C272+1,0),0)</f>
        <v>0</v>
      </c>
      <c r="E272" s="220">
        <f>IF(E$2&lt;=analysis_period,IF(SUM($C581:E581)&gt;0,D272+1,0),0)</f>
        <v>0</v>
      </c>
      <c r="F272" s="220">
        <f>IF(F$2&lt;=analysis_period,IF(SUM($C581:F581)&gt;0,E272+1,0),0)</f>
        <v>0</v>
      </c>
      <c r="G272" s="220">
        <f>IF(G$2&lt;=analysis_period,IF(SUM($C581:G581)&gt;0,F272+1,0),0)</f>
        <v>0</v>
      </c>
      <c r="H272" s="220">
        <f>IF(H$2&lt;=analysis_period,IF(SUM($C581:H581)&gt;0,G272+1,0),0)</f>
        <v>0</v>
      </c>
      <c r="I272" s="220">
        <f>IF(I$2&lt;=analysis_period,IF(SUM($C581:I581)&gt;0,H272+1,0),0)</f>
        <v>0</v>
      </c>
      <c r="J272" s="220">
        <f>IF(J$2&lt;=analysis_period,IF(SUM($C581:J581)&gt;0,I272+1,0),0)</f>
        <v>0</v>
      </c>
      <c r="K272" s="220">
        <f>IF(K$2&lt;=analysis_period,IF(SUM($C581:K581)&gt;0,J272+1,0),0)</f>
        <v>0</v>
      </c>
      <c r="L272" s="220">
        <f>IF(L$2&lt;=analysis_period,IF(SUM($C581:L581)&gt;0,K272+1,0),0)</f>
        <v>0</v>
      </c>
      <c r="M272" s="220">
        <f>IF(M$2&lt;=analysis_period,IF(SUM($C581:M581)&gt;0,L272+1,0),0)</f>
        <v>0</v>
      </c>
      <c r="N272" s="220">
        <f>IF(N$2&lt;=analysis_period,IF(SUM($C581:N581)&gt;0,M272+1,0),0)</f>
        <v>0</v>
      </c>
      <c r="O272" s="220">
        <f>IF(O$2&lt;=analysis_period,IF(SUM($C581:O581)&gt;0,N272+1,0),0)</f>
        <v>0</v>
      </c>
      <c r="P272" s="220">
        <f>IF(P$2&lt;=analysis_period,IF(SUM($C581:P581)&gt;0,O272+1,0),0)</f>
        <v>0</v>
      </c>
      <c r="Q272" s="220">
        <f>IF(Q$2&lt;=analysis_period,IF(SUM($C581:Q581)&gt;0,P272+1,0),0)</f>
        <v>0</v>
      </c>
      <c r="R272" s="220">
        <f>IF(R$2&lt;=analysis_period,IF(SUM($C581:R581)&gt;0,Q272+1,0),0)</f>
        <v>0</v>
      </c>
      <c r="S272" s="220">
        <f>IF(S$2&lt;=analysis_period,IF(SUM($C581:S581)&gt;0,R272+1,0),0)</f>
        <v>0</v>
      </c>
      <c r="T272" s="220">
        <f>IF(T$2&lt;=analysis_period,IF(SUM($C581:T581)&gt;0,S272+1,0),0)</f>
        <v>0</v>
      </c>
      <c r="U272" s="220">
        <f>IF(U$2&lt;=analysis_period,IF(SUM($C581:U581)&gt;0,T272+1,0),0)</f>
        <v>0</v>
      </c>
      <c r="V272" s="220">
        <f>IF(V$2&lt;=analysis_period,IF(SUM($C581:V581)&gt;0,U272+1,0),0)</f>
        <v>0</v>
      </c>
      <c r="W272" s="220">
        <f>IF(W$2&lt;=analysis_period,IF(SUM($C581:W581)&gt;0,V272+1,0),0)</f>
        <v>0</v>
      </c>
      <c r="X272" s="220">
        <f>IF(X$2&lt;=analysis_period,IF(SUM($C581:X581)&gt;0,W272+1,0),0)</f>
        <v>0</v>
      </c>
      <c r="Y272" s="220">
        <f>IF(Y$2&lt;=analysis_period,IF(SUM($C581:Y581)&gt;0,X272+1,0),0)</f>
        <v>0</v>
      </c>
      <c r="Z272" s="220">
        <f>IF(Z$2&lt;=analysis_period,IF(SUM($C581:Z581)&gt;0,Y272+1,0),0)</f>
        <v>0</v>
      </c>
      <c r="AA272" s="220">
        <f>IF(AA$2&lt;=analysis_period,IF(SUM($C581:AA581)&gt;0,Z272+1,0),0)</f>
        <v>0</v>
      </c>
      <c r="AB272" s="220">
        <f>IF(AB$2&lt;=analysis_period,IF(SUM($C581:AB581)&gt;0,AA272+1,0),0)</f>
        <v>0</v>
      </c>
      <c r="AC272" s="220">
        <f>IF(AC$2&lt;=analysis_period,IF(SUM($C581:AC581)&gt;0,AB272+1,0),0)</f>
        <v>0</v>
      </c>
      <c r="AD272" s="220">
        <f>IF(AD$2&lt;=analysis_period,IF(SUM($C581:AD581)&gt;0,AC272+1,0),0)</f>
        <v>0</v>
      </c>
      <c r="AE272" s="220">
        <f>IF(AE$2&lt;=analysis_period,IF(SUM($C581:AE581)&gt;0,AD272+1,0),0)</f>
        <v>0</v>
      </c>
      <c r="AF272" s="220">
        <f>IF(AF$2&lt;=analysis_period,IF(SUM($C581:AF581)&gt;0,AE272+1,0),0)</f>
        <v>0</v>
      </c>
      <c r="AG272" s="220">
        <f>IF(AG$2&lt;=analysis_period,IF(SUM($C581:AG581)&gt;0,AF272+1,0),0)</f>
        <v>0</v>
      </c>
      <c r="AH272" s="220">
        <f>IF(AH$2&lt;=analysis_period,IF(SUM($C581:AH581)&gt;0,AG272+1,0),0)</f>
        <v>0</v>
      </c>
      <c r="AI272" s="220">
        <f>IF(AI$2&lt;=analysis_period,IF(SUM($C581:AI581)&gt;0,AH272+1,0),0)</f>
        <v>0</v>
      </c>
      <c r="AJ272" s="220">
        <f>IF(AJ$2&lt;=analysis_period,IF(SUM($C581:AJ581)&gt;0,AI272+1,0),0)</f>
        <v>0</v>
      </c>
      <c r="AK272" s="220">
        <f>IF(AK$2&lt;=analysis_period,IF(SUM($C581:AK581)&gt;0,AJ272+1,0),0)</f>
        <v>0</v>
      </c>
      <c r="AL272" s="220">
        <f>IF(AL$2&lt;=analysis_period,IF(SUM($C581:AL581)&gt;0,AK272+1,0),0)</f>
        <v>0</v>
      </c>
      <c r="AM272" s="220">
        <f>IF(AM$2&lt;=analysis_period,IF(SUM($C581:AM581)&gt;0,AL272+1,0),0)</f>
        <v>0</v>
      </c>
      <c r="AN272" s="220">
        <f>IF(AN$2&lt;=analysis_period,IF(SUM($C581:AN581)&gt;0,AM272+1,0),0)</f>
        <v>0</v>
      </c>
      <c r="AO272" s="220">
        <f>IF(AO$2&lt;=analysis_period,IF(SUM($C581:AO581)&gt;0,AN272+1,0),0)</f>
        <v>0</v>
      </c>
      <c r="AP272" s="220">
        <f>IF(AP$2&lt;=analysis_period,IF(SUM($C581:AP581)&gt;0,AO272+1,0),0)</f>
        <v>0</v>
      </c>
    </row>
    <row r="273" spans="1:42" x14ac:dyDescent="0.2">
      <c r="A273" s="4">
        <f t="shared" si="120"/>
        <v>5</v>
      </c>
      <c r="B273" s="4">
        <v>0</v>
      </c>
      <c r="C273" s="220">
        <f>IF(C$2&lt;=analysis_period,IF(SUM($C582:C582)&gt;0,B273+1,0),0)</f>
        <v>0</v>
      </c>
      <c r="D273" s="220">
        <f>IF(D$2&lt;=analysis_period,IF(SUM($C582:D582)&gt;0,C273+1,0),0)</f>
        <v>0</v>
      </c>
      <c r="E273" s="220">
        <f>IF(E$2&lt;=analysis_period,IF(SUM($C582:E582)&gt;0,D273+1,0),0)</f>
        <v>0</v>
      </c>
      <c r="F273" s="220">
        <f>IF(F$2&lt;=analysis_period,IF(SUM($C582:F582)&gt;0,E273+1,0),0)</f>
        <v>0</v>
      </c>
      <c r="G273" s="220">
        <f>IF(G$2&lt;=analysis_period,IF(SUM($C582:G582)&gt;0,F273+1,0),0)</f>
        <v>0</v>
      </c>
      <c r="H273" s="220">
        <f>IF(H$2&lt;=analysis_period,IF(SUM($C582:H582)&gt;0,G273+1,0),0)</f>
        <v>0</v>
      </c>
      <c r="I273" s="220">
        <f>IF(I$2&lt;=analysis_period,IF(SUM($C582:I582)&gt;0,H273+1,0),0)</f>
        <v>0</v>
      </c>
      <c r="J273" s="220">
        <f>IF(J$2&lt;=analysis_period,IF(SUM($C582:J582)&gt;0,I273+1,0),0)</f>
        <v>0</v>
      </c>
      <c r="K273" s="220">
        <f>IF(K$2&lt;=analysis_period,IF(SUM($C582:K582)&gt;0,J273+1,0),0)</f>
        <v>0</v>
      </c>
      <c r="L273" s="220">
        <f>IF(L$2&lt;=analysis_period,IF(SUM($C582:L582)&gt;0,K273+1,0),0)</f>
        <v>0</v>
      </c>
      <c r="M273" s="220">
        <f>IF(M$2&lt;=analysis_period,IF(SUM($C582:M582)&gt;0,L273+1,0),0)</f>
        <v>0</v>
      </c>
      <c r="N273" s="220">
        <f>IF(N$2&lt;=analysis_period,IF(SUM($C582:N582)&gt;0,M273+1,0),0)</f>
        <v>0</v>
      </c>
      <c r="O273" s="220">
        <f>IF(O$2&lt;=analysis_period,IF(SUM($C582:O582)&gt;0,N273+1,0),0)</f>
        <v>0</v>
      </c>
      <c r="P273" s="220">
        <f>IF(P$2&lt;=analysis_period,IF(SUM($C582:P582)&gt;0,O273+1,0),0)</f>
        <v>0</v>
      </c>
      <c r="Q273" s="220">
        <f>IF(Q$2&lt;=analysis_period,IF(SUM($C582:Q582)&gt;0,P273+1,0),0)</f>
        <v>0</v>
      </c>
      <c r="R273" s="220">
        <f>IF(R$2&lt;=analysis_period,IF(SUM($C582:R582)&gt;0,Q273+1,0),0)</f>
        <v>0</v>
      </c>
      <c r="S273" s="220">
        <f>IF(S$2&lt;=analysis_period,IF(SUM($C582:S582)&gt;0,R273+1,0),0)</f>
        <v>0</v>
      </c>
      <c r="T273" s="220">
        <f>IF(T$2&lt;=analysis_period,IF(SUM($C582:T582)&gt;0,S273+1,0),0)</f>
        <v>0</v>
      </c>
      <c r="U273" s="220">
        <f>IF(U$2&lt;=analysis_period,IF(SUM($C582:U582)&gt;0,T273+1,0),0)</f>
        <v>0</v>
      </c>
      <c r="V273" s="220">
        <f>IF(V$2&lt;=analysis_period,IF(SUM($C582:V582)&gt;0,U273+1,0),0)</f>
        <v>0</v>
      </c>
      <c r="W273" s="220">
        <f>IF(W$2&lt;=analysis_period,IF(SUM($C582:W582)&gt;0,V273+1,0),0)</f>
        <v>0</v>
      </c>
      <c r="X273" s="220">
        <f>IF(X$2&lt;=analysis_period,IF(SUM($C582:X582)&gt;0,W273+1,0),0)</f>
        <v>0</v>
      </c>
      <c r="Y273" s="220">
        <f>IF(Y$2&lt;=analysis_period,IF(SUM($C582:Y582)&gt;0,X273+1,0),0)</f>
        <v>0</v>
      </c>
      <c r="Z273" s="220">
        <f>IF(Z$2&lt;=analysis_period,IF(SUM($C582:Z582)&gt;0,Y273+1,0),0)</f>
        <v>0</v>
      </c>
      <c r="AA273" s="220">
        <f>IF(AA$2&lt;=analysis_period,IF(SUM($C582:AA582)&gt;0,Z273+1,0),0)</f>
        <v>0</v>
      </c>
      <c r="AB273" s="220">
        <f>IF(AB$2&lt;=analysis_period,IF(SUM($C582:AB582)&gt;0,AA273+1,0),0)</f>
        <v>0</v>
      </c>
      <c r="AC273" s="220">
        <f>IF(AC$2&lt;=analysis_period,IF(SUM($C582:AC582)&gt;0,AB273+1,0),0)</f>
        <v>0</v>
      </c>
      <c r="AD273" s="220">
        <f>IF(AD$2&lt;=analysis_period,IF(SUM($C582:AD582)&gt;0,AC273+1,0),0)</f>
        <v>0</v>
      </c>
      <c r="AE273" s="220">
        <f>IF(AE$2&lt;=analysis_period,IF(SUM($C582:AE582)&gt;0,AD273+1,0),0)</f>
        <v>0</v>
      </c>
      <c r="AF273" s="220">
        <f>IF(AF$2&lt;=analysis_period,IF(SUM($C582:AF582)&gt;0,AE273+1,0),0)</f>
        <v>0</v>
      </c>
      <c r="AG273" s="220">
        <f>IF(AG$2&lt;=analysis_period,IF(SUM($C582:AG582)&gt;0,AF273+1,0),0)</f>
        <v>0</v>
      </c>
      <c r="AH273" s="220">
        <f>IF(AH$2&lt;=analysis_period,IF(SUM($C582:AH582)&gt;0,AG273+1,0),0)</f>
        <v>0</v>
      </c>
      <c r="AI273" s="220">
        <f>IF(AI$2&lt;=analysis_period,IF(SUM($C582:AI582)&gt;0,AH273+1,0),0)</f>
        <v>0</v>
      </c>
      <c r="AJ273" s="220">
        <f>IF(AJ$2&lt;=analysis_period,IF(SUM($C582:AJ582)&gt;0,AI273+1,0),0)</f>
        <v>0</v>
      </c>
      <c r="AK273" s="220">
        <f>IF(AK$2&lt;=analysis_period,IF(SUM($C582:AK582)&gt;0,AJ273+1,0),0)</f>
        <v>0</v>
      </c>
      <c r="AL273" s="220">
        <f>IF(AL$2&lt;=analysis_period,IF(SUM($C582:AL582)&gt;0,AK273+1,0),0)</f>
        <v>0</v>
      </c>
      <c r="AM273" s="220">
        <f>IF(AM$2&lt;=analysis_period,IF(SUM($C582:AM582)&gt;0,AL273+1,0),0)</f>
        <v>0</v>
      </c>
      <c r="AN273" s="220">
        <f>IF(AN$2&lt;=analysis_period,IF(SUM($C582:AN582)&gt;0,AM273+1,0),0)</f>
        <v>0</v>
      </c>
      <c r="AO273" s="220">
        <f>IF(AO$2&lt;=analysis_period,IF(SUM($C582:AO582)&gt;0,AN273+1,0),0)</f>
        <v>0</v>
      </c>
      <c r="AP273" s="220">
        <f>IF(AP$2&lt;=analysis_period,IF(SUM($C582:AP582)&gt;0,AO273+1,0),0)</f>
        <v>0</v>
      </c>
    </row>
    <row r="274" spans="1:42" x14ac:dyDescent="0.2">
      <c r="A274" s="4">
        <f t="shared" si="120"/>
        <v>6</v>
      </c>
      <c r="B274" s="4">
        <v>0</v>
      </c>
      <c r="C274" s="220">
        <f>IF(C$2&lt;=analysis_period,IF(SUM($C583:C583)&gt;0,B274+1,0),0)</f>
        <v>0</v>
      </c>
      <c r="D274" s="220">
        <f>IF(D$2&lt;=analysis_period,IF(SUM($C583:D583)&gt;0,C274+1,0),0)</f>
        <v>0</v>
      </c>
      <c r="E274" s="220">
        <f>IF(E$2&lt;=analysis_period,IF(SUM($C583:E583)&gt;0,D274+1,0),0)</f>
        <v>0</v>
      </c>
      <c r="F274" s="220">
        <f>IF(F$2&lt;=analysis_period,IF(SUM($C583:F583)&gt;0,E274+1,0),0)</f>
        <v>0</v>
      </c>
      <c r="G274" s="220">
        <f>IF(G$2&lt;=analysis_period,IF(SUM($C583:G583)&gt;0,F274+1,0),0)</f>
        <v>0</v>
      </c>
      <c r="H274" s="220">
        <f>IF(H$2&lt;=analysis_period,IF(SUM($C583:H583)&gt;0,G274+1,0),0)</f>
        <v>0</v>
      </c>
      <c r="I274" s="220">
        <f>IF(I$2&lt;=analysis_period,IF(SUM($C583:I583)&gt;0,H274+1,0),0)</f>
        <v>0</v>
      </c>
      <c r="J274" s="220">
        <f>IF(J$2&lt;=analysis_period,IF(SUM($C583:J583)&gt;0,I274+1,0),0)</f>
        <v>0</v>
      </c>
      <c r="K274" s="220">
        <f>IF(K$2&lt;=analysis_period,IF(SUM($C583:K583)&gt;0,J274+1,0),0)</f>
        <v>0</v>
      </c>
      <c r="L274" s="220">
        <f>IF(L$2&lt;=analysis_period,IF(SUM($C583:L583)&gt;0,K274+1,0),0)</f>
        <v>0</v>
      </c>
      <c r="M274" s="220">
        <f>IF(M$2&lt;=analysis_period,IF(SUM($C583:M583)&gt;0,L274+1,0),0)</f>
        <v>0</v>
      </c>
      <c r="N274" s="220">
        <f>IF(N$2&lt;=analysis_period,IF(SUM($C583:N583)&gt;0,M274+1,0),0)</f>
        <v>0</v>
      </c>
      <c r="O274" s="220">
        <f>IF(O$2&lt;=analysis_period,IF(SUM($C583:O583)&gt;0,N274+1,0),0)</f>
        <v>0</v>
      </c>
      <c r="P274" s="220">
        <f>IF(P$2&lt;=analysis_period,IF(SUM($C583:P583)&gt;0,O274+1,0),0)</f>
        <v>0</v>
      </c>
      <c r="Q274" s="220">
        <f>IF(Q$2&lt;=analysis_period,IF(SUM($C583:Q583)&gt;0,P274+1,0),0)</f>
        <v>0</v>
      </c>
      <c r="R274" s="220">
        <f>IF(R$2&lt;=analysis_period,IF(SUM($C583:R583)&gt;0,Q274+1,0),0)</f>
        <v>0</v>
      </c>
      <c r="S274" s="220">
        <f>IF(S$2&lt;=analysis_period,IF(SUM($C583:S583)&gt;0,R274+1,0),0)</f>
        <v>0</v>
      </c>
      <c r="T274" s="220">
        <f>IF(T$2&lt;=analysis_period,IF(SUM($C583:T583)&gt;0,S274+1,0),0)</f>
        <v>0</v>
      </c>
      <c r="U274" s="220">
        <f>IF(U$2&lt;=analysis_period,IF(SUM($C583:U583)&gt;0,T274+1,0),0)</f>
        <v>0</v>
      </c>
      <c r="V274" s="220">
        <f>IF(V$2&lt;=analysis_period,IF(SUM($C583:V583)&gt;0,U274+1,0),0)</f>
        <v>0</v>
      </c>
      <c r="W274" s="220">
        <f>IF(W$2&lt;=analysis_period,IF(SUM($C583:W583)&gt;0,V274+1,0),0)</f>
        <v>0</v>
      </c>
      <c r="X274" s="220">
        <f>IF(X$2&lt;=analysis_period,IF(SUM($C583:X583)&gt;0,W274+1,0),0)</f>
        <v>0</v>
      </c>
      <c r="Y274" s="220">
        <f>IF(Y$2&lt;=analysis_period,IF(SUM($C583:Y583)&gt;0,X274+1,0),0)</f>
        <v>0</v>
      </c>
      <c r="Z274" s="220">
        <f>IF(Z$2&lt;=analysis_period,IF(SUM($C583:Z583)&gt;0,Y274+1,0),0)</f>
        <v>0</v>
      </c>
      <c r="AA274" s="220">
        <f>IF(AA$2&lt;=analysis_period,IF(SUM($C583:AA583)&gt;0,Z274+1,0),0)</f>
        <v>0</v>
      </c>
      <c r="AB274" s="220">
        <f>IF(AB$2&lt;=analysis_period,IF(SUM($C583:AB583)&gt;0,AA274+1,0),0)</f>
        <v>0</v>
      </c>
      <c r="AC274" s="220">
        <f>IF(AC$2&lt;=analysis_period,IF(SUM($C583:AC583)&gt;0,AB274+1,0),0)</f>
        <v>0</v>
      </c>
      <c r="AD274" s="220">
        <f>IF(AD$2&lt;=analysis_period,IF(SUM($C583:AD583)&gt;0,AC274+1,0),0)</f>
        <v>0</v>
      </c>
      <c r="AE274" s="220">
        <f>IF(AE$2&lt;=analysis_period,IF(SUM($C583:AE583)&gt;0,AD274+1,0),0)</f>
        <v>0</v>
      </c>
      <c r="AF274" s="220">
        <f>IF(AF$2&lt;=analysis_period,IF(SUM($C583:AF583)&gt;0,AE274+1,0),0)</f>
        <v>0</v>
      </c>
      <c r="AG274" s="220">
        <f>IF(AG$2&lt;=analysis_period,IF(SUM($C583:AG583)&gt;0,AF274+1,0),0)</f>
        <v>0</v>
      </c>
      <c r="AH274" s="220">
        <f>IF(AH$2&lt;=analysis_period,IF(SUM($C583:AH583)&gt;0,AG274+1,0),0)</f>
        <v>0</v>
      </c>
      <c r="AI274" s="220">
        <f>IF(AI$2&lt;=analysis_period,IF(SUM($C583:AI583)&gt;0,AH274+1,0),0)</f>
        <v>0</v>
      </c>
      <c r="AJ274" s="220">
        <f>IF(AJ$2&lt;=analysis_period,IF(SUM($C583:AJ583)&gt;0,AI274+1,0),0)</f>
        <v>0</v>
      </c>
      <c r="AK274" s="220">
        <f>IF(AK$2&lt;=analysis_period,IF(SUM($C583:AK583)&gt;0,AJ274+1,0),0)</f>
        <v>0</v>
      </c>
      <c r="AL274" s="220">
        <f>IF(AL$2&lt;=analysis_period,IF(SUM($C583:AL583)&gt;0,AK274+1,0),0)</f>
        <v>0</v>
      </c>
      <c r="AM274" s="220">
        <f>IF(AM$2&lt;=analysis_period,IF(SUM($C583:AM583)&gt;0,AL274+1,0),0)</f>
        <v>0</v>
      </c>
      <c r="AN274" s="220">
        <f>IF(AN$2&lt;=analysis_period,IF(SUM($C583:AN583)&gt;0,AM274+1,0),0)</f>
        <v>0</v>
      </c>
      <c r="AO274" s="220">
        <f>IF(AO$2&lt;=analysis_period,IF(SUM($C583:AO583)&gt;0,AN274+1,0),0)</f>
        <v>0</v>
      </c>
      <c r="AP274" s="220">
        <f>IF(AP$2&lt;=analysis_period,IF(SUM($C583:AP583)&gt;0,AO274+1,0),0)</f>
        <v>0</v>
      </c>
    </row>
    <row r="275" spans="1:42" x14ac:dyDescent="0.2">
      <c r="A275" s="4">
        <f t="shared" si="120"/>
        <v>7</v>
      </c>
      <c r="B275" s="4">
        <v>0</v>
      </c>
      <c r="C275" s="220">
        <f>IF(C$2&lt;=analysis_period,IF(SUM($C584:C584)&gt;0,B275+1,0),0)</f>
        <v>0</v>
      </c>
      <c r="D275" s="220">
        <f>IF(D$2&lt;=analysis_period,IF(SUM($C584:D584)&gt;0,C275+1,0),0)</f>
        <v>0</v>
      </c>
      <c r="E275" s="220">
        <f>IF(E$2&lt;=analysis_period,IF(SUM($C584:E584)&gt;0,D275+1,0),0)</f>
        <v>0</v>
      </c>
      <c r="F275" s="220">
        <f>IF(F$2&lt;=analysis_period,IF(SUM($C584:F584)&gt;0,E275+1,0),0)</f>
        <v>0</v>
      </c>
      <c r="G275" s="220">
        <f>IF(G$2&lt;=analysis_period,IF(SUM($C584:G584)&gt;0,F275+1,0),0)</f>
        <v>0</v>
      </c>
      <c r="H275" s="220">
        <f>IF(H$2&lt;=analysis_period,IF(SUM($C584:H584)&gt;0,G275+1,0),0)</f>
        <v>0</v>
      </c>
      <c r="I275" s="220">
        <f>IF(I$2&lt;=analysis_period,IF(SUM($C584:I584)&gt;0,H275+1,0),0)</f>
        <v>0</v>
      </c>
      <c r="J275" s="220">
        <f>IF(J$2&lt;=analysis_period,IF(SUM($C584:J584)&gt;0,I275+1,0),0)</f>
        <v>0</v>
      </c>
      <c r="K275" s="220">
        <f>IF(K$2&lt;=analysis_period,IF(SUM($C584:K584)&gt;0,J275+1,0),0)</f>
        <v>0</v>
      </c>
      <c r="L275" s="220">
        <f>IF(L$2&lt;=analysis_period,IF(SUM($C584:L584)&gt;0,K275+1,0),0)</f>
        <v>0</v>
      </c>
      <c r="M275" s="220">
        <f>IF(M$2&lt;=analysis_period,IF(SUM($C584:M584)&gt;0,L275+1,0),0)</f>
        <v>0</v>
      </c>
      <c r="N275" s="220">
        <f>IF(N$2&lt;=analysis_period,IF(SUM($C584:N584)&gt;0,M275+1,0),0)</f>
        <v>0</v>
      </c>
      <c r="O275" s="220">
        <f>IF(O$2&lt;=analysis_period,IF(SUM($C584:O584)&gt;0,N275+1,0),0)</f>
        <v>0</v>
      </c>
      <c r="P275" s="220">
        <f>IF(P$2&lt;=analysis_period,IF(SUM($C584:P584)&gt;0,O275+1,0),0)</f>
        <v>0</v>
      </c>
      <c r="Q275" s="220">
        <f>IF(Q$2&lt;=analysis_period,IF(SUM($C584:Q584)&gt;0,P275+1,0),0)</f>
        <v>0</v>
      </c>
      <c r="R275" s="220">
        <f>IF(R$2&lt;=analysis_period,IF(SUM($C584:R584)&gt;0,Q275+1,0),0)</f>
        <v>0</v>
      </c>
      <c r="S275" s="220">
        <f>IF(S$2&lt;=analysis_period,IF(SUM($C584:S584)&gt;0,R275+1,0),0)</f>
        <v>0</v>
      </c>
      <c r="T275" s="220">
        <f>IF(T$2&lt;=analysis_period,IF(SUM($C584:T584)&gt;0,S275+1,0),0)</f>
        <v>0</v>
      </c>
      <c r="U275" s="220">
        <f>IF(U$2&lt;=analysis_period,IF(SUM($C584:U584)&gt;0,T275+1,0),0)</f>
        <v>0</v>
      </c>
      <c r="V275" s="220">
        <f>IF(V$2&lt;=analysis_period,IF(SUM($C584:V584)&gt;0,U275+1,0),0)</f>
        <v>0</v>
      </c>
      <c r="W275" s="220">
        <f>IF(W$2&lt;=analysis_period,IF(SUM($C584:W584)&gt;0,V275+1,0),0)</f>
        <v>0</v>
      </c>
      <c r="X275" s="220">
        <f>IF(X$2&lt;=analysis_period,IF(SUM($C584:X584)&gt;0,W275+1,0),0)</f>
        <v>0</v>
      </c>
      <c r="Y275" s="220">
        <f>IF(Y$2&lt;=analysis_period,IF(SUM($C584:Y584)&gt;0,X275+1,0),0)</f>
        <v>0</v>
      </c>
      <c r="Z275" s="220">
        <f>IF(Z$2&lt;=analysis_period,IF(SUM($C584:Z584)&gt;0,Y275+1,0),0)</f>
        <v>0</v>
      </c>
      <c r="AA275" s="220">
        <f>IF(AA$2&lt;=analysis_period,IF(SUM($C584:AA584)&gt;0,Z275+1,0),0)</f>
        <v>0</v>
      </c>
      <c r="AB275" s="220">
        <f>IF(AB$2&lt;=analysis_period,IF(SUM($C584:AB584)&gt;0,AA275+1,0),0)</f>
        <v>0</v>
      </c>
      <c r="AC275" s="220">
        <f>IF(AC$2&lt;=analysis_period,IF(SUM($C584:AC584)&gt;0,AB275+1,0),0)</f>
        <v>0</v>
      </c>
      <c r="AD275" s="220">
        <f>IF(AD$2&lt;=analysis_period,IF(SUM($C584:AD584)&gt;0,AC275+1,0),0)</f>
        <v>0</v>
      </c>
      <c r="AE275" s="220">
        <f>IF(AE$2&lt;=analysis_period,IF(SUM($C584:AE584)&gt;0,AD275+1,0),0)</f>
        <v>0</v>
      </c>
      <c r="AF275" s="220">
        <f>IF(AF$2&lt;=analysis_period,IF(SUM($C584:AF584)&gt;0,AE275+1,0),0)</f>
        <v>0</v>
      </c>
      <c r="AG275" s="220">
        <f>IF(AG$2&lt;=analysis_period,IF(SUM($C584:AG584)&gt;0,AF275+1,0),0)</f>
        <v>0</v>
      </c>
      <c r="AH275" s="220">
        <f>IF(AH$2&lt;=analysis_period,IF(SUM($C584:AH584)&gt;0,AG275+1,0),0)</f>
        <v>0</v>
      </c>
      <c r="AI275" s="220">
        <f>IF(AI$2&lt;=analysis_period,IF(SUM($C584:AI584)&gt;0,AH275+1,0),0)</f>
        <v>0</v>
      </c>
      <c r="AJ275" s="220">
        <f>IF(AJ$2&lt;=analysis_period,IF(SUM($C584:AJ584)&gt;0,AI275+1,0),0)</f>
        <v>0</v>
      </c>
      <c r="AK275" s="220">
        <f>IF(AK$2&lt;=analysis_period,IF(SUM($C584:AK584)&gt;0,AJ275+1,0),0)</f>
        <v>0</v>
      </c>
      <c r="AL275" s="220">
        <f>IF(AL$2&lt;=analysis_period,IF(SUM($C584:AL584)&gt;0,AK275+1,0),0)</f>
        <v>0</v>
      </c>
      <c r="AM275" s="220">
        <f>IF(AM$2&lt;=analysis_period,IF(SUM($C584:AM584)&gt;0,AL275+1,0),0)</f>
        <v>0</v>
      </c>
      <c r="AN275" s="220">
        <f>IF(AN$2&lt;=analysis_period,IF(SUM($C584:AN584)&gt;0,AM275+1,0),0)</f>
        <v>0</v>
      </c>
      <c r="AO275" s="220">
        <f>IF(AO$2&lt;=analysis_period,IF(SUM($C584:AO584)&gt;0,AN275+1,0),0)</f>
        <v>0</v>
      </c>
      <c r="AP275" s="220">
        <f>IF(AP$2&lt;=analysis_period,IF(SUM($C584:AP584)&gt;0,AO275+1,0),0)</f>
        <v>0</v>
      </c>
    </row>
    <row r="276" spans="1:42" x14ac:dyDescent="0.2">
      <c r="A276" s="4">
        <f t="shared" si="120"/>
        <v>8</v>
      </c>
      <c r="B276" s="4">
        <v>0</v>
      </c>
      <c r="C276" s="220">
        <f>IF(C$2&lt;=analysis_period,IF(SUM($C585:C585)&gt;0,B276+1,0),0)</f>
        <v>0</v>
      </c>
      <c r="D276" s="220">
        <f>IF(D$2&lt;=analysis_period,IF(SUM($C585:D585)&gt;0,C276+1,0),0)</f>
        <v>0</v>
      </c>
      <c r="E276" s="220">
        <f>IF(E$2&lt;=analysis_period,IF(SUM($C585:E585)&gt;0,D276+1,0),0)</f>
        <v>0</v>
      </c>
      <c r="F276" s="220">
        <f>IF(F$2&lt;=analysis_period,IF(SUM($C585:F585)&gt;0,E276+1,0),0)</f>
        <v>0</v>
      </c>
      <c r="G276" s="220">
        <f>IF(G$2&lt;=analysis_period,IF(SUM($C585:G585)&gt;0,F276+1,0),0)</f>
        <v>0</v>
      </c>
      <c r="H276" s="220">
        <f>IF(H$2&lt;=analysis_period,IF(SUM($C585:H585)&gt;0,G276+1,0),0)</f>
        <v>0</v>
      </c>
      <c r="I276" s="220">
        <f>IF(I$2&lt;=analysis_period,IF(SUM($C585:I585)&gt;0,H276+1,0),0)</f>
        <v>0</v>
      </c>
      <c r="J276" s="220">
        <f>IF(J$2&lt;=analysis_period,IF(SUM($C585:J585)&gt;0,I276+1,0),0)</f>
        <v>0</v>
      </c>
      <c r="K276" s="220">
        <f>IF(K$2&lt;=analysis_period,IF(SUM($C585:K585)&gt;0,J276+1,0),0)</f>
        <v>0</v>
      </c>
      <c r="L276" s="220">
        <f>IF(L$2&lt;=analysis_period,IF(SUM($C585:L585)&gt;0,K276+1,0),0)</f>
        <v>0</v>
      </c>
      <c r="M276" s="220">
        <f>IF(M$2&lt;=analysis_period,IF(SUM($C585:M585)&gt;0,L276+1,0),0)</f>
        <v>0</v>
      </c>
      <c r="N276" s="220">
        <f>IF(N$2&lt;=analysis_period,IF(SUM($C585:N585)&gt;0,M276+1,0),0)</f>
        <v>0</v>
      </c>
      <c r="O276" s="220">
        <f>IF(O$2&lt;=analysis_period,IF(SUM($C585:O585)&gt;0,N276+1,0),0)</f>
        <v>0</v>
      </c>
      <c r="P276" s="220">
        <f>IF(P$2&lt;=analysis_period,IF(SUM($C585:P585)&gt;0,O276+1,0),0)</f>
        <v>0</v>
      </c>
      <c r="Q276" s="220">
        <f>IF(Q$2&lt;=analysis_period,IF(SUM($C585:Q585)&gt;0,P276+1,0),0)</f>
        <v>0</v>
      </c>
      <c r="R276" s="220">
        <f>IF(R$2&lt;=analysis_period,IF(SUM($C585:R585)&gt;0,Q276+1,0),0)</f>
        <v>0</v>
      </c>
      <c r="S276" s="220">
        <f>IF(S$2&lt;=analysis_period,IF(SUM($C585:S585)&gt;0,R276+1,0),0)</f>
        <v>0</v>
      </c>
      <c r="T276" s="220">
        <f>IF(T$2&lt;=analysis_period,IF(SUM($C585:T585)&gt;0,S276+1,0),0)</f>
        <v>0</v>
      </c>
      <c r="U276" s="220">
        <f>IF(U$2&lt;=analysis_period,IF(SUM($C585:U585)&gt;0,T276+1,0),0)</f>
        <v>0</v>
      </c>
      <c r="V276" s="220">
        <f>IF(V$2&lt;=analysis_period,IF(SUM($C585:V585)&gt;0,U276+1,0),0)</f>
        <v>0</v>
      </c>
      <c r="W276" s="220">
        <f>IF(W$2&lt;=analysis_period,IF(SUM($C585:W585)&gt;0,V276+1,0),0)</f>
        <v>0</v>
      </c>
      <c r="X276" s="220">
        <f>IF(X$2&lt;=analysis_period,IF(SUM($C585:X585)&gt;0,W276+1,0),0)</f>
        <v>0</v>
      </c>
      <c r="Y276" s="220">
        <f>IF(Y$2&lt;=analysis_period,IF(SUM($C585:Y585)&gt;0,X276+1,0),0)</f>
        <v>0</v>
      </c>
      <c r="Z276" s="220">
        <f>IF(Z$2&lt;=analysis_period,IF(SUM($C585:Z585)&gt;0,Y276+1,0),0)</f>
        <v>0</v>
      </c>
      <c r="AA276" s="220">
        <f>IF(AA$2&lt;=analysis_period,IF(SUM($C585:AA585)&gt;0,Z276+1,0),0)</f>
        <v>0</v>
      </c>
      <c r="AB276" s="220">
        <f>IF(AB$2&lt;=analysis_period,IF(SUM($C585:AB585)&gt;0,AA276+1,0),0)</f>
        <v>0</v>
      </c>
      <c r="AC276" s="220">
        <f>IF(AC$2&lt;=analysis_period,IF(SUM($C585:AC585)&gt;0,AB276+1,0),0)</f>
        <v>0</v>
      </c>
      <c r="AD276" s="220">
        <f>IF(AD$2&lt;=analysis_period,IF(SUM($C585:AD585)&gt;0,AC276+1,0),0)</f>
        <v>0</v>
      </c>
      <c r="AE276" s="220">
        <f>IF(AE$2&lt;=analysis_period,IF(SUM($C585:AE585)&gt;0,AD276+1,0),0)</f>
        <v>0</v>
      </c>
      <c r="AF276" s="220">
        <f>IF(AF$2&lt;=analysis_period,IF(SUM($C585:AF585)&gt;0,AE276+1,0),0)</f>
        <v>0</v>
      </c>
      <c r="AG276" s="220">
        <f>IF(AG$2&lt;=analysis_period,IF(SUM($C585:AG585)&gt;0,AF276+1,0),0)</f>
        <v>0</v>
      </c>
      <c r="AH276" s="220">
        <f>IF(AH$2&lt;=analysis_period,IF(SUM($C585:AH585)&gt;0,AG276+1,0),0)</f>
        <v>0</v>
      </c>
      <c r="AI276" s="220">
        <f>IF(AI$2&lt;=analysis_period,IF(SUM($C585:AI585)&gt;0,AH276+1,0),0)</f>
        <v>0</v>
      </c>
      <c r="AJ276" s="220">
        <f>IF(AJ$2&lt;=analysis_period,IF(SUM($C585:AJ585)&gt;0,AI276+1,0),0)</f>
        <v>0</v>
      </c>
      <c r="AK276" s="220">
        <f>IF(AK$2&lt;=analysis_period,IF(SUM($C585:AK585)&gt;0,AJ276+1,0),0)</f>
        <v>0</v>
      </c>
      <c r="AL276" s="220">
        <f>IF(AL$2&lt;=analysis_period,IF(SUM($C585:AL585)&gt;0,AK276+1,0),0)</f>
        <v>0</v>
      </c>
      <c r="AM276" s="220">
        <f>IF(AM$2&lt;=analysis_period,IF(SUM($C585:AM585)&gt;0,AL276+1,0),0)</f>
        <v>0</v>
      </c>
      <c r="AN276" s="220">
        <f>IF(AN$2&lt;=analysis_period,IF(SUM($C585:AN585)&gt;0,AM276+1,0),0)</f>
        <v>0</v>
      </c>
      <c r="AO276" s="220">
        <f>IF(AO$2&lt;=analysis_period,IF(SUM($C585:AO585)&gt;0,AN276+1,0),0)</f>
        <v>0</v>
      </c>
      <c r="AP276" s="220">
        <f>IF(AP$2&lt;=analysis_period,IF(SUM($C585:AP585)&gt;0,AO276+1,0),0)</f>
        <v>0</v>
      </c>
    </row>
    <row r="277" spans="1:42" x14ac:dyDescent="0.2">
      <c r="A277" s="4">
        <f>A276+1</f>
        <v>9</v>
      </c>
      <c r="B277" s="4">
        <v>0</v>
      </c>
      <c r="C277" s="220">
        <f>IF(C$2&lt;=analysis_period,IF(SUM($C586:C586)&gt;0,B277+1,0),0)</f>
        <v>0</v>
      </c>
      <c r="D277" s="220">
        <f>IF(D$2&lt;=analysis_period,IF(SUM($C586:D586)&gt;0,C277+1,0),0)</f>
        <v>0</v>
      </c>
      <c r="E277" s="220">
        <f>IF(E$2&lt;=analysis_period,IF(SUM($C586:E586)&gt;0,D277+1,0),0)</f>
        <v>0</v>
      </c>
      <c r="F277" s="220">
        <f>IF(F$2&lt;=analysis_period,IF(SUM($C586:F586)&gt;0,E277+1,0),0)</f>
        <v>0</v>
      </c>
      <c r="G277" s="220">
        <f>IF(G$2&lt;=analysis_period,IF(SUM($C586:G586)&gt;0,F277+1,0),0)</f>
        <v>0</v>
      </c>
      <c r="H277" s="220">
        <f>IF(H$2&lt;=analysis_period,IF(SUM($C586:H586)&gt;0,G277+1,0),0)</f>
        <v>0</v>
      </c>
      <c r="I277" s="220">
        <f>IF(I$2&lt;=analysis_period,IF(SUM($C586:I586)&gt;0,H277+1,0),0)</f>
        <v>0</v>
      </c>
      <c r="J277" s="220">
        <f>IF(J$2&lt;=analysis_period,IF(SUM($C586:J586)&gt;0,I277+1,0),0)</f>
        <v>0</v>
      </c>
      <c r="K277" s="220">
        <f>IF(K$2&lt;=analysis_period,IF(SUM($C586:K586)&gt;0,J277+1,0),0)</f>
        <v>0</v>
      </c>
      <c r="L277" s="220">
        <f>IF(L$2&lt;=analysis_period,IF(SUM($C586:L586)&gt;0,K277+1,0),0)</f>
        <v>0</v>
      </c>
      <c r="M277" s="220">
        <f>IF(M$2&lt;=analysis_period,IF(SUM($C586:M586)&gt;0,L277+1,0),0)</f>
        <v>0</v>
      </c>
      <c r="N277" s="220">
        <f>IF(N$2&lt;=analysis_period,IF(SUM($C586:N586)&gt;0,M277+1,0),0)</f>
        <v>0</v>
      </c>
      <c r="O277" s="220">
        <f>IF(O$2&lt;=analysis_period,IF(SUM($C586:O586)&gt;0,N277+1,0),0)</f>
        <v>0</v>
      </c>
      <c r="P277" s="220">
        <f>IF(P$2&lt;=analysis_period,IF(SUM($C586:P586)&gt;0,O277+1,0),0)</f>
        <v>0</v>
      </c>
      <c r="Q277" s="220">
        <f>IF(Q$2&lt;=analysis_period,IF(SUM($C586:Q586)&gt;0,P277+1,0),0)</f>
        <v>0</v>
      </c>
      <c r="R277" s="220">
        <f>IF(R$2&lt;=analysis_period,IF(SUM($C586:R586)&gt;0,Q277+1,0),0)</f>
        <v>0</v>
      </c>
      <c r="S277" s="220">
        <f>IF(S$2&lt;=analysis_period,IF(SUM($C586:S586)&gt;0,R277+1,0),0)</f>
        <v>0</v>
      </c>
      <c r="T277" s="220">
        <f>IF(T$2&lt;=analysis_period,IF(SUM($C586:T586)&gt;0,S277+1,0),0)</f>
        <v>0</v>
      </c>
      <c r="U277" s="220">
        <f>IF(U$2&lt;=analysis_period,IF(SUM($C586:U586)&gt;0,T277+1,0),0)</f>
        <v>0</v>
      </c>
      <c r="V277" s="220">
        <f>IF(V$2&lt;=analysis_period,IF(SUM($C586:V586)&gt;0,U277+1,0),0)</f>
        <v>0</v>
      </c>
      <c r="W277" s="220">
        <f>IF(W$2&lt;=analysis_period,IF(SUM($C586:W586)&gt;0,V277+1,0),0)</f>
        <v>0</v>
      </c>
      <c r="X277" s="220">
        <f>IF(X$2&lt;=analysis_period,IF(SUM($C586:X586)&gt;0,W277+1,0),0)</f>
        <v>0</v>
      </c>
      <c r="Y277" s="220">
        <f>IF(Y$2&lt;=analysis_period,IF(SUM($C586:Y586)&gt;0,X277+1,0),0)</f>
        <v>0</v>
      </c>
      <c r="Z277" s="220">
        <f>IF(Z$2&lt;=analysis_period,IF(SUM($C586:Z586)&gt;0,Y277+1,0),0)</f>
        <v>0</v>
      </c>
      <c r="AA277" s="220">
        <f>IF(AA$2&lt;=analysis_period,IF(SUM($C586:AA586)&gt;0,Z277+1,0),0)</f>
        <v>0</v>
      </c>
      <c r="AB277" s="220">
        <f>IF(AB$2&lt;=analysis_period,IF(SUM($C586:AB586)&gt;0,AA277+1,0),0)</f>
        <v>0</v>
      </c>
      <c r="AC277" s="220">
        <f>IF(AC$2&lt;=analysis_period,IF(SUM($C586:AC586)&gt;0,AB277+1,0),0)</f>
        <v>0</v>
      </c>
      <c r="AD277" s="220">
        <f>IF(AD$2&lt;=analysis_period,IF(SUM($C586:AD586)&gt;0,AC277+1,0),0)</f>
        <v>0</v>
      </c>
      <c r="AE277" s="220">
        <f>IF(AE$2&lt;=analysis_period,IF(SUM($C586:AE586)&gt;0,AD277+1,0),0)</f>
        <v>0</v>
      </c>
      <c r="AF277" s="220">
        <f>IF(AF$2&lt;=analysis_period,IF(SUM($C586:AF586)&gt;0,AE277+1,0),0)</f>
        <v>0</v>
      </c>
      <c r="AG277" s="220">
        <f>IF(AG$2&lt;=analysis_period,IF(SUM($C586:AG586)&gt;0,AF277+1,0),0)</f>
        <v>0</v>
      </c>
      <c r="AH277" s="220">
        <f>IF(AH$2&lt;=analysis_period,IF(SUM($C586:AH586)&gt;0,AG277+1,0),0)</f>
        <v>0</v>
      </c>
      <c r="AI277" s="220">
        <f>IF(AI$2&lt;=analysis_period,IF(SUM($C586:AI586)&gt;0,AH277+1,0),0)</f>
        <v>0</v>
      </c>
      <c r="AJ277" s="220">
        <f>IF(AJ$2&lt;=analysis_period,IF(SUM($C586:AJ586)&gt;0,AI277+1,0),0)</f>
        <v>0</v>
      </c>
      <c r="AK277" s="220">
        <f>IF(AK$2&lt;=analysis_period,IF(SUM($C586:AK586)&gt;0,AJ277+1,0),0)</f>
        <v>0</v>
      </c>
      <c r="AL277" s="220">
        <f>IF(AL$2&lt;=analysis_period,IF(SUM($C586:AL586)&gt;0,AK277+1,0),0)</f>
        <v>0</v>
      </c>
      <c r="AM277" s="220">
        <f>IF(AM$2&lt;=analysis_period,IF(SUM($C586:AM586)&gt;0,AL277+1,0),0)</f>
        <v>0</v>
      </c>
      <c r="AN277" s="220">
        <f>IF(AN$2&lt;=analysis_period,IF(SUM($C586:AN586)&gt;0,AM277+1,0),0)</f>
        <v>0</v>
      </c>
      <c r="AO277" s="220">
        <f>IF(AO$2&lt;=analysis_period,IF(SUM($C586:AO586)&gt;0,AN277+1,0),0)</f>
        <v>0</v>
      </c>
      <c r="AP277" s="220">
        <f>IF(AP$2&lt;=analysis_period,IF(SUM($C586:AP586)&gt;0,AO277+1,0),0)</f>
        <v>0</v>
      </c>
    </row>
    <row r="278" spans="1:42" x14ac:dyDescent="0.2">
      <c r="A278" s="4">
        <f t="shared" si="120"/>
        <v>10</v>
      </c>
      <c r="B278" s="4">
        <v>0</v>
      </c>
      <c r="C278" s="220">
        <f>IF(C$2&lt;=analysis_period,IF(SUM($C587:C587)&gt;0,B278+1,0),0)</f>
        <v>0</v>
      </c>
      <c r="D278" s="220">
        <f>IF(D$2&lt;=analysis_period,IF(SUM($C587:D587)&gt;0,C278+1,0),0)</f>
        <v>0</v>
      </c>
      <c r="E278" s="220">
        <f>IF(E$2&lt;=analysis_period,IF(SUM($C587:E587)&gt;0,D278+1,0),0)</f>
        <v>0</v>
      </c>
      <c r="F278" s="220">
        <f>IF(F$2&lt;=analysis_period,IF(SUM($C587:F587)&gt;0,E278+1,0),0)</f>
        <v>0</v>
      </c>
      <c r="G278" s="220">
        <f>IF(G$2&lt;=analysis_period,IF(SUM($C587:G587)&gt;0,F278+1,0),0)</f>
        <v>0</v>
      </c>
      <c r="H278" s="220">
        <f>IF(H$2&lt;=analysis_period,IF(SUM($C587:H587)&gt;0,G278+1,0),0)</f>
        <v>0</v>
      </c>
      <c r="I278" s="220">
        <f>IF(I$2&lt;=analysis_period,IF(SUM($C587:I587)&gt;0,H278+1,0),0)</f>
        <v>0</v>
      </c>
      <c r="J278" s="220">
        <f>IF(J$2&lt;=analysis_period,IF(SUM($C587:J587)&gt;0,I278+1,0),0)</f>
        <v>0</v>
      </c>
      <c r="K278" s="220">
        <f>IF(K$2&lt;=analysis_period,IF(SUM($C587:K587)&gt;0,J278+1,0),0)</f>
        <v>0</v>
      </c>
      <c r="L278" s="220">
        <f>IF(L$2&lt;=analysis_period,IF(SUM($C587:L587)&gt;0,K278+1,0),0)</f>
        <v>0</v>
      </c>
      <c r="M278" s="220">
        <f>IF(M$2&lt;=analysis_period,IF(SUM($C587:M587)&gt;0,L278+1,0),0)</f>
        <v>0</v>
      </c>
      <c r="N278" s="220">
        <f>IF(N$2&lt;=analysis_period,IF(SUM($C587:N587)&gt;0,M278+1,0),0)</f>
        <v>0</v>
      </c>
      <c r="O278" s="220">
        <f>IF(O$2&lt;=analysis_period,IF(SUM($C587:O587)&gt;0,N278+1,0),0)</f>
        <v>0</v>
      </c>
      <c r="P278" s="220">
        <f>IF(P$2&lt;=analysis_period,IF(SUM($C587:P587)&gt;0,O278+1,0),0)</f>
        <v>0</v>
      </c>
      <c r="Q278" s="220">
        <f>IF(Q$2&lt;=analysis_period,IF(SUM($C587:Q587)&gt;0,P278+1,0),0)</f>
        <v>0</v>
      </c>
      <c r="R278" s="220">
        <f>IF(R$2&lt;=analysis_period,IF(SUM($C587:R587)&gt;0,Q278+1,0),0)</f>
        <v>0</v>
      </c>
      <c r="S278" s="220">
        <f>IF(S$2&lt;=analysis_period,IF(SUM($C587:S587)&gt;0,R278+1,0),0)</f>
        <v>0</v>
      </c>
      <c r="T278" s="220">
        <f>IF(T$2&lt;=analysis_period,IF(SUM($C587:T587)&gt;0,S278+1,0),0)</f>
        <v>0</v>
      </c>
      <c r="U278" s="220">
        <f>IF(U$2&lt;=analysis_period,IF(SUM($C587:U587)&gt;0,T278+1,0),0)</f>
        <v>0</v>
      </c>
      <c r="V278" s="220">
        <f>IF(V$2&lt;=analysis_period,IF(SUM($C587:V587)&gt;0,U278+1,0),0)</f>
        <v>0</v>
      </c>
      <c r="W278" s="220">
        <f>IF(W$2&lt;=analysis_period,IF(SUM($C587:W587)&gt;0,V278+1,0),0)</f>
        <v>0</v>
      </c>
      <c r="X278" s="220">
        <f>IF(X$2&lt;=analysis_period,IF(SUM($C587:X587)&gt;0,W278+1,0),0)</f>
        <v>0</v>
      </c>
      <c r="Y278" s="220">
        <f>IF(Y$2&lt;=analysis_period,IF(SUM($C587:Y587)&gt;0,X278+1,0),0)</f>
        <v>0</v>
      </c>
      <c r="Z278" s="220">
        <f>IF(Z$2&lt;=analysis_period,IF(SUM($C587:Z587)&gt;0,Y278+1,0),0)</f>
        <v>0</v>
      </c>
      <c r="AA278" s="220">
        <f>IF(AA$2&lt;=analysis_period,IF(SUM($C587:AA587)&gt;0,Z278+1,0),0)</f>
        <v>0</v>
      </c>
      <c r="AB278" s="220">
        <f>IF(AB$2&lt;=analysis_period,IF(SUM($C587:AB587)&gt;0,AA278+1,0),0)</f>
        <v>0</v>
      </c>
      <c r="AC278" s="220">
        <f>IF(AC$2&lt;=analysis_period,IF(SUM($C587:AC587)&gt;0,AB278+1,0),0)</f>
        <v>0</v>
      </c>
      <c r="AD278" s="220">
        <f>IF(AD$2&lt;=analysis_period,IF(SUM($C587:AD587)&gt;0,AC278+1,0),0)</f>
        <v>0</v>
      </c>
      <c r="AE278" s="220">
        <f>IF(AE$2&lt;=analysis_period,IF(SUM($C587:AE587)&gt;0,AD278+1,0),0)</f>
        <v>0</v>
      </c>
      <c r="AF278" s="220">
        <f>IF(AF$2&lt;=analysis_period,IF(SUM($C587:AF587)&gt;0,AE278+1,0),0)</f>
        <v>0</v>
      </c>
      <c r="AG278" s="220">
        <f>IF(AG$2&lt;=analysis_period,IF(SUM($C587:AG587)&gt;0,AF278+1,0),0)</f>
        <v>0</v>
      </c>
      <c r="AH278" s="220">
        <f>IF(AH$2&lt;=analysis_period,IF(SUM($C587:AH587)&gt;0,AG278+1,0),0)</f>
        <v>0</v>
      </c>
      <c r="AI278" s="220">
        <f>IF(AI$2&lt;=analysis_period,IF(SUM($C587:AI587)&gt;0,AH278+1,0),0)</f>
        <v>0</v>
      </c>
      <c r="AJ278" s="220">
        <f>IF(AJ$2&lt;=analysis_period,IF(SUM($C587:AJ587)&gt;0,AI278+1,0),0)</f>
        <v>0</v>
      </c>
      <c r="AK278" s="220">
        <f>IF(AK$2&lt;=analysis_period,IF(SUM($C587:AK587)&gt;0,AJ278+1,0),0)</f>
        <v>0</v>
      </c>
      <c r="AL278" s="220">
        <f>IF(AL$2&lt;=analysis_period,IF(SUM($C587:AL587)&gt;0,AK278+1,0),0)</f>
        <v>0</v>
      </c>
      <c r="AM278" s="220">
        <f>IF(AM$2&lt;=analysis_period,IF(SUM($C587:AM587)&gt;0,AL278+1,0),0)</f>
        <v>0</v>
      </c>
      <c r="AN278" s="220">
        <f>IF(AN$2&lt;=analysis_period,IF(SUM($C587:AN587)&gt;0,AM278+1,0),0)</f>
        <v>0</v>
      </c>
      <c r="AO278" s="220">
        <f>IF(AO$2&lt;=analysis_period,IF(SUM($C587:AO587)&gt;0,AN278+1,0),0)</f>
        <v>0</v>
      </c>
      <c r="AP278" s="220">
        <f>IF(AP$2&lt;=analysis_period,IF(SUM($C587:AP587)&gt;0,AO278+1,0),0)</f>
        <v>0</v>
      </c>
    </row>
    <row r="279" spans="1:42" x14ac:dyDescent="0.2">
      <c r="A279" s="33" t="s">
        <v>95</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row>
    <row r="280" spans="1:42" x14ac:dyDescent="0.2">
      <c r="A280" s="4">
        <v>1</v>
      </c>
      <c r="B280" s="240">
        <f t="shared" ref="B280:B289" si="121">SUM(C280:AP280)</f>
        <v>6559908.454343209</v>
      </c>
      <c r="C280" s="220">
        <f t="shared" ref="C280:AP280" si="122">LOOKUP(C269,$B$264:$AP$264,$B$265:$AP$265)/100*$B578</f>
        <v>0</v>
      </c>
      <c r="D280" s="220">
        <f t="shared" si="122"/>
        <v>0</v>
      </c>
      <c r="E280" s="220">
        <f t="shared" si="122"/>
        <v>0</v>
      </c>
      <c r="F280" s="220">
        <f t="shared" si="122"/>
        <v>0</v>
      </c>
      <c r="G280" s="220">
        <f t="shared" si="122"/>
        <v>0</v>
      </c>
      <c r="H280" s="220">
        <f t="shared" si="122"/>
        <v>0</v>
      </c>
      <c r="I280" s="220">
        <f t="shared" si="122"/>
        <v>0</v>
      </c>
      <c r="J280" s="220">
        <f t="shared" si="122"/>
        <v>0</v>
      </c>
      <c r="K280" s="220">
        <f t="shared" si="122"/>
        <v>0</v>
      </c>
      <c r="L280" s="220">
        <f t="shared" si="122"/>
        <v>0</v>
      </c>
      <c r="M280" s="220">
        <f t="shared" si="122"/>
        <v>0</v>
      </c>
      <c r="N280" s="220">
        <f t="shared" si="122"/>
        <v>1311981.6908686419</v>
      </c>
      <c r="O280" s="220">
        <f t="shared" si="122"/>
        <v>2099170.705389827</v>
      </c>
      <c r="P280" s="220">
        <f t="shared" si="122"/>
        <v>1259502.4232338963</v>
      </c>
      <c r="Q280" s="220">
        <f t="shared" si="122"/>
        <v>755701.45394033764</v>
      </c>
      <c r="R280" s="220">
        <f t="shared" si="122"/>
        <v>755701.45394033764</v>
      </c>
      <c r="S280" s="220">
        <f t="shared" si="122"/>
        <v>377850.72697016882</v>
      </c>
      <c r="T280" s="220">
        <f t="shared" si="122"/>
        <v>0</v>
      </c>
      <c r="U280" s="220">
        <f t="shared" si="122"/>
        <v>0</v>
      </c>
      <c r="V280" s="220">
        <f t="shared" si="122"/>
        <v>0</v>
      </c>
      <c r="W280" s="220">
        <f t="shared" si="122"/>
        <v>0</v>
      </c>
      <c r="X280" s="220">
        <f t="shared" si="122"/>
        <v>0</v>
      </c>
      <c r="Y280" s="220">
        <f t="shared" si="122"/>
        <v>0</v>
      </c>
      <c r="Z280" s="220">
        <f t="shared" si="122"/>
        <v>0</v>
      </c>
      <c r="AA280" s="220">
        <f t="shared" si="122"/>
        <v>0</v>
      </c>
      <c r="AB280" s="220">
        <f t="shared" si="122"/>
        <v>0</v>
      </c>
      <c r="AC280" s="220">
        <f t="shared" si="122"/>
        <v>0</v>
      </c>
      <c r="AD280" s="220">
        <f t="shared" si="122"/>
        <v>0</v>
      </c>
      <c r="AE280" s="220">
        <f t="shared" si="122"/>
        <v>0</v>
      </c>
      <c r="AF280" s="220">
        <f t="shared" si="122"/>
        <v>0</v>
      </c>
      <c r="AG280" s="220">
        <f t="shared" si="122"/>
        <v>0</v>
      </c>
      <c r="AH280" s="220">
        <f t="shared" si="122"/>
        <v>0</v>
      </c>
      <c r="AI280" s="220">
        <f t="shared" si="122"/>
        <v>0</v>
      </c>
      <c r="AJ280" s="220">
        <f t="shared" si="122"/>
        <v>0</v>
      </c>
      <c r="AK280" s="220">
        <f t="shared" si="122"/>
        <v>0</v>
      </c>
      <c r="AL280" s="220">
        <f t="shared" si="122"/>
        <v>0</v>
      </c>
      <c r="AM280" s="220">
        <f t="shared" si="122"/>
        <v>0</v>
      </c>
      <c r="AN280" s="220">
        <f t="shared" si="122"/>
        <v>0</v>
      </c>
      <c r="AO280" s="220">
        <f t="shared" si="122"/>
        <v>0</v>
      </c>
      <c r="AP280" s="220">
        <f t="shared" si="122"/>
        <v>0</v>
      </c>
    </row>
    <row r="281" spans="1:42" x14ac:dyDescent="0.2">
      <c r="A281" s="4">
        <f>A280+1</f>
        <v>2</v>
      </c>
      <c r="B281" s="240">
        <f t="shared" si="121"/>
        <v>4587620.7355289934</v>
      </c>
      <c r="C281" s="220">
        <f t="shared" ref="C281:AP281" si="123">LOOKUP(C270,$B$264:$AP$264,$B$265:$AP$265)/100*$B579</f>
        <v>0</v>
      </c>
      <c r="D281" s="220">
        <f t="shared" si="123"/>
        <v>0</v>
      </c>
      <c r="E281" s="220">
        <f t="shared" si="123"/>
        <v>0</v>
      </c>
      <c r="F281" s="220">
        <f t="shared" si="123"/>
        <v>0</v>
      </c>
      <c r="G281" s="220">
        <f t="shared" si="123"/>
        <v>0</v>
      </c>
      <c r="H281" s="220">
        <f t="shared" si="123"/>
        <v>0</v>
      </c>
      <c r="I281" s="220">
        <f t="shared" si="123"/>
        <v>0</v>
      </c>
      <c r="J281" s="220">
        <f t="shared" si="123"/>
        <v>0</v>
      </c>
      <c r="K281" s="220">
        <f t="shared" si="123"/>
        <v>0</v>
      </c>
      <c r="L281" s="220">
        <f t="shared" si="123"/>
        <v>0</v>
      </c>
      <c r="M281" s="220">
        <f t="shared" si="123"/>
        <v>0</v>
      </c>
      <c r="N281" s="220">
        <f t="shared" si="123"/>
        <v>0</v>
      </c>
      <c r="O281" s="220">
        <f t="shared" si="123"/>
        <v>0</v>
      </c>
      <c r="P281" s="220">
        <f t="shared" si="123"/>
        <v>0</v>
      </c>
      <c r="Q281" s="220">
        <f t="shared" si="123"/>
        <v>0</v>
      </c>
      <c r="R281" s="220">
        <f t="shared" si="123"/>
        <v>0</v>
      </c>
      <c r="S281" s="220">
        <f t="shared" si="123"/>
        <v>0</v>
      </c>
      <c r="T281" s="220">
        <f t="shared" si="123"/>
        <v>0</v>
      </c>
      <c r="U281" s="220">
        <f t="shared" si="123"/>
        <v>0</v>
      </c>
      <c r="V281" s="220">
        <f t="shared" si="123"/>
        <v>0</v>
      </c>
      <c r="W281" s="220">
        <f t="shared" si="123"/>
        <v>0</v>
      </c>
      <c r="X281" s="220">
        <f t="shared" si="123"/>
        <v>0</v>
      </c>
      <c r="Y281" s="220">
        <f t="shared" si="123"/>
        <v>0</v>
      </c>
      <c r="Z281" s="220">
        <f t="shared" si="123"/>
        <v>1764469.5136649974</v>
      </c>
      <c r="AA281" s="220">
        <f t="shared" si="123"/>
        <v>2823151.2218639958</v>
      </c>
      <c r="AB281" s="220">
        <f t="shared" si="123"/>
        <v>0</v>
      </c>
      <c r="AC281" s="220">
        <f t="shared" si="123"/>
        <v>0</v>
      </c>
      <c r="AD281" s="220">
        <f t="shared" si="123"/>
        <v>0</v>
      </c>
      <c r="AE281" s="220">
        <f t="shared" si="123"/>
        <v>0</v>
      </c>
      <c r="AF281" s="220">
        <f t="shared" si="123"/>
        <v>0</v>
      </c>
      <c r="AG281" s="220">
        <f t="shared" si="123"/>
        <v>0</v>
      </c>
      <c r="AH281" s="220">
        <f t="shared" si="123"/>
        <v>0</v>
      </c>
      <c r="AI281" s="220">
        <f t="shared" si="123"/>
        <v>0</v>
      </c>
      <c r="AJ281" s="220">
        <f t="shared" si="123"/>
        <v>0</v>
      </c>
      <c r="AK281" s="220">
        <f t="shared" si="123"/>
        <v>0</v>
      </c>
      <c r="AL281" s="220">
        <f t="shared" si="123"/>
        <v>0</v>
      </c>
      <c r="AM281" s="220">
        <f t="shared" si="123"/>
        <v>0</v>
      </c>
      <c r="AN281" s="220">
        <f t="shared" si="123"/>
        <v>0</v>
      </c>
      <c r="AO281" s="220">
        <f t="shared" si="123"/>
        <v>0</v>
      </c>
      <c r="AP281" s="220">
        <f t="shared" si="123"/>
        <v>0</v>
      </c>
    </row>
    <row r="282" spans="1:42" x14ac:dyDescent="0.2">
      <c r="A282" s="4">
        <f t="shared" ref="A282:A289" si="124">A281+1</f>
        <v>3</v>
      </c>
      <c r="B282" s="240">
        <f t="shared" si="121"/>
        <v>0</v>
      </c>
      <c r="C282" s="220">
        <f t="shared" ref="C282:AP282" si="125">LOOKUP(C271,$B$264:$AP$264,$B$265:$AP$265)/100*$B580</f>
        <v>0</v>
      </c>
      <c r="D282" s="220">
        <f t="shared" si="125"/>
        <v>0</v>
      </c>
      <c r="E282" s="220">
        <f t="shared" si="125"/>
        <v>0</v>
      </c>
      <c r="F282" s="220">
        <f t="shared" si="125"/>
        <v>0</v>
      </c>
      <c r="G282" s="220">
        <f t="shared" si="125"/>
        <v>0</v>
      </c>
      <c r="H282" s="220">
        <f t="shared" si="125"/>
        <v>0</v>
      </c>
      <c r="I282" s="220">
        <f t="shared" si="125"/>
        <v>0</v>
      </c>
      <c r="J282" s="220">
        <f t="shared" si="125"/>
        <v>0</v>
      </c>
      <c r="K282" s="220">
        <f t="shared" si="125"/>
        <v>0</v>
      </c>
      <c r="L282" s="220">
        <f t="shared" si="125"/>
        <v>0</v>
      </c>
      <c r="M282" s="220">
        <f t="shared" si="125"/>
        <v>0</v>
      </c>
      <c r="N282" s="220">
        <f t="shared" si="125"/>
        <v>0</v>
      </c>
      <c r="O282" s="220">
        <f t="shared" si="125"/>
        <v>0</v>
      </c>
      <c r="P282" s="220">
        <f t="shared" si="125"/>
        <v>0</v>
      </c>
      <c r="Q282" s="220">
        <f t="shared" si="125"/>
        <v>0</v>
      </c>
      <c r="R282" s="220">
        <f t="shared" si="125"/>
        <v>0</v>
      </c>
      <c r="S282" s="220">
        <f t="shared" si="125"/>
        <v>0</v>
      </c>
      <c r="T282" s="220">
        <f t="shared" si="125"/>
        <v>0</v>
      </c>
      <c r="U282" s="220">
        <f t="shared" si="125"/>
        <v>0</v>
      </c>
      <c r="V282" s="220">
        <f t="shared" si="125"/>
        <v>0</v>
      </c>
      <c r="W282" s="220">
        <f t="shared" si="125"/>
        <v>0</v>
      </c>
      <c r="X282" s="220">
        <f t="shared" si="125"/>
        <v>0</v>
      </c>
      <c r="Y282" s="220">
        <f t="shared" si="125"/>
        <v>0</v>
      </c>
      <c r="Z282" s="220">
        <f t="shared" si="125"/>
        <v>0</v>
      </c>
      <c r="AA282" s="220">
        <f t="shared" si="125"/>
        <v>0</v>
      </c>
      <c r="AB282" s="220">
        <f t="shared" si="125"/>
        <v>0</v>
      </c>
      <c r="AC282" s="220">
        <f t="shared" si="125"/>
        <v>0</v>
      </c>
      <c r="AD282" s="220">
        <f t="shared" si="125"/>
        <v>0</v>
      </c>
      <c r="AE282" s="220">
        <f t="shared" si="125"/>
        <v>0</v>
      </c>
      <c r="AF282" s="220">
        <f t="shared" si="125"/>
        <v>0</v>
      </c>
      <c r="AG282" s="220">
        <f t="shared" si="125"/>
        <v>0</v>
      </c>
      <c r="AH282" s="220">
        <f t="shared" si="125"/>
        <v>0</v>
      </c>
      <c r="AI282" s="220">
        <f t="shared" si="125"/>
        <v>0</v>
      </c>
      <c r="AJ282" s="220">
        <f t="shared" si="125"/>
        <v>0</v>
      </c>
      <c r="AK282" s="220">
        <f t="shared" si="125"/>
        <v>0</v>
      </c>
      <c r="AL282" s="220">
        <f t="shared" si="125"/>
        <v>0</v>
      </c>
      <c r="AM282" s="220">
        <f t="shared" si="125"/>
        <v>0</v>
      </c>
      <c r="AN282" s="220">
        <f t="shared" si="125"/>
        <v>0</v>
      </c>
      <c r="AO282" s="220">
        <f t="shared" si="125"/>
        <v>0</v>
      </c>
      <c r="AP282" s="220">
        <f t="shared" si="125"/>
        <v>0</v>
      </c>
    </row>
    <row r="283" spans="1:42" x14ac:dyDescent="0.2">
      <c r="A283" s="4">
        <f t="shared" si="124"/>
        <v>4</v>
      </c>
      <c r="B283" s="240">
        <f t="shared" si="121"/>
        <v>0</v>
      </c>
      <c r="C283" s="220">
        <f t="shared" ref="C283:AP283" si="126">LOOKUP(C272,$B$264:$AP$264,$B$265:$AP$265)/100*$B581</f>
        <v>0</v>
      </c>
      <c r="D283" s="220">
        <f t="shared" si="126"/>
        <v>0</v>
      </c>
      <c r="E283" s="220">
        <f t="shared" si="126"/>
        <v>0</v>
      </c>
      <c r="F283" s="220">
        <f t="shared" si="126"/>
        <v>0</v>
      </c>
      <c r="G283" s="220">
        <f t="shared" si="126"/>
        <v>0</v>
      </c>
      <c r="H283" s="220">
        <f t="shared" si="126"/>
        <v>0</v>
      </c>
      <c r="I283" s="220">
        <f t="shared" si="126"/>
        <v>0</v>
      </c>
      <c r="J283" s="220">
        <f t="shared" si="126"/>
        <v>0</v>
      </c>
      <c r="K283" s="220">
        <f t="shared" si="126"/>
        <v>0</v>
      </c>
      <c r="L283" s="220">
        <f t="shared" si="126"/>
        <v>0</v>
      </c>
      <c r="M283" s="220">
        <f t="shared" si="126"/>
        <v>0</v>
      </c>
      <c r="N283" s="220">
        <f t="shared" si="126"/>
        <v>0</v>
      </c>
      <c r="O283" s="220">
        <f t="shared" si="126"/>
        <v>0</v>
      </c>
      <c r="P283" s="220">
        <f t="shared" si="126"/>
        <v>0</v>
      </c>
      <c r="Q283" s="220">
        <f t="shared" si="126"/>
        <v>0</v>
      </c>
      <c r="R283" s="220">
        <f t="shared" si="126"/>
        <v>0</v>
      </c>
      <c r="S283" s="220">
        <f t="shared" si="126"/>
        <v>0</v>
      </c>
      <c r="T283" s="220">
        <f t="shared" si="126"/>
        <v>0</v>
      </c>
      <c r="U283" s="220">
        <f t="shared" si="126"/>
        <v>0</v>
      </c>
      <c r="V283" s="220">
        <f t="shared" si="126"/>
        <v>0</v>
      </c>
      <c r="W283" s="220">
        <f t="shared" si="126"/>
        <v>0</v>
      </c>
      <c r="X283" s="220">
        <f t="shared" si="126"/>
        <v>0</v>
      </c>
      <c r="Y283" s="220">
        <f t="shared" si="126"/>
        <v>0</v>
      </c>
      <c r="Z283" s="220">
        <f t="shared" si="126"/>
        <v>0</v>
      </c>
      <c r="AA283" s="220">
        <f t="shared" si="126"/>
        <v>0</v>
      </c>
      <c r="AB283" s="220">
        <f t="shared" si="126"/>
        <v>0</v>
      </c>
      <c r="AC283" s="220">
        <f t="shared" si="126"/>
        <v>0</v>
      </c>
      <c r="AD283" s="220">
        <f t="shared" si="126"/>
        <v>0</v>
      </c>
      <c r="AE283" s="220">
        <f t="shared" si="126"/>
        <v>0</v>
      </c>
      <c r="AF283" s="220">
        <f t="shared" si="126"/>
        <v>0</v>
      </c>
      <c r="AG283" s="220">
        <f t="shared" si="126"/>
        <v>0</v>
      </c>
      <c r="AH283" s="220">
        <f t="shared" si="126"/>
        <v>0</v>
      </c>
      <c r="AI283" s="220">
        <f t="shared" si="126"/>
        <v>0</v>
      </c>
      <c r="AJ283" s="220">
        <f t="shared" si="126"/>
        <v>0</v>
      </c>
      <c r="AK283" s="220">
        <f t="shared" si="126"/>
        <v>0</v>
      </c>
      <c r="AL283" s="220">
        <f t="shared" si="126"/>
        <v>0</v>
      </c>
      <c r="AM283" s="220">
        <f t="shared" si="126"/>
        <v>0</v>
      </c>
      <c r="AN283" s="220">
        <f t="shared" si="126"/>
        <v>0</v>
      </c>
      <c r="AO283" s="220">
        <f t="shared" si="126"/>
        <v>0</v>
      </c>
      <c r="AP283" s="220">
        <f t="shared" si="126"/>
        <v>0</v>
      </c>
    </row>
    <row r="284" spans="1:42" x14ac:dyDescent="0.2">
      <c r="A284" s="4">
        <f t="shared" si="124"/>
        <v>5</v>
      </c>
      <c r="B284" s="240">
        <f t="shared" si="121"/>
        <v>0</v>
      </c>
      <c r="C284" s="220">
        <f t="shared" ref="C284:AP284" si="127">LOOKUP(C273,$B$264:$AP$264,$B$265:$AP$265)/100*$B582</f>
        <v>0</v>
      </c>
      <c r="D284" s="220">
        <f t="shared" si="127"/>
        <v>0</v>
      </c>
      <c r="E284" s="220">
        <f t="shared" si="127"/>
        <v>0</v>
      </c>
      <c r="F284" s="220">
        <f t="shared" si="127"/>
        <v>0</v>
      </c>
      <c r="G284" s="220">
        <f t="shared" si="127"/>
        <v>0</v>
      </c>
      <c r="H284" s="220">
        <f t="shared" si="127"/>
        <v>0</v>
      </c>
      <c r="I284" s="220">
        <f t="shared" si="127"/>
        <v>0</v>
      </c>
      <c r="J284" s="220">
        <f t="shared" si="127"/>
        <v>0</v>
      </c>
      <c r="K284" s="220">
        <f t="shared" si="127"/>
        <v>0</v>
      </c>
      <c r="L284" s="220">
        <f t="shared" si="127"/>
        <v>0</v>
      </c>
      <c r="M284" s="220">
        <f t="shared" si="127"/>
        <v>0</v>
      </c>
      <c r="N284" s="220">
        <f t="shared" si="127"/>
        <v>0</v>
      </c>
      <c r="O284" s="220">
        <f t="shared" si="127"/>
        <v>0</v>
      </c>
      <c r="P284" s="220">
        <f t="shared" si="127"/>
        <v>0</v>
      </c>
      <c r="Q284" s="220">
        <f t="shared" si="127"/>
        <v>0</v>
      </c>
      <c r="R284" s="220">
        <f t="shared" si="127"/>
        <v>0</v>
      </c>
      <c r="S284" s="220">
        <f t="shared" si="127"/>
        <v>0</v>
      </c>
      <c r="T284" s="220">
        <f t="shared" si="127"/>
        <v>0</v>
      </c>
      <c r="U284" s="220">
        <f t="shared" si="127"/>
        <v>0</v>
      </c>
      <c r="V284" s="220">
        <f t="shared" si="127"/>
        <v>0</v>
      </c>
      <c r="W284" s="220">
        <f t="shared" si="127"/>
        <v>0</v>
      </c>
      <c r="X284" s="220">
        <f t="shared" si="127"/>
        <v>0</v>
      </c>
      <c r="Y284" s="220">
        <f t="shared" si="127"/>
        <v>0</v>
      </c>
      <c r="Z284" s="220">
        <f t="shared" si="127"/>
        <v>0</v>
      </c>
      <c r="AA284" s="220">
        <f t="shared" si="127"/>
        <v>0</v>
      </c>
      <c r="AB284" s="220">
        <f t="shared" si="127"/>
        <v>0</v>
      </c>
      <c r="AC284" s="220">
        <f t="shared" si="127"/>
        <v>0</v>
      </c>
      <c r="AD284" s="220">
        <f t="shared" si="127"/>
        <v>0</v>
      </c>
      <c r="AE284" s="220">
        <f t="shared" si="127"/>
        <v>0</v>
      </c>
      <c r="AF284" s="220">
        <f t="shared" si="127"/>
        <v>0</v>
      </c>
      <c r="AG284" s="220">
        <f t="shared" si="127"/>
        <v>0</v>
      </c>
      <c r="AH284" s="220">
        <f t="shared" si="127"/>
        <v>0</v>
      </c>
      <c r="AI284" s="220">
        <f t="shared" si="127"/>
        <v>0</v>
      </c>
      <c r="AJ284" s="220">
        <f t="shared" si="127"/>
        <v>0</v>
      </c>
      <c r="AK284" s="220">
        <f t="shared" si="127"/>
        <v>0</v>
      </c>
      <c r="AL284" s="220">
        <f t="shared" si="127"/>
        <v>0</v>
      </c>
      <c r="AM284" s="220">
        <f t="shared" si="127"/>
        <v>0</v>
      </c>
      <c r="AN284" s="220">
        <f t="shared" si="127"/>
        <v>0</v>
      </c>
      <c r="AO284" s="220">
        <f t="shared" si="127"/>
        <v>0</v>
      </c>
      <c r="AP284" s="220">
        <f t="shared" si="127"/>
        <v>0</v>
      </c>
    </row>
    <row r="285" spans="1:42" x14ac:dyDescent="0.2">
      <c r="A285" s="17">
        <f t="shared" si="124"/>
        <v>6</v>
      </c>
      <c r="B285" s="240">
        <f t="shared" si="121"/>
        <v>0</v>
      </c>
      <c r="C285" s="220">
        <f t="shared" ref="C285:AP285" si="128">LOOKUP(C274,$B$264:$AP$264,$B$265:$AP$265)/100*$B583</f>
        <v>0</v>
      </c>
      <c r="D285" s="220">
        <f t="shared" si="128"/>
        <v>0</v>
      </c>
      <c r="E285" s="220">
        <f t="shared" si="128"/>
        <v>0</v>
      </c>
      <c r="F285" s="220">
        <f t="shared" si="128"/>
        <v>0</v>
      </c>
      <c r="G285" s="220">
        <f t="shared" si="128"/>
        <v>0</v>
      </c>
      <c r="H285" s="220">
        <f t="shared" si="128"/>
        <v>0</v>
      </c>
      <c r="I285" s="220">
        <f t="shared" si="128"/>
        <v>0</v>
      </c>
      <c r="J285" s="220">
        <f t="shared" si="128"/>
        <v>0</v>
      </c>
      <c r="K285" s="220">
        <f t="shared" si="128"/>
        <v>0</v>
      </c>
      <c r="L285" s="220">
        <f t="shared" si="128"/>
        <v>0</v>
      </c>
      <c r="M285" s="220">
        <f t="shared" si="128"/>
        <v>0</v>
      </c>
      <c r="N285" s="220">
        <f t="shared" si="128"/>
        <v>0</v>
      </c>
      <c r="O285" s="220">
        <f t="shared" si="128"/>
        <v>0</v>
      </c>
      <c r="P285" s="220">
        <f t="shared" si="128"/>
        <v>0</v>
      </c>
      <c r="Q285" s="220">
        <f t="shared" si="128"/>
        <v>0</v>
      </c>
      <c r="R285" s="220">
        <f t="shared" si="128"/>
        <v>0</v>
      </c>
      <c r="S285" s="220">
        <f t="shared" si="128"/>
        <v>0</v>
      </c>
      <c r="T285" s="220">
        <f t="shared" si="128"/>
        <v>0</v>
      </c>
      <c r="U285" s="220">
        <f t="shared" si="128"/>
        <v>0</v>
      </c>
      <c r="V285" s="220">
        <f t="shared" si="128"/>
        <v>0</v>
      </c>
      <c r="W285" s="220">
        <f t="shared" si="128"/>
        <v>0</v>
      </c>
      <c r="X285" s="220">
        <f t="shared" si="128"/>
        <v>0</v>
      </c>
      <c r="Y285" s="220">
        <f t="shared" si="128"/>
        <v>0</v>
      </c>
      <c r="Z285" s="220">
        <f t="shared" si="128"/>
        <v>0</v>
      </c>
      <c r="AA285" s="220">
        <f t="shared" si="128"/>
        <v>0</v>
      </c>
      <c r="AB285" s="220">
        <f t="shared" si="128"/>
        <v>0</v>
      </c>
      <c r="AC285" s="220">
        <f t="shared" si="128"/>
        <v>0</v>
      </c>
      <c r="AD285" s="220">
        <f t="shared" si="128"/>
        <v>0</v>
      </c>
      <c r="AE285" s="220">
        <f t="shared" si="128"/>
        <v>0</v>
      </c>
      <c r="AF285" s="220">
        <f t="shared" si="128"/>
        <v>0</v>
      </c>
      <c r="AG285" s="220">
        <f t="shared" si="128"/>
        <v>0</v>
      </c>
      <c r="AH285" s="220">
        <f t="shared" si="128"/>
        <v>0</v>
      </c>
      <c r="AI285" s="220">
        <f t="shared" si="128"/>
        <v>0</v>
      </c>
      <c r="AJ285" s="220">
        <f t="shared" si="128"/>
        <v>0</v>
      </c>
      <c r="AK285" s="220">
        <f t="shared" si="128"/>
        <v>0</v>
      </c>
      <c r="AL285" s="220">
        <f t="shared" si="128"/>
        <v>0</v>
      </c>
      <c r="AM285" s="220">
        <f t="shared" si="128"/>
        <v>0</v>
      </c>
      <c r="AN285" s="220">
        <f t="shared" si="128"/>
        <v>0</v>
      </c>
      <c r="AO285" s="220">
        <f t="shared" si="128"/>
        <v>0</v>
      </c>
      <c r="AP285" s="220">
        <f t="shared" si="128"/>
        <v>0</v>
      </c>
    </row>
    <row r="286" spans="1:42" x14ac:dyDescent="0.2">
      <c r="A286" s="17">
        <f t="shared" si="124"/>
        <v>7</v>
      </c>
      <c r="B286" s="240">
        <f t="shared" si="121"/>
        <v>0</v>
      </c>
      <c r="C286" s="220">
        <f t="shared" ref="C286:AP286" si="129">LOOKUP(C275,$B$264:$AP$264,$B$265:$AP$265)/100*$B584</f>
        <v>0</v>
      </c>
      <c r="D286" s="220">
        <f t="shared" si="129"/>
        <v>0</v>
      </c>
      <c r="E286" s="220">
        <f t="shared" si="129"/>
        <v>0</v>
      </c>
      <c r="F286" s="220">
        <f t="shared" si="129"/>
        <v>0</v>
      </c>
      <c r="G286" s="220">
        <f t="shared" si="129"/>
        <v>0</v>
      </c>
      <c r="H286" s="220">
        <f t="shared" si="129"/>
        <v>0</v>
      </c>
      <c r="I286" s="220">
        <f t="shared" si="129"/>
        <v>0</v>
      </c>
      <c r="J286" s="220">
        <f t="shared" si="129"/>
        <v>0</v>
      </c>
      <c r="K286" s="220">
        <f t="shared" si="129"/>
        <v>0</v>
      </c>
      <c r="L286" s="220">
        <f t="shared" si="129"/>
        <v>0</v>
      </c>
      <c r="M286" s="220">
        <f t="shared" si="129"/>
        <v>0</v>
      </c>
      <c r="N286" s="220">
        <f t="shared" si="129"/>
        <v>0</v>
      </c>
      <c r="O286" s="220">
        <f t="shared" si="129"/>
        <v>0</v>
      </c>
      <c r="P286" s="220">
        <f t="shared" si="129"/>
        <v>0</v>
      </c>
      <c r="Q286" s="220">
        <f t="shared" si="129"/>
        <v>0</v>
      </c>
      <c r="R286" s="220">
        <f t="shared" si="129"/>
        <v>0</v>
      </c>
      <c r="S286" s="220">
        <f t="shared" si="129"/>
        <v>0</v>
      </c>
      <c r="T286" s="220">
        <f t="shared" si="129"/>
        <v>0</v>
      </c>
      <c r="U286" s="220">
        <f t="shared" si="129"/>
        <v>0</v>
      </c>
      <c r="V286" s="220">
        <f t="shared" si="129"/>
        <v>0</v>
      </c>
      <c r="W286" s="220">
        <f t="shared" si="129"/>
        <v>0</v>
      </c>
      <c r="X286" s="220">
        <f t="shared" si="129"/>
        <v>0</v>
      </c>
      <c r="Y286" s="220">
        <f t="shared" si="129"/>
        <v>0</v>
      </c>
      <c r="Z286" s="220">
        <f t="shared" si="129"/>
        <v>0</v>
      </c>
      <c r="AA286" s="220">
        <f t="shared" si="129"/>
        <v>0</v>
      </c>
      <c r="AB286" s="220">
        <f t="shared" si="129"/>
        <v>0</v>
      </c>
      <c r="AC286" s="220">
        <f t="shared" si="129"/>
        <v>0</v>
      </c>
      <c r="AD286" s="220">
        <f t="shared" si="129"/>
        <v>0</v>
      </c>
      <c r="AE286" s="220">
        <f t="shared" si="129"/>
        <v>0</v>
      </c>
      <c r="AF286" s="220">
        <f t="shared" si="129"/>
        <v>0</v>
      </c>
      <c r="AG286" s="220">
        <f t="shared" si="129"/>
        <v>0</v>
      </c>
      <c r="AH286" s="220">
        <f t="shared" si="129"/>
        <v>0</v>
      </c>
      <c r="AI286" s="220">
        <f t="shared" si="129"/>
        <v>0</v>
      </c>
      <c r="AJ286" s="220">
        <f t="shared" si="129"/>
        <v>0</v>
      </c>
      <c r="AK286" s="220">
        <f t="shared" si="129"/>
        <v>0</v>
      </c>
      <c r="AL286" s="220">
        <f t="shared" si="129"/>
        <v>0</v>
      </c>
      <c r="AM286" s="220">
        <f t="shared" si="129"/>
        <v>0</v>
      </c>
      <c r="AN286" s="220">
        <f t="shared" si="129"/>
        <v>0</v>
      </c>
      <c r="AO286" s="220">
        <f t="shared" si="129"/>
        <v>0</v>
      </c>
      <c r="AP286" s="220">
        <f t="shared" si="129"/>
        <v>0</v>
      </c>
    </row>
    <row r="287" spans="1:42" x14ac:dyDescent="0.2">
      <c r="A287" s="17">
        <f t="shared" si="124"/>
        <v>8</v>
      </c>
      <c r="B287" s="240">
        <f t="shared" si="121"/>
        <v>0</v>
      </c>
      <c r="C287" s="220">
        <f t="shared" ref="C287:AP287" si="130">LOOKUP(C276,$B$264:$AP$264,$B$265:$AP$265)/100*$B585</f>
        <v>0</v>
      </c>
      <c r="D287" s="220">
        <f t="shared" si="130"/>
        <v>0</v>
      </c>
      <c r="E287" s="220">
        <f t="shared" si="130"/>
        <v>0</v>
      </c>
      <c r="F287" s="220">
        <f t="shared" si="130"/>
        <v>0</v>
      </c>
      <c r="G287" s="220">
        <f t="shared" si="130"/>
        <v>0</v>
      </c>
      <c r="H287" s="220">
        <f t="shared" si="130"/>
        <v>0</v>
      </c>
      <c r="I287" s="220">
        <f t="shared" si="130"/>
        <v>0</v>
      </c>
      <c r="J287" s="220">
        <f t="shared" si="130"/>
        <v>0</v>
      </c>
      <c r="K287" s="220">
        <f t="shared" si="130"/>
        <v>0</v>
      </c>
      <c r="L287" s="220">
        <f t="shared" si="130"/>
        <v>0</v>
      </c>
      <c r="M287" s="220">
        <f t="shared" si="130"/>
        <v>0</v>
      </c>
      <c r="N287" s="220">
        <f t="shared" si="130"/>
        <v>0</v>
      </c>
      <c r="O287" s="220">
        <f t="shared" si="130"/>
        <v>0</v>
      </c>
      <c r="P287" s="220">
        <f t="shared" si="130"/>
        <v>0</v>
      </c>
      <c r="Q287" s="220">
        <f t="shared" si="130"/>
        <v>0</v>
      </c>
      <c r="R287" s="220">
        <f t="shared" si="130"/>
        <v>0</v>
      </c>
      <c r="S287" s="220">
        <f t="shared" si="130"/>
        <v>0</v>
      </c>
      <c r="T287" s="220">
        <f t="shared" si="130"/>
        <v>0</v>
      </c>
      <c r="U287" s="220">
        <f t="shared" si="130"/>
        <v>0</v>
      </c>
      <c r="V287" s="220">
        <f t="shared" si="130"/>
        <v>0</v>
      </c>
      <c r="W287" s="220">
        <f t="shared" si="130"/>
        <v>0</v>
      </c>
      <c r="X287" s="220">
        <f t="shared" si="130"/>
        <v>0</v>
      </c>
      <c r="Y287" s="220">
        <f t="shared" si="130"/>
        <v>0</v>
      </c>
      <c r="Z287" s="220">
        <f t="shared" si="130"/>
        <v>0</v>
      </c>
      <c r="AA287" s="220">
        <f t="shared" si="130"/>
        <v>0</v>
      </c>
      <c r="AB287" s="220">
        <f t="shared" si="130"/>
        <v>0</v>
      </c>
      <c r="AC287" s="220">
        <f t="shared" si="130"/>
        <v>0</v>
      </c>
      <c r="AD287" s="220">
        <f t="shared" si="130"/>
        <v>0</v>
      </c>
      <c r="AE287" s="220">
        <f t="shared" si="130"/>
        <v>0</v>
      </c>
      <c r="AF287" s="220">
        <f t="shared" si="130"/>
        <v>0</v>
      </c>
      <c r="AG287" s="220">
        <f t="shared" si="130"/>
        <v>0</v>
      </c>
      <c r="AH287" s="220">
        <f t="shared" si="130"/>
        <v>0</v>
      </c>
      <c r="AI287" s="220">
        <f t="shared" si="130"/>
        <v>0</v>
      </c>
      <c r="AJ287" s="220">
        <f t="shared" si="130"/>
        <v>0</v>
      </c>
      <c r="AK287" s="220">
        <f t="shared" si="130"/>
        <v>0</v>
      </c>
      <c r="AL287" s="220">
        <f t="shared" si="130"/>
        <v>0</v>
      </c>
      <c r="AM287" s="220">
        <f t="shared" si="130"/>
        <v>0</v>
      </c>
      <c r="AN287" s="220">
        <f t="shared" si="130"/>
        <v>0</v>
      </c>
      <c r="AO287" s="220">
        <f t="shared" si="130"/>
        <v>0</v>
      </c>
      <c r="AP287" s="220">
        <f t="shared" si="130"/>
        <v>0</v>
      </c>
    </row>
    <row r="288" spans="1:42" x14ac:dyDescent="0.2">
      <c r="A288" s="17">
        <f>A287+1</f>
        <v>9</v>
      </c>
      <c r="B288" s="240">
        <f t="shared" si="121"/>
        <v>0</v>
      </c>
      <c r="C288" s="220">
        <f t="shared" ref="C288:AP288" si="131">LOOKUP(C277,$B$264:$AP$264,$B$265:$AP$265)/100*$B586</f>
        <v>0</v>
      </c>
      <c r="D288" s="220">
        <f t="shared" si="131"/>
        <v>0</v>
      </c>
      <c r="E288" s="220">
        <f t="shared" si="131"/>
        <v>0</v>
      </c>
      <c r="F288" s="220">
        <f t="shared" si="131"/>
        <v>0</v>
      </c>
      <c r="G288" s="220">
        <f t="shared" si="131"/>
        <v>0</v>
      </c>
      <c r="H288" s="220">
        <f t="shared" si="131"/>
        <v>0</v>
      </c>
      <c r="I288" s="220">
        <f t="shared" si="131"/>
        <v>0</v>
      </c>
      <c r="J288" s="220">
        <f t="shared" si="131"/>
        <v>0</v>
      </c>
      <c r="K288" s="220">
        <f t="shared" si="131"/>
        <v>0</v>
      </c>
      <c r="L288" s="220">
        <f t="shared" si="131"/>
        <v>0</v>
      </c>
      <c r="M288" s="220">
        <f t="shared" si="131"/>
        <v>0</v>
      </c>
      <c r="N288" s="220">
        <f t="shared" si="131"/>
        <v>0</v>
      </c>
      <c r="O288" s="220">
        <f t="shared" si="131"/>
        <v>0</v>
      </c>
      <c r="P288" s="220">
        <f t="shared" si="131"/>
        <v>0</v>
      </c>
      <c r="Q288" s="220">
        <f t="shared" si="131"/>
        <v>0</v>
      </c>
      <c r="R288" s="220">
        <f t="shared" si="131"/>
        <v>0</v>
      </c>
      <c r="S288" s="220">
        <f t="shared" si="131"/>
        <v>0</v>
      </c>
      <c r="T288" s="220">
        <f t="shared" si="131"/>
        <v>0</v>
      </c>
      <c r="U288" s="220">
        <f t="shared" si="131"/>
        <v>0</v>
      </c>
      <c r="V288" s="220">
        <f t="shared" si="131"/>
        <v>0</v>
      </c>
      <c r="W288" s="220">
        <f t="shared" si="131"/>
        <v>0</v>
      </c>
      <c r="X288" s="220">
        <f t="shared" si="131"/>
        <v>0</v>
      </c>
      <c r="Y288" s="220">
        <f t="shared" si="131"/>
        <v>0</v>
      </c>
      <c r="Z288" s="220">
        <f t="shared" si="131"/>
        <v>0</v>
      </c>
      <c r="AA288" s="220">
        <f t="shared" si="131"/>
        <v>0</v>
      </c>
      <c r="AB288" s="220">
        <f t="shared" si="131"/>
        <v>0</v>
      </c>
      <c r="AC288" s="220">
        <f t="shared" si="131"/>
        <v>0</v>
      </c>
      <c r="AD288" s="220">
        <f t="shared" si="131"/>
        <v>0</v>
      </c>
      <c r="AE288" s="220">
        <f t="shared" si="131"/>
        <v>0</v>
      </c>
      <c r="AF288" s="220">
        <f t="shared" si="131"/>
        <v>0</v>
      </c>
      <c r="AG288" s="220">
        <f t="shared" si="131"/>
        <v>0</v>
      </c>
      <c r="AH288" s="220">
        <f t="shared" si="131"/>
        <v>0</v>
      </c>
      <c r="AI288" s="220">
        <f t="shared" si="131"/>
        <v>0</v>
      </c>
      <c r="AJ288" s="220">
        <f t="shared" si="131"/>
        <v>0</v>
      </c>
      <c r="AK288" s="220">
        <f t="shared" si="131"/>
        <v>0</v>
      </c>
      <c r="AL288" s="220">
        <f t="shared" si="131"/>
        <v>0</v>
      </c>
      <c r="AM288" s="220">
        <f t="shared" si="131"/>
        <v>0</v>
      </c>
      <c r="AN288" s="220">
        <f t="shared" si="131"/>
        <v>0</v>
      </c>
      <c r="AO288" s="220">
        <f t="shared" si="131"/>
        <v>0</v>
      </c>
      <c r="AP288" s="220">
        <f t="shared" si="131"/>
        <v>0</v>
      </c>
    </row>
    <row r="289" spans="1:42" x14ac:dyDescent="0.2">
      <c r="A289" s="17">
        <f t="shared" si="124"/>
        <v>10</v>
      </c>
      <c r="B289" s="240">
        <f t="shared" si="121"/>
        <v>0</v>
      </c>
      <c r="C289" s="220">
        <f t="shared" ref="C289:AP289" si="132">LOOKUP(C278,$B$264:$AP$264,$B$265:$AP$265)/100*$B587</f>
        <v>0</v>
      </c>
      <c r="D289" s="220">
        <f t="shared" si="132"/>
        <v>0</v>
      </c>
      <c r="E289" s="220">
        <f t="shared" si="132"/>
        <v>0</v>
      </c>
      <c r="F289" s="220">
        <f t="shared" si="132"/>
        <v>0</v>
      </c>
      <c r="G289" s="220">
        <f t="shared" si="132"/>
        <v>0</v>
      </c>
      <c r="H289" s="220">
        <f t="shared" si="132"/>
        <v>0</v>
      </c>
      <c r="I289" s="220">
        <f t="shared" si="132"/>
        <v>0</v>
      </c>
      <c r="J289" s="220">
        <f t="shared" si="132"/>
        <v>0</v>
      </c>
      <c r="K289" s="220">
        <f t="shared" si="132"/>
        <v>0</v>
      </c>
      <c r="L289" s="220">
        <f t="shared" si="132"/>
        <v>0</v>
      </c>
      <c r="M289" s="220">
        <f t="shared" si="132"/>
        <v>0</v>
      </c>
      <c r="N289" s="220">
        <f t="shared" si="132"/>
        <v>0</v>
      </c>
      <c r="O289" s="220">
        <f t="shared" si="132"/>
        <v>0</v>
      </c>
      <c r="P289" s="220">
        <f t="shared" si="132"/>
        <v>0</v>
      </c>
      <c r="Q289" s="220">
        <f t="shared" si="132"/>
        <v>0</v>
      </c>
      <c r="R289" s="220">
        <f t="shared" si="132"/>
        <v>0</v>
      </c>
      <c r="S289" s="220">
        <f t="shared" si="132"/>
        <v>0</v>
      </c>
      <c r="T289" s="220">
        <f t="shared" si="132"/>
        <v>0</v>
      </c>
      <c r="U289" s="220">
        <f t="shared" si="132"/>
        <v>0</v>
      </c>
      <c r="V289" s="220">
        <f t="shared" si="132"/>
        <v>0</v>
      </c>
      <c r="W289" s="220">
        <f t="shared" si="132"/>
        <v>0</v>
      </c>
      <c r="X289" s="220">
        <f t="shared" si="132"/>
        <v>0</v>
      </c>
      <c r="Y289" s="220">
        <f t="shared" si="132"/>
        <v>0</v>
      </c>
      <c r="Z289" s="220">
        <f t="shared" si="132"/>
        <v>0</v>
      </c>
      <c r="AA289" s="220">
        <f t="shared" si="132"/>
        <v>0</v>
      </c>
      <c r="AB289" s="220">
        <f t="shared" si="132"/>
        <v>0</v>
      </c>
      <c r="AC289" s="220">
        <f t="shared" si="132"/>
        <v>0</v>
      </c>
      <c r="AD289" s="220">
        <f t="shared" si="132"/>
        <v>0</v>
      </c>
      <c r="AE289" s="220">
        <f t="shared" si="132"/>
        <v>0</v>
      </c>
      <c r="AF289" s="220">
        <f t="shared" si="132"/>
        <v>0</v>
      </c>
      <c r="AG289" s="220">
        <f t="shared" si="132"/>
        <v>0</v>
      </c>
      <c r="AH289" s="220">
        <f t="shared" si="132"/>
        <v>0</v>
      </c>
      <c r="AI289" s="220">
        <f t="shared" si="132"/>
        <v>0</v>
      </c>
      <c r="AJ289" s="220">
        <f t="shared" si="132"/>
        <v>0</v>
      </c>
      <c r="AK289" s="220">
        <f t="shared" si="132"/>
        <v>0</v>
      </c>
      <c r="AL289" s="220">
        <f t="shared" si="132"/>
        <v>0</v>
      </c>
      <c r="AM289" s="220">
        <f t="shared" si="132"/>
        <v>0</v>
      </c>
      <c r="AN289" s="220">
        <f t="shared" si="132"/>
        <v>0</v>
      </c>
      <c r="AO289" s="220">
        <f t="shared" si="132"/>
        <v>0</v>
      </c>
      <c r="AP289" s="220">
        <f t="shared" si="132"/>
        <v>0</v>
      </c>
    </row>
    <row r="290" spans="1:42" s="17" customFormat="1" ht="12" customHeight="1" x14ac:dyDescent="0.2">
      <c r="A290" s="40" t="s">
        <v>13</v>
      </c>
      <c r="B290" s="221"/>
      <c r="C290" s="221">
        <f>SUM(C280:C289)</f>
        <v>0</v>
      </c>
      <c r="D290" s="221">
        <f t="shared" ref="D290:AP290" si="133">SUM(D280:D289)</f>
        <v>0</v>
      </c>
      <c r="E290" s="221">
        <f t="shared" si="133"/>
        <v>0</v>
      </c>
      <c r="F290" s="221">
        <f t="shared" si="133"/>
        <v>0</v>
      </c>
      <c r="G290" s="221">
        <f t="shared" si="133"/>
        <v>0</v>
      </c>
      <c r="H290" s="221">
        <f t="shared" si="133"/>
        <v>0</v>
      </c>
      <c r="I290" s="221">
        <f t="shared" si="133"/>
        <v>0</v>
      </c>
      <c r="J290" s="221">
        <f t="shared" si="133"/>
        <v>0</v>
      </c>
      <c r="K290" s="221">
        <f t="shared" si="133"/>
        <v>0</v>
      </c>
      <c r="L290" s="221">
        <f t="shared" si="133"/>
        <v>0</v>
      </c>
      <c r="M290" s="221">
        <f t="shared" si="133"/>
        <v>0</v>
      </c>
      <c r="N290" s="221">
        <f t="shared" si="133"/>
        <v>1311981.6908686419</v>
      </c>
      <c r="O290" s="221">
        <f t="shared" si="133"/>
        <v>2099170.705389827</v>
      </c>
      <c r="P290" s="221">
        <f t="shared" si="133"/>
        <v>1259502.4232338963</v>
      </c>
      <c r="Q290" s="221">
        <f t="shared" si="133"/>
        <v>755701.45394033764</v>
      </c>
      <c r="R290" s="221">
        <f t="shared" si="133"/>
        <v>755701.45394033764</v>
      </c>
      <c r="S290" s="221">
        <f t="shared" si="133"/>
        <v>377850.72697016882</v>
      </c>
      <c r="T290" s="221">
        <f t="shared" si="133"/>
        <v>0</v>
      </c>
      <c r="U290" s="221">
        <f t="shared" si="133"/>
        <v>0</v>
      </c>
      <c r="V290" s="221">
        <f t="shared" si="133"/>
        <v>0</v>
      </c>
      <c r="W290" s="221">
        <f t="shared" si="133"/>
        <v>0</v>
      </c>
      <c r="X290" s="221">
        <f t="shared" si="133"/>
        <v>0</v>
      </c>
      <c r="Y290" s="221">
        <f t="shared" si="133"/>
        <v>0</v>
      </c>
      <c r="Z290" s="221">
        <f t="shared" si="133"/>
        <v>1764469.5136649974</v>
      </c>
      <c r="AA290" s="221">
        <f t="shared" si="133"/>
        <v>2823151.2218639958</v>
      </c>
      <c r="AB290" s="221">
        <f t="shared" si="133"/>
        <v>0</v>
      </c>
      <c r="AC290" s="221">
        <f t="shared" si="133"/>
        <v>0</v>
      </c>
      <c r="AD290" s="221">
        <f t="shared" si="133"/>
        <v>0</v>
      </c>
      <c r="AE290" s="221">
        <f t="shared" si="133"/>
        <v>0</v>
      </c>
      <c r="AF290" s="221">
        <f t="shared" si="133"/>
        <v>0</v>
      </c>
      <c r="AG290" s="221">
        <f t="shared" si="133"/>
        <v>0</v>
      </c>
      <c r="AH290" s="221">
        <f t="shared" si="133"/>
        <v>0</v>
      </c>
      <c r="AI290" s="221">
        <f t="shared" si="133"/>
        <v>0</v>
      </c>
      <c r="AJ290" s="221">
        <f t="shared" si="133"/>
        <v>0</v>
      </c>
      <c r="AK290" s="221">
        <f t="shared" si="133"/>
        <v>0</v>
      </c>
      <c r="AL290" s="221">
        <f t="shared" si="133"/>
        <v>0</v>
      </c>
      <c r="AM290" s="221">
        <f t="shared" si="133"/>
        <v>0</v>
      </c>
      <c r="AN290" s="221">
        <f t="shared" si="133"/>
        <v>0</v>
      </c>
      <c r="AO290" s="221">
        <f t="shared" si="133"/>
        <v>0</v>
      </c>
      <c r="AP290" s="221">
        <f t="shared" si="133"/>
        <v>0</v>
      </c>
    </row>
    <row r="291" spans="1:42" x14ac:dyDescent="0.2">
      <c r="A291" s="33"/>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row>
    <row r="292" spans="1:42" x14ac:dyDescent="0.2">
      <c r="A292" s="31" t="s">
        <v>116</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row>
    <row r="293" spans="1:42" x14ac:dyDescent="0.2">
      <c r="A293" s="33" t="s">
        <v>91</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row>
    <row r="294" spans="1:42" x14ac:dyDescent="0.2">
      <c r="A294" s="17">
        <v>1</v>
      </c>
      <c r="B294" s="4">
        <v>0</v>
      </c>
      <c r="C294" s="220">
        <f>IF(C$2&lt;=analysis_period,IF(SUM($C610:C610)&gt;0,B294+1,0),0)</f>
        <v>0</v>
      </c>
      <c r="D294" s="220">
        <f>IF(D$2&lt;=analysis_period,IF(SUM($C610:D610)&gt;0,C294+1,0),0)</f>
        <v>0</v>
      </c>
      <c r="E294" s="220">
        <f>IF(E$2&lt;=analysis_period,IF(SUM($C610:E610)&gt;0,D294+1,0),0)</f>
        <v>0</v>
      </c>
      <c r="F294" s="220">
        <f>IF(F$2&lt;=analysis_period,IF(SUM($C610:F610)&gt;0,E294+1,0),0)</f>
        <v>0</v>
      </c>
      <c r="G294" s="220">
        <f>IF(G$2&lt;=analysis_period,IF(SUM($C610:G610)&gt;0,F294+1,0),0)</f>
        <v>0</v>
      </c>
      <c r="H294" s="220">
        <f>IF(H$2&lt;=analysis_period,IF(SUM($C610:H610)&gt;0,G294+1,0),0)</f>
        <v>0</v>
      </c>
      <c r="I294" s="220">
        <f>IF(I$2&lt;=analysis_period,IF(SUM($C610:I610)&gt;0,H294+1,0),0)</f>
        <v>0</v>
      </c>
      <c r="J294" s="220">
        <f>IF(J$2&lt;=analysis_period,IF(SUM($C610:J610)&gt;0,I294+1,0),0)</f>
        <v>0</v>
      </c>
      <c r="K294" s="220">
        <f>IF(K$2&lt;=analysis_period,IF(SUM($C610:K610)&gt;0,J294+1,0),0)</f>
        <v>0</v>
      </c>
      <c r="L294" s="220">
        <f>IF(L$2&lt;=analysis_period,IF(SUM($C610:L610)&gt;0,K294+1,0),0)</f>
        <v>0</v>
      </c>
      <c r="M294" s="220">
        <f>IF(M$2&lt;=analysis_period,IF(SUM($C610:M610)&gt;0,L294+1,0),0)</f>
        <v>0</v>
      </c>
      <c r="N294" s="220">
        <f>IF(N$2&lt;=analysis_period,IF(SUM($C610:N610)&gt;0,M294+1,0),0)</f>
        <v>0</v>
      </c>
      <c r="O294" s="220">
        <f>IF(O$2&lt;=analysis_period,IF(SUM($C610:O610)&gt;0,N294+1,0),0)</f>
        <v>0</v>
      </c>
      <c r="P294" s="220">
        <f>IF(P$2&lt;=analysis_period,IF(SUM($C610:P610)&gt;0,O294+1,0),0)</f>
        <v>0</v>
      </c>
      <c r="Q294" s="220">
        <f>IF(Q$2&lt;=analysis_period,IF(SUM($C610:Q610)&gt;0,P294+1,0),0)</f>
        <v>0</v>
      </c>
      <c r="R294" s="220">
        <f>IF(R$2&lt;=analysis_period,IF(SUM($C610:R610)&gt;0,Q294+1,0),0)</f>
        <v>0</v>
      </c>
      <c r="S294" s="220">
        <f>IF(S$2&lt;=analysis_period,IF(SUM($C610:S610)&gt;0,R294+1,0),0)</f>
        <v>0</v>
      </c>
      <c r="T294" s="220">
        <f>IF(T$2&lt;=analysis_period,IF(SUM($C610:T610)&gt;0,S294+1,0),0)</f>
        <v>0</v>
      </c>
      <c r="U294" s="220">
        <f>IF(U$2&lt;=analysis_period,IF(SUM($C610:U610)&gt;0,T294+1,0),0)</f>
        <v>0</v>
      </c>
      <c r="V294" s="220">
        <f>IF(V$2&lt;=analysis_period,IF(SUM($C610:V610)&gt;0,U294+1,0),0)</f>
        <v>0</v>
      </c>
      <c r="W294" s="220">
        <f>IF(W$2&lt;=analysis_period,IF(SUM($C610:W610)&gt;0,V294+1,0),0)</f>
        <v>0</v>
      </c>
      <c r="X294" s="220">
        <f>IF(X$2&lt;=analysis_period,IF(SUM($C610:X610)&gt;0,W294+1,0),0)</f>
        <v>0</v>
      </c>
      <c r="Y294" s="220">
        <f>IF(Y$2&lt;=analysis_period,IF(SUM($C610:Y610)&gt;0,X294+1,0),0)</f>
        <v>0</v>
      </c>
      <c r="Z294" s="220">
        <f>IF(Z$2&lt;=analysis_period,IF(SUM($C610:Z610)&gt;0,Y294+1,0),0)</f>
        <v>0</v>
      </c>
      <c r="AA294" s="220">
        <f>IF(AA$2&lt;=analysis_period,IF(SUM($C610:AA610)&gt;0,Z294+1,0),0)</f>
        <v>0</v>
      </c>
      <c r="AB294" s="220">
        <f>IF(AB$2&lt;=analysis_period,IF(SUM($C610:AB610)&gt;0,AA294+1,0),0)</f>
        <v>0</v>
      </c>
      <c r="AC294" s="220">
        <f>IF(AC$2&lt;=analysis_period,IF(SUM($C610:AC610)&gt;0,AB294+1,0),0)</f>
        <v>0</v>
      </c>
      <c r="AD294" s="220">
        <f>IF(AD$2&lt;=analysis_period,IF(SUM($C610:AD610)&gt;0,AC294+1,0),0)</f>
        <v>0</v>
      </c>
      <c r="AE294" s="220">
        <f>IF(AE$2&lt;=analysis_period,IF(SUM($C610:AE610)&gt;0,AD294+1,0),0)</f>
        <v>0</v>
      </c>
      <c r="AF294" s="220">
        <f>IF(AF$2&lt;=analysis_period,IF(SUM($C610:AF610)&gt;0,AE294+1,0),0)</f>
        <v>0</v>
      </c>
      <c r="AG294" s="220">
        <f>IF(AG$2&lt;=analysis_period,IF(SUM($C610:AG610)&gt;0,AF294+1,0),0)</f>
        <v>0</v>
      </c>
      <c r="AH294" s="220">
        <f>IF(AH$2&lt;=analysis_period,IF(SUM($C610:AH610)&gt;0,AG294+1,0),0)</f>
        <v>0</v>
      </c>
      <c r="AI294" s="220">
        <f>IF(AI$2&lt;=analysis_period,IF(SUM($C610:AI610)&gt;0,AH294+1,0),0)</f>
        <v>0</v>
      </c>
      <c r="AJ294" s="220">
        <f>IF(AJ$2&lt;=analysis_period,IF(SUM($C610:AJ610)&gt;0,AI294+1,0),0)</f>
        <v>0</v>
      </c>
      <c r="AK294" s="220">
        <f>IF(AK$2&lt;=analysis_period,IF(SUM($C610:AK610)&gt;0,AJ294+1,0),0)</f>
        <v>0</v>
      </c>
      <c r="AL294" s="220">
        <f>IF(AL$2&lt;=analysis_period,IF(SUM($C610:AL610)&gt;0,AK294+1,0),0)</f>
        <v>0</v>
      </c>
      <c r="AM294" s="220">
        <f>IF(AM$2&lt;=analysis_period,IF(SUM($C610:AM610)&gt;0,AL294+1,0),0)</f>
        <v>0</v>
      </c>
      <c r="AN294" s="220">
        <f>IF(AN$2&lt;=analysis_period,IF(SUM($C610:AN610)&gt;0,AM294+1,0),0)</f>
        <v>0</v>
      </c>
      <c r="AO294" s="220">
        <f>IF(AO$2&lt;=analysis_period,IF(SUM($C610:AO610)&gt;0,AN294+1,0),0)</f>
        <v>0</v>
      </c>
      <c r="AP294" s="220">
        <f>IF(AP$2&lt;=analysis_period,IF(SUM($C610:AP610)&gt;0,AO294+1,0),0)</f>
        <v>0</v>
      </c>
    </row>
    <row r="295" spans="1:42" x14ac:dyDescent="0.2">
      <c r="A295" s="17">
        <f>A294+1</f>
        <v>2</v>
      </c>
      <c r="B295" s="4">
        <v>0</v>
      </c>
      <c r="C295" s="220">
        <f>IF(C$2&lt;=analysis_period,IF(SUM($C611:C611)&gt;0,B295+1,0),0)</f>
        <v>0</v>
      </c>
      <c r="D295" s="220">
        <f>IF(D$2&lt;=analysis_period,IF(SUM($C611:D611)&gt;0,C295+1,0),0)</f>
        <v>0</v>
      </c>
      <c r="E295" s="220">
        <f>IF(E$2&lt;=analysis_period,IF(SUM($C611:E611)&gt;0,D295+1,0),0)</f>
        <v>0</v>
      </c>
      <c r="F295" s="220">
        <f>IF(F$2&lt;=analysis_period,IF(SUM($C611:F611)&gt;0,E295+1,0),0)</f>
        <v>0</v>
      </c>
      <c r="G295" s="220">
        <f>IF(G$2&lt;=analysis_period,IF(SUM($C611:G611)&gt;0,F295+1,0),0)</f>
        <v>0</v>
      </c>
      <c r="H295" s="220">
        <f>IF(H$2&lt;=analysis_period,IF(SUM($C611:H611)&gt;0,G295+1,0),0)</f>
        <v>0</v>
      </c>
      <c r="I295" s="220">
        <f>IF(I$2&lt;=analysis_period,IF(SUM($C611:I611)&gt;0,H295+1,0),0)</f>
        <v>0</v>
      </c>
      <c r="J295" s="220">
        <f>IF(J$2&lt;=analysis_period,IF(SUM($C611:J611)&gt;0,I295+1,0),0)</f>
        <v>0</v>
      </c>
      <c r="K295" s="220">
        <f>IF(K$2&lt;=analysis_period,IF(SUM($C611:K611)&gt;0,J295+1,0),0)</f>
        <v>0</v>
      </c>
      <c r="L295" s="220">
        <f>IF(L$2&lt;=analysis_period,IF(SUM($C611:L611)&gt;0,K295+1,0),0)</f>
        <v>0</v>
      </c>
      <c r="M295" s="220">
        <f>IF(M$2&lt;=analysis_period,IF(SUM($C611:M611)&gt;0,L295+1,0),0)</f>
        <v>0</v>
      </c>
      <c r="N295" s="220">
        <f>IF(N$2&lt;=analysis_period,IF(SUM($C611:N611)&gt;0,M295+1,0),0)</f>
        <v>0</v>
      </c>
      <c r="O295" s="220">
        <f>IF(O$2&lt;=analysis_period,IF(SUM($C611:O611)&gt;0,N295+1,0),0)</f>
        <v>0</v>
      </c>
      <c r="P295" s="220">
        <f>IF(P$2&lt;=analysis_period,IF(SUM($C611:P611)&gt;0,O295+1,0),0)</f>
        <v>0</v>
      </c>
      <c r="Q295" s="220">
        <f>IF(Q$2&lt;=analysis_period,IF(SUM($C611:Q611)&gt;0,P295+1,0),0)</f>
        <v>0</v>
      </c>
      <c r="R295" s="220">
        <f>IF(R$2&lt;=analysis_period,IF(SUM($C611:R611)&gt;0,Q295+1,0),0)</f>
        <v>0</v>
      </c>
      <c r="S295" s="220">
        <f>IF(S$2&lt;=analysis_period,IF(SUM($C611:S611)&gt;0,R295+1,0),0)</f>
        <v>0</v>
      </c>
      <c r="T295" s="220">
        <f>IF(T$2&lt;=analysis_period,IF(SUM($C611:T611)&gt;0,S295+1,0),0)</f>
        <v>0</v>
      </c>
      <c r="U295" s="220">
        <f>IF(U$2&lt;=analysis_period,IF(SUM($C611:U611)&gt;0,T295+1,0),0)</f>
        <v>0</v>
      </c>
      <c r="V295" s="220">
        <f>IF(V$2&lt;=analysis_period,IF(SUM($C611:V611)&gt;0,U295+1,0),0)</f>
        <v>0</v>
      </c>
      <c r="W295" s="220">
        <f>IF(W$2&lt;=analysis_period,IF(SUM($C611:W611)&gt;0,V295+1,0),0)</f>
        <v>0</v>
      </c>
      <c r="X295" s="220">
        <f>IF(X$2&lt;=analysis_period,IF(SUM($C611:X611)&gt;0,W295+1,0),0)</f>
        <v>0</v>
      </c>
      <c r="Y295" s="220">
        <f>IF(Y$2&lt;=analysis_period,IF(SUM($C611:Y611)&gt;0,X295+1,0),0)</f>
        <v>0</v>
      </c>
      <c r="Z295" s="220">
        <f>IF(Z$2&lt;=analysis_period,IF(SUM($C611:Z611)&gt;0,Y295+1,0),0)</f>
        <v>0</v>
      </c>
      <c r="AA295" s="220">
        <f>IF(AA$2&lt;=analysis_period,IF(SUM($C611:AA611)&gt;0,Z295+1,0),0)</f>
        <v>0</v>
      </c>
      <c r="AB295" s="220">
        <f>IF(AB$2&lt;=analysis_period,IF(SUM($C611:AB611)&gt;0,AA295+1,0),0)</f>
        <v>0</v>
      </c>
      <c r="AC295" s="220">
        <f>IF(AC$2&lt;=analysis_period,IF(SUM($C611:AC611)&gt;0,AB295+1,0),0)</f>
        <v>0</v>
      </c>
      <c r="AD295" s="220">
        <f>IF(AD$2&lt;=analysis_period,IF(SUM($C611:AD611)&gt;0,AC295+1,0),0)</f>
        <v>0</v>
      </c>
      <c r="AE295" s="220">
        <f>IF(AE$2&lt;=analysis_period,IF(SUM($C611:AE611)&gt;0,AD295+1,0),0)</f>
        <v>0</v>
      </c>
      <c r="AF295" s="220">
        <f>IF(AF$2&lt;=analysis_period,IF(SUM($C611:AF611)&gt;0,AE295+1,0),0)</f>
        <v>0</v>
      </c>
      <c r="AG295" s="220">
        <f>IF(AG$2&lt;=analysis_period,IF(SUM($C611:AG611)&gt;0,AF295+1,0),0)</f>
        <v>0</v>
      </c>
      <c r="AH295" s="220">
        <f>IF(AH$2&lt;=analysis_period,IF(SUM($C611:AH611)&gt;0,AG295+1,0),0)</f>
        <v>0</v>
      </c>
      <c r="AI295" s="220">
        <f>IF(AI$2&lt;=analysis_period,IF(SUM($C611:AI611)&gt;0,AH295+1,0),0)</f>
        <v>0</v>
      </c>
      <c r="AJ295" s="220">
        <f>IF(AJ$2&lt;=analysis_period,IF(SUM($C611:AJ611)&gt;0,AI295+1,0),0)</f>
        <v>0</v>
      </c>
      <c r="AK295" s="220">
        <f>IF(AK$2&lt;=analysis_period,IF(SUM($C611:AK611)&gt;0,AJ295+1,0),0)</f>
        <v>0</v>
      </c>
      <c r="AL295" s="220">
        <f>IF(AL$2&lt;=analysis_period,IF(SUM($C611:AL611)&gt;0,AK295+1,0),0)</f>
        <v>0</v>
      </c>
      <c r="AM295" s="220">
        <f>IF(AM$2&lt;=analysis_period,IF(SUM($C611:AM611)&gt;0,AL295+1,0),0)</f>
        <v>0</v>
      </c>
      <c r="AN295" s="220">
        <f>IF(AN$2&lt;=analysis_period,IF(SUM($C611:AN611)&gt;0,AM295+1,0),0)</f>
        <v>0</v>
      </c>
      <c r="AO295" s="220">
        <f>IF(AO$2&lt;=analysis_period,IF(SUM($C611:AO611)&gt;0,AN295+1,0),0)</f>
        <v>0</v>
      </c>
      <c r="AP295" s="220">
        <f>IF(AP$2&lt;=analysis_period,IF(SUM($C611:AP611)&gt;0,AO295+1,0),0)</f>
        <v>0</v>
      </c>
    </row>
    <row r="296" spans="1:42" x14ac:dyDescent="0.2">
      <c r="A296" s="17">
        <f t="shared" ref="A296:A303" si="134">A295+1</f>
        <v>3</v>
      </c>
      <c r="B296" s="4">
        <v>0</v>
      </c>
      <c r="C296" s="220">
        <f>IF(C$2&lt;=analysis_period,IF(SUM($C612:C612)&gt;0,B296+1,0),0)</f>
        <v>0</v>
      </c>
      <c r="D296" s="220">
        <f>IF(D$2&lt;=analysis_period,IF(SUM($C612:D612)&gt;0,C296+1,0),0)</f>
        <v>0</v>
      </c>
      <c r="E296" s="220">
        <f>IF(E$2&lt;=analysis_period,IF(SUM($C612:E612)&gt;0,D296+1,0),0)</f>
        <v>0</v>
      </c>
      <c r="F296" s="220">
        <f>IF(F$2&lt;=analysis_period,IF(SUM($C612:F612)&gt;0,E296+1,0),0)</f>
        <v>0</v>
      </c>
      <c r="G296" s="220">
        <f>IF(G$2&lt;=analysis_period,IF(SUM($C612:G612)&gt;0,F296+1,0),0)</f>
        <v>0</v>
      </c>
      <c r="H296" s="220">
        <f>IF(H$2&lt;=analysis_period,IF(SUM($C612:H612)&gt;0,G296+1,0),0)</f>
        <v>0</v>
      </c>
      <c r="I296" s="220">
        <f>IF(I$2&lt;=analysis_period,IF(SUM($C612:I612)&gt;0,H296+1,0),0)</f>
        <v>0</v>
      </c>
      <c r="J296" s="220">
        <f>IF(J$2&lt;=analysis_period,IF(SUM($C612:J612)&gt;0,I296+1,0),0)</f>
        <v>0</v>
      </c>
      <c r="K296" s="220">
        <f>IF(K$2&lt;=analysis_period,IF(SUM($C612:K612)&gt;0,J296+1,0),0)</f>
        <v>0</v>
      </c>
      <c r="L296" s="220">
        <f>IF(L$2&lt;=analysis_period,IF(SUM($C612:L612)&gt;0,K296+1,0),0)</f>
        <v>0</v>
      </c>
      <c r="M296" s="220">
        <f>IF(M$2&lt;=analysis_period,IF(SUM($C612:M612)&gt;0,L296+1,0),0)</f>
        <v>0</v>
      </c>
      <c r="N296" s="220">
        <f>IF(N$2&lt;=analysis_period,IF(SUM($C612:N612)&gt;0,M296+1,0),0)</f>
        <v>0</v>
      </c>
      <c r="O296" s="220">
        <f>IF(O$2&lt;=analysis_period,IF(SUM($C612:O612)&gt;0,N296+1,0),0)</f>
        <v>0</v>
      </c>
      <c r="P296" s="220">
        <f>IF(P$2&lt;=analysis_period,IF(SUM($C612:P612)&gt;0,O296+1,0),0)</f>
        <v>0</v>
      </c>
      <c r="Q296" s="220">
        <f>IF(Q$2&lt;=analysis_period,IF(SUM($C612:Q612)&gt;0,P296+1,0),0)</f>
        <v>0</v>
      </c>
      <c r="R296" s="220">
        <f>IF(R$2&lt;=analysis_period,IF(SUM($C612:R612)&gt;0,Q296+1,0),0)</f>
        <v>0</v>
      </c>
      <c r="S296" s="220">
        <f>IF(S$2&lt;=analysis_period,IF(SUM($C612:S612)&gt;0,R296+1,0),0)</f>
        <v>0</v>
      </c>
      <c r="T296" s="220">
        <f>IF(T$2&lt;=analysis_period,IF(SUM($C612:T612)&gt;0,S296+1,0),0)</f>
        <v>0</v>
      </c>
      <c r="U296" s="220">
        <f>IF(U$2&lt;=analysis_period,IF(SUM($C612:U612)&gt;0,T296+1,0),0)</f>
        <v>0</v>
      </c>
      <c r="V296" s="220">
        <f>IF(V$2&lt;=analysis_period,IF(SUM($C612:V612)&gt;0,U296+1,0),0)</f>
        <v>0</v>
      </c>
      <c r="W296" s="220">
        <f>IF(W$2&lt;=analysis_period,IF(SUM($C612:W612)&gt;0,V296+1,0),0)</f>
        <v>0</v>
      </c>
      <c r="X296" s="220">
        <f>IF(X$2&lt;=analysis_period,IF(SUM($C612:X612)&gt;0,W296+1,0),0)</f>
        <v>0</v>
      </c>
      <c r="Y296" s="220">
        <f>IF(Y$2&lt;=analysis_period,IF(SUM($C612:Y612)&gt;0,X296+1,0),0)</f>
        <v>0</v>
      </c>
      <c r="Z296" s="220">
        <f>IF(Z$2&lt;=analysis_period,IF(SUM($C612:Z612)&gt;0,Y296+1,0),0)</f>
        <v>0</v>
      </c>
      <c r="AA296" s="220">
        <f>IF(AA$2&lt;=analysis_period,IF(SUM($C612:AA612)&gt;0,Z296+1,0),0)</f>
        <v>0</v>
      </c>
      <c r="AB296" s="220">
        <f>IF(AB$2&lt;=analysis_period,IF(SUM($C612:AB612)&gt;0,AA296+1,0),0)</f>
        <v>0</v>
      </c>
      <c r="AC296" s="220">
        <f>IF(AC$2&lt;=analysis_period,IF(SUM($C612:AC612)&gt;0,AB296+1,0),0)</f>
        <v>0</v>
      </c>
      <c r="AD296" s="220">
        <f>IF(AD$2&lt;=analysis_period,IF(SUM($C612:AD612)&gt;0,AC296+1,0),0)</f>
        <v>0</v>
      </c>
      <c r="AE296" s="220">
        <f>IF(AE$2&lt;=analysis_period,IF(SUM($C612:AE612)&gt;0,AD296+1,0),0)</f>
        <v>0</v>
      </c>
      <c r="AF296" s="220">
        <f>IF(AF$2&lt;=analysis_period,IF(SUM($C612:AF612)&gt;0,AE296+1,0),0)</f>
        <v>0</v>
      </c>
      <c r="AG296" s="220">
        <f>IF(AG$2&lt;=analysis_period,IF(SUM($C612:AG612)&gt;0,AF296+1,0),0)</f>
        <v>0</v>
      </c>
      <c r="AH296" s="220">
        <f>IF(AH$2&lt;=analysis_period,IF(SUM($C612:AH612)&gt;0,AG296+1,0),0)</f>
        <v>0</v>
      </c>
      <c r="AI296" s="220">
        <f>IF(AI$2&lt;=analysis_period,IF(SUM($C612:AI612)&gt;0,AH296+1,0),0)</f>
        <v>0</v>
      </c>
      <c r="AJ296" s="220">
        <f>IF(AJ$2&lt;=analysis_period,IF(SUM($C612:AJ612)&gt;0,AI296+1,0),0)</f>
        <v>0</v>
      </c>
      <c r="AK296" s="220">
        <f>IF(AK$2&lt;=analysis_period,IF(SUM($C612:AK612)&gt;0,AJ296+1,0),0)</f>
        <v>0</v>
      </c>
      <c r="AL296" s="220">
        <f>IF(AL$2&lt;=analysis_period,IF(SUM($C612:AL612)&gt;0,AK296+1,0),0)</f>
        <v>0</v>
      </c>
      <c r="AM296" s="220">
        <f>IF(AM$2&lt;=analysis_period,IF(SUM($C612:AM612)&gt;0,AL296+1,0),0)</f>
        <v>0</v>
      </c>
      <c r="AN296" s="220">
        <f>IF(AN$2&lt;=analysis_period,IF(SUM($C612:AN612)&gt;0,AM296+1,0),0)</f>
        <v>0</v>
      </c>
      <c r="AO296" s="220">
        <f>IF(AO$2&lt;=analysis_period,IF(SUM($C612:AO612)&gt;0,AN296+1,0),0)</f>
        <v>0</v>
      </c>
      <c r="AP296" s="220">
        <f>IF(AP$2&lt;=analysis_period,IF(SUM($C612:AP612)&gt;0,AO296+1,0),0)</f>
        <v>0</v>
      </c>
    </row>
    <row r="297" spans="1:42" x14ac:dyDescent="0.2">
      <c r="A297" s="17">
        <f t="shared" si="134"/>
        <v>4</v>
      </c>
      <c r="B297" s="4">
        <v>0</v>
      </c>
      <c r="C297" s="220">
        <f>IF(C$2&lt;=analysis_period,IF(SUM($C613:C613)&gt;0,B297+1,0),0)</f>
        <v>0</v>
      </c>
      <c r="D297" s="220">
        <f>IF(D$2&lt;=analysis_period,IF(SUM($C613:D613)&gt;0,C297+1,0),0)</f>
        <v>0</v>
      </c>
      <c r="E297" s="220">
        <f>IF(E$2&lt;=analysis_period,IF(SUM($C613:E613)&gt;0,D297+1,0),0)</f>
        <v>0</v>
      </c>
      <c r="F297" s="220">
        <f>IF(F$2&lt;=analysis_period,IF(SUM($C613:F613)&gt;0,E297+1,0),0)</f>
        <v>0</v>
      </c>
      <c r="G297" s="220">
        <f>IF(G$2&lt;=analysis_period,IF(SUM($C613:G613)&gt;0,F297+1,0),0)</f>
        <v>0</v>
      </c>
      <c r="H297" s="220">
        <f>IF(H$2&lt;=analysis_period,IF(SUM($C613:H613)&gt;0,G297+1,0),0)</f>
        <v>0</v>
      </c>
      <c r="I297" s="220">
        <f>IF(I$2&lt;=analysis_period,IF(SUM($C613:I613)&gt;0,H297+1,0),0)</f>
        <v>0</v>
      </c>
      <c r="J297" s="220">
        <f>IF(J$2&lt;=analysis_period,IF(SUM($C613:J613)&gt;0,I297+1,0),0)</f>
        <v>0</v>
      </c>
      <c r="K297" s="220">
        <f>IF(K$2&lt;=analysis_period,IF(SUM($C613:K613)&gt;0,J297+1,0),0)</f>
        <v>0</v>
      </c>
      <c r="L297" s="220">
        <f>IF(L$2&lt;=analysis_period,IF(SUM($C613:L613)&gt;0,K297+1,0),0)</f>
        <v>0</v>
      </c>
      <c r="M297" s="220">
        <f>IF(M$2&lt;=analysis_period,IF(SUM($C613:M613)&gt;0,L297+1,0),0)</f>
        <v>0</v>
      </c>
      <c r="N297" s="220">
        <f>IF(N$2&lt;=analysis_period,IF(SUM($C613:N613)&gt;0,M297+1,0),0)</f>
        <v>0</v>
      </c>
      <c r="O297" s="220">
        <f>IF(O$2&lt;=analysis_period,IF(SUM($C613:O613)&gt;0,N297+1,0),0)</f>
        <v>0</v>
      </c>
      <c r="P297" s="220">
        <f>IF(P$2&lt;=analysis_period,IF(SUM($C613:P613)&gt;0,O297+1,0),0)</f>
        <v>0</v>
      </c>
      <c r="Q297" s="220">
        <f>IF(Q$2&lt;=analysis_period,IF(SUM($C613:Q613)&gt;0,P297+1,0),0)</f>
        <v>0</v>
      </c>
      <c r="R297" s="220">
        <f>IF(R$2&lt;=analysis_period,IF(SUM($C613:R613)&gt;0,Q297+1,0),0)</f>
        <v>0</v>
      </c>
      <c r="S297" s="220">
        <f>IF(S$2&lt;=analysis_period,IF(SUM($C613:S613)&gt;0,R297+1,0),0)</f>
        <v>0</v>
      </c>
      <c r="T297" s="220">
        <f>IF(T$2&lt;=analysis_period,IF(SUM($C613:T613)&gt;0,S297+1,0),0)</f>
        <v>0</v>
      </c>
      <c r="U297" s="220">
        <f>IF(U$2&lt;=analysis_period,IF(SUM($C613:U613)&gt;0,T297+1,0),0)</f>
        <v>0</v>
      </c>
      <c r="V297" s="220">
        <f>IF(V$2&lt;=analysis_period,IF(SUM($C613:V613)&gt;0,U297+1,0),0)</f>
        <v>0</v>
      </c>
      <c r="W297" s="220">
        <f>IF(W$2&lt;=analysis_period,IF(SUM($C613:W613)&gt;0,V297+1,0),0)</f>
        <v>0</v>
      </c>
      <c r="X297" s="220">
        <f>IF(X$2&lt;=analysis_period,IF(SUM($C613:X613)&gt;0,W297+1,0),0)</f>
        <v>0</v>
      </c>
      <c r="Y297" s="220">
        <f>IF(Y$2&lt;=analysis_period,IF(SUM($C613:Y613)&gt;0,X297+1,0),0)</f>
        <v>0</v>
      </c>
      <c r="Z297" s="220">
        <f>IF(Z$2&lt;=analysis_period,IF(SUM($C613:Z613)&gt;0,Y297+1,0),0)</f>
        <v>0</v>
      </c>
      <c r="AA297" s="220">
        <f>IF(AA$2&lt;=analysis_period,IF(SUM($C613:AA613)&gt;0,Z297+1,0),0)</f>
        <v>0</v>
      </c>
      <c r="AB297" s="220">
        <f>IF(AB$2&lt;=analysis_period,IF(SUM($C613:AB613)&gt;0,AA297+1,0),0)</f>
        <v>0</v>
      </c>
      <c r="AC297" s="220">
        <f>IF(AC$2&lt;=analysis_period,IF(SUM($C613:AC613)&gt;0,AB297+1,0),0)</f>
        <v>0</v>
      </c>
      <c r="AD297" s="220">
        <f>IF(AD$2&lt;=analysis_period,IF(SUM($C613:AD613)&gt;0,AC297+1,0),0)</f>
        <v>0</v>
      </c>
      <c r="AE297" s="220">
        <f>IF(AE$2&lt;=analysis_period,IF(SUM($C613:AE613)&gt;0,AD297+1,0),0)</f>
        <v>0</v>
      </c>
      <c r="AF297" s="220">
        <f>IF(AF$2&lt;=analysis_period,IF(SUM($C613:AF613)&gt;0,AE297+1,0),0)</f>
        <v>0</v>
      </c>
      <c r="AG297" s="220">
        <f>IF(AG$2&lt;=analysis_period,IF(SUM($C613:AG613)&gt;0,AF297+1,0),0)</f>
        <v>0</v>
      </c>
      <c r="AH297" s="220">
        <f>IF(AH$2&lt;=analysis_period,IF(SUM($C613:AH613)&gt;0,AG297+1,0),0)</f>
        <v>0</v>
      </c>
      <c r="AI297" s="220">
        <f>IF(AI$2&lt;=analysis_period,IF(SUM($C613:AI613)&gt;0,AH297+1,0),0)</f>
        <v>0</v>
      </c>
      <c r="AJ297" s="220">
        <f>IF(AJ$2&lt;=analysis_period,IF(SUM($C613:AJ613)&gt;0,AI297+1,0),0)</f>
        <v>0</v>
      </c>
      <c r="AK297" s="220">
        <f>IF(AK$2&lt;=analysis_period,IF(SUM($C613:AK613)&gt;0,AJ297+1,0),0)</f>
        <v>0</v>
      </c>
      <c r="AL297" s="220">
        <f>IF(AL$2&lt;=analysis_period,IF(SUM($C613:AL613)&gt;0,AK297+1,0),0)</f>
        <v>0</v>
      </c>
      <c r="AM297" s="220">
        <f>IF(AM$2&lt;=analysis_period,IF(SUM($C613:AM613)&gt;0,AL297+1,0),0)</f>
        <v>0</v>
      </c>
      <c r="AN297" s="220">
        <f>IF(AN$2&lt;=analysis_period,IF(SUM($C613:AN613)&gt;0,AM297+1,0),0)</f>
        <v>0</v>
      </c>
      <c r="AO297" s="220">
        <f>IF(AO$2&lt;=analysis_period,IF(SUM($C613:AO613)&gt;0,AN297+1,0),0)</f>
        <v>0</v>
      </c>
      <c r="AP297" s="220">
        <f>IF(AP$2&lt;=analysis_period,IF(SUM($C613:AP613)&gt;0,AO297+1,0),0)</f>
        <v>0</v>
      </c>
    </row>
    <row r="298" spans="1:42" x14ac:dyDescent="0.2">
      <c r="A298" s="17">
        <f t="shared" si="134"/>
        <v>5</v>
      </c>
      <c r="B298" s="4">
        <v>0</v>
      </c>
      <c r="C298" s="220">
        <f>IF(C$2&lt;=analysis_period,IF(SUM($C614:C614)&gt;0,B298+1,0),0)</f>
        <v>0</v>
      </c>
      <c r="D298" s="220">
        <f>IF(D$2&lt;=analysis_period,IF(SUM($C614:D614)&gt;0,C298+1,0),0)</f>
        <v>0</v>
      </c>
      <c r="E298" s="220">
        <f>IF(E$2&lt;=analysis_period,IF(SUM($C614:E614)&gt;0,D298+1,0),0)</f>
        <v>0</v>
      </c>
      <c r="F298" s="220">
        <f>IF(F$2&lt;=analysis_period,IF(SUM($C614:F614)&gt;0,E298+1,0),0)</f>
        <v>0</v>
      </c>
      <c r="G298" s="220">
        <f>IF(G$2&lt;=analysis_period,IF(SUM($C614:G614)&gt;0,F298+1,0),0)</f>
        <v>0</v>
      </c>
      <c r="H298" s="220">
        <f>IF(H$2&lt;=analysis_period,IF(SUM($C614:H614)&gt;0,G298+1,0),0)</f>
        <v>0</v>
      </c>
      <c r="I298" s="220">
        <f>IF(I$2&lt;=analysis_period,IF(SUM($C614:I614)&gt;0,H298+1,0),0)</f>
        <v>0</v>
      </c>
      <c r="J298" s="220">
        <f>IF(J$2&lt;=analysis_period,IF(SUM($C614:J614)&gt;0,I298+1,0),0)</f>
        <v>0</v>
      </c>
      <c r="K298" s="220">
        <f>IF(K$2&lt;=analysis_period,IF(SUM($C614:K614)&gt;0,J298+1,0),0)</f>
        <v>0</v>
      </c>
      <c r="L298" s="220">
        <f>IF(L$2&lt;=analysis_period,IF(SUM($C614:L614)&gt;0,K298+1,0),0)</f>
        <v>0</v>
      </c>
      <c r="M298" s="220">
        <f>IF(M$2&lt;=analysis_period,IF(SUM($C614:M614)&gt;0,L298+1,0),0)</f>
        <v>0</v>
      </c>
      <c r="N298" s="220">
        <f>IF(N$2&lt;=analysis_period,IF(SUM($C614:N614)&gt;0,M298+1,0),0)</f>
        <v>0</v>
      </c>
      <c r="O298" s="220">
        <f>IF(O$2&lt;=analysis_period,IF(SUM($C614:O614)&gt;0,N298+1,0),0)</f>
        <v>0</v>
      </c>
      <c r="P298" s="220">
        <f>IF(P$2&lt;=analysis_period,IF(SUM($C614:P614)&gt;0,O298+1,0),0)</f>
        <v>0</v>
      </c>
      <c r="Q298" s="220">
        <f>IF(Q$2&lt;=analysis_period,IF(SUM($C614:Q614)&gt;0,P298+1,0),0)</f>
        <v>0</v>
      </c>
      <c r="R298" s="220">
        <f>IF(R$2&lt;=analysis_period,IF(SUM($C614:R614)&gt;0,Q298+1,0),0)</f>
        <v>0</v>
      </c>
      <c r="S298" s="220">
        <f>IF(S$2&lt;=analysis_period,IF(SUM($C614:S614)&gt;0,R298+1,0),0)</f>
        <v>0</v>
      </c>
      <c r="T298" s="220">
        <f>IF(T$2&lt;=analysis_period,IF(SUM($C614:T614)&gt;0,S298+1,0),0)</f>
        <v>0</v>
      </c>
      <c r="U298" s="220">
        <f>IF(U$2&lt;=analysis_period,IF(SUM($C614:U614)&gt;0,T298+1,0),0)</f>
        <v>0</v>
      </c>
      <c r="V298" s="220">
        <f>IF(V$2&lt;=analysis_period,IF(SUM($C614:V614)&gt;0,U298+1,0),0)</f>
        <v>0</v>
      </c>
      <c r="W298" s="220">
        <f>IF(W$2&lt;=analysis_period,IF(SUM($C614:W614)&gt;0,V298+1,0),0)</f>
        <v>0</v>
      </c>
      <c r="X298" s="220">
        <f>IF(X$2&lt;=analysis_period,IF(SUM($C614:X614)&gt;0,W298+1,0),0)</f>
        <v>0</v>
      </c>
      <c r="Y298" s="220">
        <f>IF(Y$2&lt;=analysis_period,IF(SUM($C614:Y614)&gt;0,X298+1,0),0)</f>
        <v>0</v>
      </c>
      <c r="Z298" s="220">
        <f>IF(Z$2&lt;=analysis_period,IF(SUM($C614:Z614)&gt;0,Y298+1,0),0)</f>
        <v>0</v>
      </c>
      <c r="AA298" s="220">
        <f>IF(AA$2&lt;=analysis_period,IF(SUM($C614:AA614)&gt;0,Z298+1,0),0)</f>
        <v>0</v>
      </c>
      <c r="AB298" s="220">
        <f>IF(AB$2&lt;=analysis_period,IF(SUM($C614:AB614)&gt;0,AA298+1,0),0)</f>
        <v>0</v>
      </c>
      <c r="AC298" s="220">
        <f>IF(AC$2&lt;=analysis_period,IF(SUM($C614:AC614)&gt;0,AB298+1,0),0)</f>
        <v>0</v>
      </c>
      <c r="AD298" s="220">
        <f>IF(AD$2&lt;=analysis_period,IF(SUM($C614:AD614)&gt;0,AC298+1,0),0)</f>
        <v>0</v>
      </c>
      <c r="AE298" s="220">
        <f>IF(AE$2&lt;=analysis_period,IF(SUM($C614:AE614)&gt;0,AD298+1,0),0)</f>
        <v>0</v>
      </c>
      <c r="AF298" s="220">
        <f>IF(AF$2&lt;=analysis_period,IF(SUM($C614:AF614)&gt;0,AE298+1,0),0)</f>
        <v>0</v>
      </c>
      <c r="AG298" s="220">
        <f>IF(AG$2&lt;=analysis_period,IF(SUM($C614:AG614)&gt;0,AF298+1,0),0)</f>
        <v>0</v>
      </c>
      <c r="AH298" s="220">
        <f>IF(AH$2&lt;=analysis_period,IF(SUM($C614:AH614)&gt;0,AG298+1,0),0)</f>
        <v>0</v>
      </c>
      <c r="AI298" s="220">
        <f>IF(AI$2&lt;=analysis_period,IF(SUM($C614:AI614)&gt;0,AH298+1,0),0)</f>
        <v>0</v>
      </c>
      <c r="AJ298" s="220">
        <f>IF(AJ$2&lt;=analysis_period,IF(SUM($C614:AJ614)&gt;0,AI298+1,0),0)</f>
        <v>0</v>
      </c>
      <c r="AK298" s="220">
        <f>IF(AK$2&lt;=analysis_period,IF(SUM($C614:AK614)&gt;0,AJ298+1,0),0)</f>
        <v>0</v>
      </c>
      <c r="AL298" s="220">
        <f>IF(AL$2&lt;=analysis_period,IF(SUM($C614:AL614)&gt;0,AK298+1,0),0)</f>
        <v>0</v>
      </c>
      <c r="AM298" s="220">
        <f>IF(AM$2&lt;=analysis_period,IF(SUM($C614:AM614)&gt;0,AL298+1,0),0)</f>
        <v>0</v>
      </c>
      <c r="AN298" s="220">
        <f>IF(AN$2&lt;=analysis_period,IF(SUM($C614:AN614)&gt;0,AM298+1,0),0)</f>
        <v>0</v>
      </c>
      <c r="AO298" s="220">
        <f>IF(AO$2&lt;=analysis_period,IF(SUM($C614:AO614)&gt;0,AN298+1,0),0)</f>
        <v>0</v>
      </c>
      <c r="AP298" s="220">
        <f>IF(AP$2&lt;=analysis_period,IF(SUM($C614:AP614)&gt;0,AO298+1,0),0)</f>
        <v>0</v>
      </c>
    </row>
    <row r="299" spans="1:42" x14ac:dyDescent="0.2">
      <c r="A299" s="17">
        <f t="shared" si="134"/>
        <v>6</v>
      </c>
      <c r="B299" s="4">
        <v>0</v>
      </c>
      <c r="C299" s="220">
        <f>IF(C$2&lt;=analysis_period,IF(SUM($C615:C615)&gt;0,B299+1,0),0)</f>
        <v>0</v>
      </c>
      <c r="D299" s="220">
        <f>IF(D$2&lt;=analysis_period,IF(SUM($C615:D615)&gt;0,C299+1,0),0)</f>
        <v>0</v>
      </c>
      <c r="E299" s="220">
        <f>IF(E$2&lt;=analysis_period,IF(SUM($C615:E615)&gt;0,D299+1,0),0)</f>
        <v>0</v>
      </c>
      <c r="F299" s="220">
        <f>IF(F$2&lt;=analysis_period,IF(SUM($C615:F615)&gt;0,E299+1,0),0)</f>
        <v>0</v>
      </c>
      <c r="G299" s="220">
        <f>IF(G$2&lt;=analysis_period,IF(SUM($C615:G615)&gt;0,F299+1,0),0)</f>
        <v>0</v>
      </c>
      <c r="H299" s="220">
        <f>IF(H$2&lt;=analysis_period,IF(SUM($C615:H615)&gt;0,G299+1,0),0)</f>
        <v>0</v>
      </c>
      <c r="I299" s="220">
        <f>IF(I$2&lt;=analysis_period,IF(SUM($C615:I615)&gt;0,H299+1,0),0)</f>
        <v>0</v>
      </c>
      <c r="J299" s="220">
        <f>IF(J$2&lt;=analysis_period,IF(SUM($C615:J615)&gt;0,I299+1,0),0)</f>
        <v>0</v>
      </c>
      <c r="K299" s="220">
        <f>IF(K$2&lt;=analysis_period,IF(SUM($C615:K615)&gt;0,J299+1,0),0)</f>
        <v>0</v>
      </c>
      <c r="L299" s="220">
        <f>IF(L$2&lt;=analysis_period,IF(SUM($C615:L615)&gt;0,K299+1,0),0)</f>
        <v>0</v>
      </c>
      <c r="M299" s="220">
        <f>IF(M$2&lt;=analysis_period,IF(SUM($C615:M615)&gt;0,L299+1,0),0)</f>
        <v>0</v>
      </c>
      <c r="N299" s="220">
        <f>IF(N$2&lt;=analysis_period,IF(SUM($C615:N615)&gt;0,M299+1,0),0)</f>
        <v>0</v>
      </c>
      <c r="O299" s="220">
        <f>IF(O$2&lt;=analysis_period,IF(SUM($C615:O615)&gt;0,N299+1,0),0)</f>
        <v>0</v>
      </c>
      <c r="P299" s="220">
        <f>IF(P$2&lt;=analysis_period,IF(SUM($C615:P615)&gt;0,O299+1,0),0)</f>
        <v>0</v>
      </c>
      <c r="Q299" s="220">
        <f>IF(Q$2&lt;=analysis_period,IF(SUM($C615:Q615)&gt;0,P299+1,0),0)</f>
        <v>0</v>
      </c>
      <c r="R299" s="220">
        <f>IF(R$2&lt;=analysis_period,IF(SUM($C615:R615)&gt;0,Q299+1,0),0)</f>
        <v>0</v>
      </c>
      <c r="S299" s="220">
        <f>IF(S$2&lt;=analysis_period,IF(SUM($C615:S615)&gt;0,R299+1,0),0)</f>
        <v>0</v>
      </c>
      <c r="T299" s="220">
        <f>IF(T$2&lt;=analysis_period,IF(SUM($C615:T615)&gt;0,S299+1,0),0)</f>
        <v>0</v>
      </c>
      <c r="U299" s="220">
        <f>IF(U$2&lt;=analysis_period,IF(SUM($C615:U615)&gt;0,T299+1,0),0)</f>
        <v>0</v>
      </c>
      <c r="V299" s="220">
        <f>IF(V$2&lt;=analysis_period,IF(SUM($C615:V615)&gt;0,U299+1,0),0)</f>
        <v>0</v>
      </c>
      <c r="W299" s="220">
        <f>IF(W$2&lt;=analysis_period,IF(SUM($C615:W615)&gt;0,V299+1,0),0)</f>
        <v>0</v>
      </c>
      <c r="X299" s="220">
        <f>IF(X$2&lt;=analysis_period,IF(SUM($C615:X615)&gt;0,W299+1,0),0)</f>
        <v>0</v>
      </c>
      <c r="Y299" s="220">
        <f>IF(Y$2&lt;=analysis_period,IF(SUM($C615:Y615)&gt;0,X299+1,0),0)</f>
        <v>0</v>
      </c>
      <c r="Z299" s="220">
        <f>IF(Z$2&lt;=analysis_period,IF(SUM($C615:Z615)&gt;0,Y299+1,0),0)</f>
        <v>0</v>
      </c>
      <c r="AA299" s="220">
        <f>IF(AA$2&lt;=analysis_period,IF(SUM($C615:AA615)&gt;0,Z299+1,0),0)</f>
        <v>0</v>
      </c>
      <c r="AB299" s="220">
        <f>IF(AB$2&lt;=analysis_period,IF(SUM($C615:AB615)&gt;0,AA299+1,0),0)</f>
        <v>0</v>
      </c>
      <c r="AC299" s="220">
        <f>IF(AC$2&lt;=analysis_period,IF(SUM($C615:AC615)&gt;0,AB299+1,0),0)</f>
        <v>0</v>
      </c>
      <c r="AD299" s="220">
        <f>IF(AD$2&lt;=analysis_period,IF(SUM($C615:AD615)&gt;0,AC299+1,0),0)</f>
        <v>0</v>
      </c>
      <c r="AE299" s="220">
        <f>IF(AE$2&lt;=analysis_period,IF(SUM($C615:AE615)&gt;0,AD299+1,0),0)</f>
        <v>0</v>
      </c>
      <c r="AF299" s="220">
        <f>IF(AF$2&lt;=analysis_period,IF(SUM($C615:AF615)&gt;0,AE299+1,0),0)</f>
        <v>0</v>
      </c>
      <c r="AG299" s="220">
        <f>IF(AG$2&lt;=analysis_period,IF(SUM($C615:AG615)&gt;0,AF299+1,0),0)</f>
        <v>0</v>
      </c>
      <c r="AH299" s="220">
        <f>IF(AH$2&lt;=analysis_period,IF(SUM($C615:AH615)&gt;0,AG299+1,0),0)</f>
        <v>0</v>
      </c>
      <c r="AI299" s="220">
        <f>IF(AI$2&lt;=analysis_period,IF(SUM($C615:AI615)&gt;0,AH299+1,0),0)</f>
        <v>0</v>
      </c>
      <c r="AJ299" s="220">
        <f>IF(AJ$2&lt;=analysis_period,IF(SUM($C615:AJ615)&gt;0,AI299+1,0),0)</f>
        <v>0</v>
      </c>
      <c r="AK299" s="220">
        <f>IF(AK$2&lt;=analysis_period,IF(SUM($C615:AK615)&gt;0,AJ299+1,0),0)</f>
        <v>0</v>
      </c>
      <c r="AL299" s="220">
        <f>IF(AL$2&lt;=analysis_period,IF(SUM($C615:AL615)&gt;0,AK299+1,0),0)</f>
        <v>0</v>
      </c>
      <c r="AM299" s="220">
        <f>IF(AM$2&lt;=analysis_period,IF(SUM($C615:AM615)&gt;0,AL299+1,0),0)</f>
        <v>0</v>
      </c>
      <c r="AN299" s="220">
        <f>IF(AN$2&lt;=analysis_period,IF(SUM($C615:AN615)&gt;0,AM299+1,0),0)</f>
        <v>0</v>
      </c>
      <c r="AO299" s="220">
        <f>IF(AO$2&lt;=analysis_period,IF(SUM($C615:AO615)&gt;0,AN299+1,0),0)</f>
        <v>0</v>
      </c>
      <c r="AP299" s="220">
        <f>IF(AP$2&lt;=analysis_period,IF(SUM($C615:AP615)&gt;0,AO299+1,0),0)</f>
        <v>0</v>
      </c>
    </row>
    <row r="300" spans="1:42" x14ac:dyDescent="0.2">
      <c r="A300" s="17">
        <f t="shared" si="134"/>
        <v>7</v>
      </c>
      <c r="B300" s="4">
        <v>0</v>
      </c>
      <c r="C300" s="220">
        <f>IF(C$2&lt;=analysis_period,IF(SUM($C616:C616)&gt;0,B300+1,0),0)</f>
        <v>0</v>
      </c>
      <c r="D300" s="220">
        <f>IF(D$2&lt;=analysis_period,IF(SUM($C616:D616)&gt;0,C300+1,0),0)</f>
        <v>0</v>
      </c>
      <c r="E300" s="220">
        <f>IF(E$2&lt;=analysis_period,IF(SUM($C616:E616)&gt;0,D300+1,0),0)</f>
        <v>0</v>
      </c>
      <c r="F300" s="220">
        <f>IF(F$2&lt;=analysis_period,IF(SUM($C616:F616)&gt;0,E300+1,0),0)</f>
        <v>0</v>
      </c>
      <c r="G300" s="220">
        <f>IF(G$2&lt;=analysis_period,IF(SUM($C616:G616)&gt;0,F300+1,0),0)</f>
        <v>0</v>
      </c>
      <c r="H300" s="220">
        <f>IF(H$2&lt;=analysis_period,IF(SUM($C616:H616)&gt;0,G300+1,0),0)</f>
        <v>0</v>
      </c>
      <c r="I300" s="220">
        <f>IF(I$2&lt;=analysis_period,IF(SUM($C616:I616)&gt;0,H300+1,0),0)</f>
        <v>0</v>
      </c>
      <c r="J300" s="220">
        <f>IF(J$2&lt;=analysis_period,IF(SUM($C616:J616)&gt;0,I300+1,0),0)</f>
        <v>0</v>
      </c>
      <c r="K300" s="220">
        <f>IF(K$2&lt;=analysis_period,IF(SUM($C616:K616)&gt;0,J300+1,0),0)</f>
        <v>0</v>
      </c>
      <c r="L300" s="220">
        <f>IF(L$2&lt;=analysis_period,IF(SUM($C616:L616)&gt;0,K300+1,0),0)</f>
        <v>0</v>
      </c>
      <c r="M300" s="220">
        <f>IF(M$2&lt;=analysis_period,IF(SUM($C616:M616)&gt;0,L300+1,0),0)</f>
        <v>0</v>
      </c>
      <c r="N300" s="220">
        <f>IF(N$2&lt;=analysis_period,IF(SUM($C616:N616)&gt;0,M300+1,0),0)</f>
        <v>0</v>
      </c>
      <c r="O300" s="220">
        <f>IF(O$2&lt;=analysis_period,IF(SUM($C616:O616)&gt;0,N300+1,0),0)</f>
        <v>0</v>
      </c>
      <c r="P300" s="220">
        <f>IF(P$2&lt;=analysis_period,IF(SUM($C616:P616)&gt;0,O300+1,0),0)</f>
        <v>0</v>
      </c>
      <c r="Q300" s="220">
        <f>IF(Q$2&lt;=analysis_period,IF(SUM($C616:Q616)&gt;0,P300+1,0),0)</f>
        <v>0</v>
      </c>
      <c r="R300" s="220">
        <f>IF(R$2&lt;=analysis_period,IF(SUM($C616:R616)&gt;0,Q300+1,0),0)</f>
        <v>0</v>
      </c>
      <c r="S300" s="220">
        <f>IF(S$2&lt;=analysis_period,IF(SUM($C616:S616)&gt;0,R300+1,0),0)</f>
        <v>0</v>
      </c>
      <c r="T300" s="220">
        <f>IF(T$2&lt;=analysis_period,IF(SUM($C616:T616)&gt;0,S300+1,0),0)</f>
        <v>0</v>
      </c>
      <c r="U300" s="220">
        <f>IF(U$2&lt;=analysis_period,IF(SUM($C616:U616)&gt;0,T300+1,0),0)</f>
        <v>0</v>
      </c>
      <c r="V300" s="220">
        <f>IF(V$2&lt;=analysis_period,IF(SUM($C616:V616)&gt;0,U300+1,0),0)</f>
        <v>0</v>
      </c>
      <c r="W300" s="220">
        <f>IF(W$2&lt;=analysis_period,IF(SUM($C616:W616)&gt;0,V300+1,0),0)</f>
        <v>0</v>
      </c>
      <c r="X300" s="220">
        <f>IF(X$2&lt;=analysis_period,IF(SUM($C616:X616)&gt;0,W300+1,0),0)</f>
        <v>0</v>
      </c>
      <c r="Y300" s="220">
        <f>IF(Y$2&lt;=analysis_period,IF(SUM($C616:Y616)&gt;0,X300+1,0),0)</f>
        <v>0</v>
      </c>
      <c r="Z300" s="220">
        <f>IF(Z$2&lt;=analysis_period,IF(SUM($C616:Z616)&gt;0,Y300+1,0),0)</f>
        <v>0</v>
      </c>
      <c r="AA300" s="220">
        <f>IF(AA$2&lt;=analysis_period,IF(SUM($C616:AA616)&gt;0,Z300+1,0),0)</f>
        <v>0</v>
      </c>
      <c r="AB300" s="220">
        <f>IF(AB$2&lt;=analysis_period,IF(SUM($C616:AB616)&gt;0,AA300+1,0),0)</f>
        <v>0</v>
      </c>
      <c r="AC300" s="220">
        <f>IF(AC$2&lt;=analysis_period,IF(SUM($C616:AC616)&gt;0,AB300+1,0),0)</f>
        <v>0</v>
      </c>
      <c r="AD300" s="220">
        <f>IF(AD$2&lt;=analysis_period,IF(SUM($C616:AD616)&gt;0,AC300+1,0),0)</f>
        <v>0</v>
      </c>
      <c r="AE300" s="220">
        <f>IF(AE$2&lt;=analysis_period,IF(SUM($C616:AE616)&gt;0,AD300+1,0),0)</f>
        <v>0</v>
      </c>
      <c r="AF300" s="220">
        <f>IF(AF$2&lt;=analysis_period,IF(SUM($C616:AF616)&gt;0,AE300+1,0),0)</f>
        <v>0</v>
      </c>
      <c r="AG300" s="220">
        <f>IF(AG$2&lt;=analysis_period,IF(SUM($C616:AG616)&gt;0,AF300+1,0),0)</f>
        <v>0</v>
      </c>
      <c r="AH300" s="220">
        <f>IF(AH$2&lt;=analysis_period,IF(SUM($C616:AH616)&gt;0,AG300+1,0),0)</f>
        <v>0</v>
      </c>
      <c r="AI300" s="220">
        <f>IF(AI$2&lt;=analysis_period,IF(SUM($C616:AI616)&gt;0,AH300+1,0),0)</f>
        <v>0</v>
      </c>
      <c r="AJ300" s="220">
        <f>IF(AJ$2&lt;=analysis_period,IF(SUM($C616:AJ616)&gt;0,AI300+1,0),0)</f>
        <v>0</v>
      </c>
      <c r="AK300" s="220">
        <f>IF(AK$2&lt;=analysis_period,IF(SUM($C616:AK616)&gt;0,AJ300+1,0),0)</f>
        <v>0</v>
      </c>
      <c r="AL300" s="220">
        <f>IF(AL$2&lt;=analysis_period,IF(SUM($C616:AL616)&gt;0,AK300+1,0),0)</f>
        <v>0</v>
      </c>
      <c r="AM300" s="220">
        <f>IF(AM$2&lt;=analysis_period,IF(SUM($C616:AM616)&gt;0,AL300+1,0),0)</f>
        <v>0</v>
      </c>
      <c r="AN300" s="220">
        <f>IF(AN$2&lt;=analysis_period,IF(SUM($C616:AN616)&gt;0,AM300+1,0),0)</f>
        <v>0</v>
      </c>
      <c r="AO300" s="220">
        <f>IF(AO$2&lt;=analysis_period,IF(SUM($C616:AO616)&gt;0,AN300+1,0),0)</f>
        <v>0</v>
      </c>
      <c r="AP300" s="220">
        <f>IF(AP$2&lt;=analysis_period,IF(SUM($C616:AP616)&gt;0,AO300+1,0),0)</f>
        <v>0</v>
      </c>
    </row>
    <row r="301" spans="1:42" x14ac:dyDescent="0.2">
      <c r="A301" s="17">
        <f t="shared" si="134"/>
        <v>8</v>
      </c>
      <c r="B301" s="4">
        <v>0</v>
      </c>
      <c r="C301" s="220">
        <f>IF(C$2&lt;=analysis_period,IF(SUM($C617:C617)&gt;0,B301+1,0),0)</f>
        <v>0</v>
      </c>
      <c r="D301" s="220">
        <f>IF(D$2&lt;=analysis_period,IF(SUM($C617:D617)&gt;0,C301+1,0),0)</f>
        <v>0</v>
      </c>
      <c r="E301" s="220">
        <f>IF(E$2&lt;=analysis_period,IF(SUM($C617:E617)&gt;0,D301+1,0),0)</f>
        <v>0</v>
      </c>
      <c r="F301" s="220">
        <f>IF(F$2&lt;=analysis_period,IF(SUM($C617:F617)&gt;0,E301+1,0),0)</f>
        <v>0</v>
      </c>
      <c r="G301" s="220">
        <f>IF(G$2&lt;=analysis_period,IF(SUM($C617:G617)&gt;0,F301+1,0),0)</f>
        <v>0</v>
      </c>
      <c r="H301" s="220">
        <f>IF(H$2&lt;=analysis_period,IF(SUM($C617:H617)&gt;0,G301+1,0),0)</f>
        <v>0</v>
      </c>
      <c r="I301" s="220">
        <f>IF(I$2&lt;=analysis_period,IF(SUM($C617:I617)&gt;0,H301+1,0),0)</f>
        <v>0</v>
      </c>
      <c r="J301" s="220">
        <f>IF(J$2&lt;=analysis_period,IF(SUM($C617:J617)&gt;0,I301+1,0),0)</f>
        <v>0</v>
      </c>
      <c r="K301" s="220">
        <f>IF(K$2&lt;=analysis_period,IF(SUM($C617:K617)&gt;0,J301+1,0),0)</f>
        <v>0</v>
      </c>
      <c r="L301" s="220">
        <f>IF(L$2&lt;=analysis_period,IF(SUM($C617:L617)&gt;0,K301+1,0),0)</f>
        <v>0</v>
      </c>
      <c r="M301" s="220">
        <f>IF(M$2&lt;=analysis_period,IF(SUM($C617:M617)&gt;0,L301+1,0),0)</f>
        <v>0</v>
      </c>
      <c r="N301" s="220">
        <f>IF(N$2&lt;=analysis_period,IF(SUM($C617:N617)&gt;0,M301+1,0),0)</f>
        <v>0</v>
      </c>
      <c r="O301" s="220">
        <f>IF(O$2&lt;=analysis_period,IF(SUM($C617:O617)&gt;0,N301+1,0),0)</f>
        <v>0</v>
      </c>
      <c r="P301" s="220">
        <f>IF(P$2&lt;=analysis_period,IF(SUM($C617:P617)&gt;0,O301+1,0),0)</f>
        <v>0</v>
      </c>
      <c r="Q301" s="220">
        <f>IF(Q$2&lt;=analysis_period,IF(SUM($C617:Q617)&gt;0,P301+1,0),0)</f>
        <v>0</v>
      </c>
      <c r="R301" s="220">
        <f>IF(R$2&lt;=analysis_period,IF(SUM($C617:R617)&gt;0,Q301+1,0),0)</f>
        <v>0</v>
      </c>
      <c r="S301" s="220">
        <f>IF(S$2&lt;=analysis_period,IF(SUM($C617:S617)&gt;0,R301+1,0),0)</f>
        <v>0</v>
      </c>
      <c r="T301" s="220">
        <f>IF(T$2&lt;=analysis_period,IF(SUM($C617:T617)&gt;0,S301+1,0),0)</f>
        <v>0</v>
      </c>
      <c r="U301" s="220">
        <f>IF(U$2&lt;=analysis_period,IF(SUM($C617:U617)&gt;0,T301+1,0),0)</f>
        <v>0</v>
      </c>
      <c r="V301" s="220">
        <f>IF(V$2&lt;=analysis_period,IF(SUM($C617:V617)&gt;0,U301+1,0),0)</f>
        <v>0</v>
      </c>
      <c r="W301" s="220">
        <f>IF(W$2&lt;=analysis_period,IF(SUM($C617:W617)&gt;0,V301+1,0),0)</f>
        <v>0</v>
      </c>
      <c r="X301" s="220">
        <f>IF(X$2&lt;=analysis_period,IF(SUM($C617:X617)&gt;0,W301+1,0),0)</f>
        <v>0</v>
      </c>
      <c r="Y301" s="220">
        <f>IF(Y$2&lt;=analysis_period,IF(SUM($C617:Y617)&gt;0,X301+1,0),0)</f>
        <v>0</v>
      </c>
      <c r="Z301" s="220">
        <f>IF(Z$2&lt;=analysis_period,IF(SUM($C617:Z617)&gt;0,Y301+1,0),0)</f>
        <v>0</v>
      </c>
      <c r="AA301" s="220">
        <f>IF(AA$2&lt;=analysis_period,IF(SUM($C617:AA617)&gt;0,Z301+1,0),0)</f>
        <v>0</v>
      </c>
      <c r="AB301" s="220">
        <f>IF(AB$2&lt;=analysis_period,IF(SUM($C617:AB617)&gt;0,AA301+1,0),0)</f>
        <v>0</v>
      </c>
      <c r="AC301" s="220">
        <f>IF(AC$2&lt;=analysis_period,IF(SUM($C617:AC617)&gt;0,AB301+1,0),0)</f>
        <v>0</v>
      </c>
      <c r="AD301" s="220">
        <f>IF(AD$2&lt;=analysis_period,IF(SUM($C617:AD617)&gt;0,AC301+1,0),0)</f>
        <v>0</v>
      </c>
      <c r="AE301" s="220">
        <f>IF(AE$2&lt;=analysis_period,IF(SUM($C617:AE617)&gt;0,AD301+1,0),0)</f>
        <v>0</v>
      </c>
      <c r="AF301" s="220">
        <f>IF(AF$2&lt;=analysis_period,IF(SUM($C617:AF617)&gt;0,AE301+1,0),0)</f>
        <v>0</v>
      </c>
      <c r="AG301" s="220">
        <f>IF(AG$2&lt;=analysis_period,IF(SUM($C617:AG617)&gt;0,AF301+1,0),0)</f>
        <v>0</v>
      </c>
      <c r="AH301" s="220">
        <f>IF(AH$2&lt;=analysis_period,IF(SUM($C617:AH617)&gt;0,AG301+1,0),0)</f>
        <v>0</v>
      </c>
      <c r="AI301" s="220">
        <f>IF(AI$2&lt;=analysis_period,IF(SUM($C617:AI617)&gt;0,AH301+1,0),0)</f>
        <v>0</v>
      </c>
      <c r="AJ301" s="220">
        <f>IF(AJ$2&lt;=analysis_period,IF(SUM($C617:AJ617)&gt;0,AI301+1,0),0)</f>
        <v>0</v>
      </c>
      <c r="AK301" s="220">
        <f>IF(AK$2&lt;=analysis_period,IF(SUM($C617:AK617)&gt;0,AJ301+1,0),0)</f>
        <v>0</v>
      </c>
      <c r="AL301" s="220">
        <f>IF(AL$2&lt;=analysis_period,IF(SUM($C617:AL617)&gt;0,AK301+1,0),0)</f>
        <v>0</v>
      </c>
      <c r="AM301" s="220">
        <f>IF(AM$2&lt;=analysis_period,IF(SUM($C617:AM617)&gt;0,AL301+1,0),0)</f>
        <v>0</v>
      </c>
      <c r="AN301" s="220">
        <f>IF(AN$2&lt;=analysis_period,IF(SUM($C617:AN617)&gt;0,AM301+1,0),0)</f>
        <v>0</v>
      </c>
      <c r="AO301" s="220">
        <f>IF(AO$2&lt;=analysis_period,IF(SUM($C617:AO617)&gt;0,AN301+1,0),0)</f>
        <v>0</v>
      </c>
      <c r="AP301" s="220">
        <f>IF(AP$2&lt;=analysis_period,IF(SUM($C617:AP617)&gt;0,AO301+1,0),0)</f>
        <v>0</v>
      </c>
    </row>
    <row r="302" spans="1:42" x14ac:dyDescent="0.2">
      <c r="A302" s="17">
        <f>A301+1</f>
        <v>9</v>
      </c>
      <c r="B302" s="4">
        <v>0</v>
      </c>
      <c r="C302" s="220">
        <f>IF(C$2&lt;=analysis_period,IF(SUM($C618:C618)&gt;0,B302+1,0),0)</f>
        <v>0</v>
      </c>
      <c r="D302" s="220">
        <f>IF(D$2&lt;=analysis_period,IF(SUM($C618:D618)&gt;0,C302+1,0),0)</f>
        <v>0</v>
      </c>
      <c r="E302" s="220">
        <f>IF(E$2&lt;=analysis_period,IF(SUM($C618:E618)&gt;0,D302+1,0),0)</f>
        <v>0</v>
      </c>
      <c r="F302" s="220">
        <f>IF(F$2&lt;=analysis_period,IF(SUM($C618:F618)&gt;0,E302+1,0),0)</f>
        <v>0</v>
      </c>
      <c r="G302" s="220">
        <f>IF(G$2&lt;=analysis_period,IF(SUM($C618:G618)&gt;0,F302+1,0),0)</f>
        <v>0</v>
      </c>
      <c r="H302" s="220">
        <f>IF(H$2&lt;=analysis_period,IF(SUM($C618:H618)&gt;0,G302+1,0),0)</f>
        <v>0</v>
      </c>
      <c r="I302" s="220">
        <f>IF(I$2&lt;=analysis_period,IF(SUM($C618:I618)&gt;0,H302+1,0),0)</f>
        <v>0</v>
      </c>
      <c r="J302" s="220">
        <f>IF(J$2&lt;=analysis_period,IF(SUM($C618:J618)&gt;0,I302+1,0),0)</f>
        <v>0</v>
      </c>
      <c r="K302" s="220">
        <f>IF(K$2&lt;=analysis_period,IF(SUM($C618:K618)&gt;0,J302+1,0),0)</f>
        <v>0</v>
      </c>
      <c r="L302" s="220">
        <f>IF(L$2&lt;=analysis_period,IF(SUM($C618:L618)&gt;0,K302+1,0),0)</f>
        <v>0</v>
      </c>
      <c r="M302" s="220">
        <f>IF(M$2&lt;=analysis_period,IF(SUM($C618:M618)&gt;0,L302+1,0),0)</f>
        <v>0</v>
      </c>
      <c r="N302" s="220">
        <f>IF(N$2&lt;=analysis_period,IF(SUM($C618:N618)&gt;0,M302+1,0),0)</f>
        <v>0</v>
      </c>
      <c r="O302" s="220">
        <f>IF(O$2&lt;=analysis_period,IF(SUM($C618:O618)&gt;0,N302+1,0),0)</f>
        <v>0</v>
      </c>
      <c r="P302" s="220">
        <f>IF(P$2&lt;=analysis_period,IF(SUM($C618:P618)&gt;0,O302+1,0),0)</f>
        <v>0</v>
      </c>
      <c r="Q302" s="220">
        <f>IF(Q$2&lt;=analysis_period,IF(SUM($C618:Q618)&gt;0,P302+1,0),0)</f>
        <v>0</v>
      </c>
      <c r="R302" s="220">
        <f>IF(R$2&lt;=analysis_period,IF(SUM($C618:R618)&gt;0,Q302+1,0),0)</f>
        <v>0</v>
      </c>
      <c r="S302" s="220">
        <f>IF(S$2&lt;=analysis_period,IF(SUM($C618:S618)&gt;0,R302+1,0),0)</f>
        <v>0</v>
      </c>
      <c r="T302" s="220">
        <f>IF(T$2&lt;=analysis_period,IF(SUM($C618:T618)&gt;0,S302+1,0),0)</f>
        <v>0</v>
      </c>
      <c r="U302" s="220">
        <f>IF(U$2&lt;=analysis_period,IF(SUM($C618:U618)&gt;0,T302+1,0),0)</f>
        <v>0</v>
      </c>
      <c r="V302" s="220">
        <f>IF(V$2&lt;=analysis_period,IF(SUM($C618:V618)&gt;0,U302+1,0),0)</f>
        <v>0</v>
      </c>
      <c r="W302" s="220">
        <f>IF(W$2&lt;=analysis_period,IF(SUM($C618:W618)&gt;0,V302+1,0),0)</f>
        <v>0</v>
      </c>
      <c r="X302" s="220">
        <f>IF(X$2&lt;=analysis_period,IF(SUM($C618:X618)&gt;0,W302+1,0),0)</f>
        <v>0</v>
      </c>
      <c r="Y302" s="220">
        <f>IF(Y$2&lt;=analysis_period,IF(SUM($C618:Y618)&gt;0,X302+1,0),0)</f>
        <v>0</v>
      </c>
      <c r="Z302" s="220">
        <f>IF(Z$2&lt;=analysis_period,IF(SUM($C618:Z618)&gt;0,Y302+1,0),0)</f>
        <v>0</v>
      </c>
      <c r="AA302" s="220">
        <f>IF(AA$2&lt;=analysis_period,IF(SUM($C618:AA618)&gt;0,Z302+1,0),0)</f>
        <v>0</v>
      </c>
      <c r="AB302" s="220">
        <f>IF(AB$2&lt;=analysis_period,IF(SUM($C618:AB618)&gt;0,AA302+1,0),0)</f>
        <v>0</v>
      </c>
      <c r="AC302" s="220">
        <f>IF(AC$2&lt;=analysis_period,IF(SUM($C618:AC618)&gt;0,AB302+1,0),0)</f>
        <v>0</v>
      </c>
      <c r="AD302" s="220">
        <f>IF(AD$2&lt;=analysis_period,IF(SUM($C618:AD618)&gt;0,AC302+1,0),0)</f>
        <v>0</v>
      </c>
      <c r="AE302" s="220">
        <f>IF(AE$2&lt;=analysis_period,IF(SUM($C618:AE618)&gt;0,AD302+1,0),0)</f>
        <v>0</v>
      </c>
      <c r="AF302" s="220">
        <f>IF(AF$2&lt;=analysis_period,IF(SUM($C618:AF618)&gt;0,AE302+1,0),0)</f>
        <v>0</v>
      </c>
      <c r="AG302" s="220">
        <f>IF(AG$2&lt;=analysis_period,IF(SUM($C618:AG618)&gt;0,AF302+1,0),0)</f>
        <v>0</v>
      </c>
      <c r="AH302" s="220">
        <f>IF(AH$2&lt;=analysis_period,IF(SUM($C618:AH618)&gt;0,AG302+1,0),0)</f>
        <v>0</v>
      </c>
      <c r="AI302" s="220">
        <f>IF(AI$2&lt;=analysis_period,IF(SUM($C618:AI618)&gt;0,AH302+1,0),0)</f>
        <v>0</v>
      </c>
      <c r="AJ302" s="220">
        <f>IF(AJ$2&lt;=analysis_period,IF(SUM($C618:AJ618)&gt;0,AI302+1,0),0)</f>
        <v>0</v>
      </c>
      <c r="AK302" s="220">
        <f>IF(AK$2&lt;=analysis_period,IF(SUM($C618:AK618)&gt;0,AJ302+1,0),0)</f>
        <v>0</v>
      </c>
      <c r="AL302" s="220">
        <f>IF(AL$2&lt;=analysis_period,IF(SUM($C618:AL618)&gt;0,AK302+1,0),0)</f>
        <v>0</v>
      </c>
      <c r="AM302" s="220">
        <f>IF(AM$2&lt;=analysis_period,IF(SUM($C618:AM618)&gt;0,AL302+1,0),0)</f>
        <v>0</v>
      </c>
      <c r="AN302" s="220">
        <f>IF(AN$2&lt;=analysis_period,IF(SUM($C618:AN618)&gt;0,AM302+1,0),0)</f>
        <v>0</v>
      </c>
      <c r="AO302" s="220">
        <f>IF(AO$2&lt;=analysis_period,IF(SUM($C618:AO618)&gt;0,AN302+1,0),0)</f>
        <v>0</v>
      </c>
      <c r="AP302" s="220">
        <f>IF(AP$2&lt;=analysis_period,IF(SUM($C618:AP618)&gt;0,AO302+1,0),0)</f>
        <v>0</v>
      </c>
    </row>
    <row r="303" spans="1:42" x14ac:dyDescent="0.2">
      <c r="A303" s="17">
        <f t="shared" si="134"/>
        <v>10</v>
      </c>
      <c r="B303" s="4">
        <v>0</v>
      </c>
      <c r="C303" s="220">
        <f>IF(C$2&lt;=analysis_period,IF(SUM($C619:C619)&gt;0,B303+1,0),0)</f>
        <v>0</v>
      </c>
      <c r="D303" s="220">
        <f>IF(D$2&lt;=analysis_period,IF(SUM($C619:D619)&gt;0,C303+1,0),0)</f>
        <v>0</v>
      </c>
      <c r="E303" s="220">
        <f>IF(E$2&lt;=analysis_period,IF(SUM($C619:E619)&gt;0,D303+1,0),0)</f>
        <v>0</v>
      </c>
      <c r="F303" s="220">
        <f>IF(F$2&lt;=analysis_period,IF(SUM($C619:F619)&gt;0,E303+1,0),0)</f>
        <v>0</v>
      </c>
      <c r="G303" s="220">
        <f>IF(G$2&lt;=analysis_period,IF(SUM($C619:G619)&gt;0,F303+1,0),0)</f>
        <v>0</v>
      </c>
      <c r="H303" s="220">
        <f>IF(H$2&lt;=analysis_period,IF(SUM($C619:H619)&gt;0,G303+1,0),0)</f>
        <v>0</v>
      </c>
      <c r="I303" s="220">
        <f>IF(I$2&lt;=analysis_period,IF(SUM($C619:I619)&gt;0,H303+1,0),0)</f>
        <v>0</v>
      </c>
      <c r="J303" s="220">
        <f>IF(J$2&lt;=analysis_period,IF(SUM($C619:J619)&gt;0,I303+1,0),0)</f>
        <v>0</v>
      </c>
      <c r="K303" s="220">
        <f>IF(K$2&lt;=analysis_period,IF(SUM($C619:K619)&gt;0,J303+1,0),0)</f>
        <v>0</v>
      </c>
      <c r="L303" s="220">
        <f>IF(L$2&lt;=analysis_period,IF(SUM($C619:L619)&gt;0,K303+1,0),0)</f>
        <v>0</v>
      </c>
      <c r="M303" s="220">
        <f>IF(M$2&lt;=analysis_period,IF(SUM($C619:M619)&gt;0,L303+1,0),0)</f>
        <v>0</v>
      </c>
      <c r="N303" s="220">
        <f>IF(N$2&lt;=analysis_period,IF(SUM($C619:N619)&gt;0,M303+1,0),0)</f>
        <v>0</v>
      </c>
      <c r="O303" s="220">
        <f>IF(O$2&lt;=analysis_period,IF(SUM($C619:O619)&gt;0,N303+1,0),0)</f>
        <v>0</v>
      </c>
      <c r="P303" s="220">
        <f>IF(P$2&lt;=analysis_period,IF(SUM($C619:P619)&gt;0,O303+1,0),0)</f>
        <v>0</v>
      </c>
      <c r="Q303" s="220">
        <f>IF(Q$2&lt;=analysis_period,IF(SUM($C619:Q619)&gt;0,P303+1,0),0)</f>
        <v>0</v>
      </c>
      <c r="R303" s="220">
        <f>IF(R$2&lt;=analysis_period,IF(SUM($C619:R619)&gt;0,Q303+1,0),0)</f>
        <v>0</v>
      </c>
      <c r="S303" s="220">
        <f>IF(S$2&lt;=analysis_period,IF(SUM($C619:S619)&gt;0,R303+1,0),0)</f>
        <v>0</v>
      </c>
      <c r="T303" s="220">
        <f>IF(T$2&lt;=analysis_period,IF(SUM($C619:T619)&gt;0,S303+1,0),0)</f>
        <v>0</v>
      </c>
      <c r="U303" s="220">
        <f>IF(U$2&lt;=analysis_period,IF(SUM($C619:U619)&gt;0,T303+1,0),0)</f>
        <v>0</v>
      </c>
      <c r="V303" s="220">
        <f>IF(V$2&lt;=analysis_period,IF(SUM($C619:V619)&gt;0,U303+1,0),0)</f>
        <v>0</v>
      </c>
      <c r="W303" s="220">
        <f>IF(W$2&lt;=analysis_period,IF(SUM($C619:W619)&gt;0,V303+1,0),0)</f>
        <v>0</v>
      </c>
      <c r="X303" s="220">
        <f>IF(X$2&lt;=analysis_period,IF(SUM($C619:X619)&gt;0,W303+1,0),0)</f>
        <v>0</v>
      </c>
      <c r="Y303" s="220">
        <f>IF(Y$2&lt;=analysis_period,IF(SUM($C619:Y619)&gt;0,X303+1,0),0)</f>
        <v>0</v>
      </c>
      <c r="Z303" s="220">
        <f>IF(Z$2&lt;=analysis_period,IF(SUM($C619:Z619)&gt;0,Y303+1,0),0)</f>
        <v>0</v>
      </c>
      <c r="AA303" s="220">
        <f>IF(AA$2&lt;=analysis_period,IF(SUM($C619:AA619)&gt;0,Z303+1,0),0)</f>
        <v>0</v>
      </c>
      <c r="AB303" s="220">
        <f>IF(AB$2&lt;=analysis_period,IF(SUM($C619:AB619)&gt;0,AA303+1,0),0)</f>
        <v>0</v>
      </c>
      <c r="AC303" s="220">
        <f>IF(AC$2&lt;=analysis_period,IF(SUM($C619:AC619)&gt;0,AB303+1,0),0)</f>
        <v>0</v>
      </c>
      <c r="AD303" s="220">
        <f>IF(AD$2&lt;=analysis_period,IF(SUM($C619:AD619)&gt;0,AC303+1,0),0)</f>
        <v>0</v>
      </c>
      <c r="AE303" s="220">
        <f>IF(AE$2&lt;=analysis_period,IF(SUM($C619:AE619)&gt;0,AD303+1,0),0)</f>
        <v>0</v>
      </c>
      <c r="AF303" s="220">
        <f>IF(AF$2&lt;=analysis_period,IF(SUM($C619:AF619)&gt;0,AE303+1,0),0)</f>
        <v>0</v>
      </c>
      <c r="AG303" s="220">
        <f>IF(AG$2&lt;=analysis_period,IF(SUM($C619:AG619)&gt;0,AF303+1,0),0)</f>
        <v>0</v>
      </c>
      <c r="AH303" s="220">
        <f>IF(AH$2&lt;=analysis_period,IF(SUM($C619:AH619)&gt;0,AG303+1,0),0)</f>
        <v>0</v>
      </c>
      <c r="AI303" s="220">
        <f>IF(AI$2&lt;=analysis_period,IF(SUM($C619:AI619)&gt;0,AH303+1,0),0)</f>
        <v>0</v>
      </c>
      <c r="AJ303" s="220">
        <f>IF(AJ$2&lt;=analysis_period,IF(SUM($C619:AJ619)&gt;0,AI303+1,0),0)</f>
        <v>0</v>
      </c>
      <c r="AK303" s="220">
        <f>IF(AK$2&lt;=analysis_period,IF(SUM($C619:AK619)&gt;0,AJ303+1,0),0)</f>
        <v>0</v>
      </c>
      <c r="AL303" s="220">
        <f>IF(AL$2&lt;=analysis_period,IF(SUM($C619:AL619)&gt;0,AK303+1,0),0)</f>
        <v>0</v>
      </c>
      <c r="AM303" s="220">
        <f>IF(AM$2&lt;=analysis_period,IF(SUM($C619:AM619)&gt;0,AL303+1,0),0)</f>
        <v>0</v>
      </c>
      <c r="AN303" s="220">
        <f>IF(AN$2&lt;=analysis_period,IF(SUM($C619:AN619)&gt;0,AM303+1,0),0)</f>
        <v>0</v>
      </c>
      <c r="AO303" s="220">
        <f>IF(AO$2&lt;=analysis_period,IF(SUM($C619:AO619)&gt;0,AN303+1,0),0)</f>
        <v>0</v>
      </c>
      <c r="AP303" s="220">
        <f>IF(AP$2&lt;=analysis_period,IF(SUM($C619:AP619)&gt;0,AO303+1,0),0)</f>
        <v>0</v>
      </c>
    </row>
    <row r="304" spans="1:42" x14ac:dyDescent="0.2">
      <c r="A304" s="33"/>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row>
    <row r="305" spans="1:42" x14ac:dyDescent="0.2">
      <c r="A305" s="33" t="s">
        <v>95</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row>
    <row r="306" spans="1:42" x14ac:dyDescent="0.2">
      <c r="A306" s="17">
        <v>1</v>
      </c>
      <c r="B306" s="240">
        <f t="shared" ref="B306:B315" si="135">SUM(C306:AP306)</f>
        <v>0</v>
      </c>
      <c r="C306" s="242">
        <f t="shared" ref="C306:AP306" si="136">LOOKUP(C294,$B$264:$AP$264,$B$265:$AP$265)/100*$B610</f>
        <v>0</v>
      </c>
      <c r="D306" s="242">
        <f t="shared" si="136"/>
        <v>0</v>
      </c>
      <c r="E306" s="242">
        <f t="shared" si="136"/>
        <v>0</v>
      </c>
      <c r="F306" s="242">
        <f t="shared" si="136"/>
        <v>0</v>
      </c>
      <c r="G306" s="242">
        <f t="shared" si="136"/>
        <v>0</v>
      </c>
      <c r="H306" s="242">
        <f t="shared" si="136"/>
        <v>0</v>
      </c>
      <c r="I306" s="242">
        <f t="shared" si="136"/>
        <v>0</v>
      </c>
      <c r="J306" s="242">
        <f t="shared" si="136"/>
        <v>0</v>
      </c>
      <c r="K306" s="242">
        <f t="shared" si="136"/>
        <v>0</v>
      </c>
      <c r="L306" s="242">
        <f t="shared" si="136"/>
        <v>0</v>
      </c>
      <c r="M306" s="242">
        <f t="shared" si="136"/>
        <v>0</v>
      </c>
      <c r="N306" s="242">
        <f t="shared" si="136"/>
        <v>0</v>
      </c>
      <c r="O306" s="242">
        <f t="shared" si="136"/>
        <v>0</v>
      </c>
      <c r="P306" s="242">
        <f t="shared" si="136"/>
        <v>0</v>
      </c>
      <c r="Q306" s="242">
        <f t="shared" si="136"/>
        <v>0</v>
      </c>
      <c r="R306" s="242">
        <f t="shared" si="136"/>
        <v>0</v>
      </c>
      <c r="S306" s="242">
        <f t="shared" si="136"/>
        <v>0</v>
      </c>
      <c r="T306" s="242">
        <f t="shared" si="136"/>
        <v>0</v>
      </c>
      <c r="U306" s="242">
        <f t="shared" si="136"/>
        <v>0</v>
      </c>
      <c r="V306" s="242">
        <f t="shared" si="136"/>
        <v>0</v>
      </c>
      <c r="W306" s="242">
        <f t="shared" si="136"/>
        <v>0</v>
      </c>
      <c r="X306" s="242">
        <f t="shared" si="136"/>
        <v>0</v>
      </c>
      <c r="Y306" s="242">
        <f t="shared" si="136"/>
        <v>0</v>
      </c>
      <c r="Z306" s="242">
        <f t="shared" si="136"/>
        <v>0</v>
      </c>
      <c r="AA306" s="242">
        <f t="shared" si="136"/>
        <v>0</v>
      </c>
      <c r="AB306" s="242">
        <f t="shared" si="136"/>
        <v>0</v>
      </c>
      <c r="AC306" s="242">
        <f t="shared" si="136"/>
        <v>0</v>
      </c>
      <c r="AD306" s="242">
        <f t="shared" si="136"/>
        <v>0</v>
      </c>
      <c r="AE306" s="242">
        <f t="shared" si="136"/>
        <v>0</v>
      </c>
      <c r="AF306" s="242">
        <f t="shared" si="136"/>
        <v>0</v>
      </c>
      <c r="AG306" s="242">
        <f t="shared" si="136"/>
        <v>0</v>
      </c>
      <c r="AH306" s="242">
        <f t="shared" si="136"/>
        <v>0</v>
      </c>
      <c r="AI306" s="242">
        <f t="shared" si="136"/>
        <v>0</v>
      </c>
      <c r="AJ306" s="242">
        <f t="shared" si="136"/>
        <v>0</v>
      </c>
      <c r="AK306" s="242">
        <f t="shared" si="136"/>
        <v>0</v>
      </c>
      <c r="AL306" s="242">
        <f t="shared" si="136"/>
        <v>0</v>
      </c>
      <c r="AM306" s="242">
        <f t="shared" si="136"/>
        <v>0</v>
      </c>
      <c r="AN306" s="242">
        <f t="shared" si="136"/>
        <v>0</v>
      </c>
      <c r="AO306" s="242">
        <f t="shared" si="136"/>
        <v>0</v>
      </c>
      <c r="AP306" s="242">
        <f t="shared" si="136"/>
        <v>0</v>
      </c>
    </row>
    <row r="307" spans="1:42" x14ac:dyDescent="0.2">
      <c r="A307" s="17">
        <f>A306+1</f>
        <v>2</v>
      </c>
      <c r="B307" s="240">
        <f t="shared" si="135"/>
        <v>0</v>
      </c>
      <c r="C307" s="242">
        <f t="shared" ref="C307:AP307" si="137">LOOKUP(C295,$B$264:$AP$264,$B$265:$AP$265)/100*$B611</f>
        <v>0</v>
      </c>
      <c r="D307" s="242">
        <f t="shared" si="137"/>
        <v>0</v>
      </c>
      <c r="E307" s="242">
        <f t="shared" si="137"/>
        <v>0</v>
      </c>
      <c r="F307" s="242">
        <f t="shared" si="137"/>
        <v>0</v>
      </c>
      <c r="G307" s="242">
        <f t="shared" si="137"/>
        <v>0</v>
      </c>
      <c r="H307" s="242">
        <f t="shared" si="137"/>
        <v>0</v>
      </c>
      <c r="I307" s="242">
        <f t="shared" si="137"/>
        <v>0</v>
      </c>
      <c r="J307" s="242">
        <f t="shared" si="137"/>
        <v>0</v>
      </c>
      <c r="K307" s="242">
        <f t="shared" si="137"/>
        <v>0</v>
      </c>
      <c r="L307" s="242">
        <f t="shared" si="137"/>
        <v>0</v>
      </c>
      <c r="M307" s="242">
        <f t="shared" si="137"/>
        <v>0</v>
      </c>
      <c r="N307" s="242">
        <f t="shared" si="137"/>
        <v>0</v>
      </c>
      <c r="O307" s="242">
        <f t="shared" si="137"/>
        <v>0</v>
      </c>
      <c r="P307" s="242">
        <f t="shared" si="137"/>
        <v>0</v>
      </c>
      <c r="Q307" s="242">
        <f t="shared" si="137"/>
        <v>0</v>
      </c>
      <c r="R307" s="242">
        <f t="shared" si="137"/>
        <v>0</v>
      </c>
      <c r="S307" s="242">
        <f t="shared" si="137"/>
        <v>0</v>
      </c>
      <c r="T307" s="242">
        <f t="shared" si="137"/>
        <v>0</v>
      </c>
      <c r="U307" s="242">
        <f t="shared" si="137"/>
        <v>0</v>
      </c>
      <c r="V307" s="242">
        <f t="shared" si="137"/>
        <v>0</v>
      </c>
      <c r="W307" s="242">
        <f t="shared" si="137"/>
        <v>0</v>
      </c>
      <c r="X307" s="242">
        <f t="shared" si="137"/>
        <v>0</v>
      </c>
      <c r="Y307" s="242">
        <f t="shared" si="137"/>
        <v>0</v>
      </c>
      <c r="Z307" s="242">
        <f t="shared" si="137"/>
        <v>0</v>
      </c>
      <c r="AA307" s="242">
        <f t="shared" si="137"/>
        <v>0</v>
      </c>
      <c r="AB307" s="242">
        <f t="shared" si="137"/>
        <v>0</v>
      </c>
      <c r="AC307" s="242">
        <f t="shared" si="137"/>
        <v>0</v>
      </c>
      <c r="AD307" s="242">
        <f t="shared" si="137"/>
        <v>0</v>
      </c>
      <c r="AE307" s="242">
        <f t="shared" si="137"/>
        <v>0</v>
      </c>
      <c r="AF307" s="242">
        <f t="shared" si="137"/>
        <v>0</v>
      </c>
      <c r="AG307" s="242">
        <f t="shared" si="137"/>
        <v>0</v>
      </c>
      <c r="AH307" s="242">
        <f t="shared" si="137"/>
        <v>0</v>
      </c>
      <c r="AI307" s="242">
        <f t="shared" si="137"/>
        <v>0</v>
      </c>
      <c r="AJ307" s="242">
        <f t="shared" si="137"/>
        <v>0</v>
      </c>
      <c r="AK307" s="242">
        <f t="shared" si="137"/>
        <v>0</v>
      </c>
      <c r="AL307" s="242">
        <f t="shared" si="137"/>
        <v>0</v>
      </c>
      <c r="AM307" s="242">
        <f t="shared" si="137"/>
        <v>0</v>
      </c>
      <c r="AN307" s="242">
        <f t="shared" si="137"/>
        <v>0</v>
      </c>
      <c r="AO307" s="242">
        <f t="shared" si="137"/>
        <v>0</v>
      </c>
      <c r="AP307" s="242">
        <f t="shared" si="137"/>
        <v>0</v>
      </c>
    </row>
    <row r="308" spans="1:42" x14ac:dyDescent="0.2">
      <c r="A308" s="17">
        <f t="shared" ref="A308:A315" si="138">A307+1</f>
        <v>3</v>
      </c>
      <c r="B308" s="240">
        <f t="shared" si="135"/>
        <v>0</v>
      </c>
      <c r="C308" s="242">
        <f t="shared" ref="C308:AP308" si="139">LOOKUP(C296,$B$264:$AP$264,$B$265:$AP$265)/100*$B612</f>
        <v>0</v>
      </c>
      <c r="D308" s="242">
        <f t="shared" si="139"/>
        <v>0</v>
      </c>
      <c r="E308" s="242">
        <f t="shared" si="139"/>
        <v>0</v>
      </c>
      <c r="F308" s="242">
        <f t="shared" si="139"/>
        <v>0</v>
      </c>
      <c r="G308" s="242">
        <f t="shared" si="139"/>
        <v>0</v>
      </c>
      <c r="H308" s="242">
        <f t="shared" si="139"/>
        <v>0</v>
      </c>
      <c r="I308" s="242">
        <f t="shared" si="139"/>
        <v>0</v>
      </c>
      <c r="J308" s="242">
        <f t="shared" si="139"/>
        <v>0</v>
      </c>
      <c r="K308" s="242">
        <f t="shared" si="139"/>
        <v>0</v>
      </c>
      <c r="L308" s="242">
        <f t="shared" si="139"/>
        <v>0</v>
      </c>
      <c r="M308" s="242">
        <f t="shared" si="139"/>
        <v>0</v>
      </c>
      <c r="N308" s="242">
        <f t="shared" si="139"/>
        <v>0</v>
      </c>
      <c r="O308" s="242">
        <f t="shared" si="139"/>
        <v>0</v>
      </c>
      <c r="P308" s="242">
        <f t="shared" si="139"/>
        <v>0</v>
      </c>
      <c r="Q308" s="242">
        <f t="shared" si="139"/>
        <v>0</v>
      </c>
      <c r="R308" s="242">
        <f t="shared" si="139"/>
        <v>0</v>
      </c>
      <c r="S308" s="242">
        <f t="shared" si="139"/>
        <v>0</v>
      </c>
      <c r="T308" s="242">
        <f t="shared" si="139"/>
        <v>0</v>
      </c>
      <c r="U308" s="242">
        <f t="shared" si="139"/>
        <v>0</v>
      </c>
      <c r="V308" s="242">
        <f t="shared" si="139"/>
        <v>0</v>
      </c>
      <c r="W308" s="242">
        <f t="shared" si="139"/>
        <v>0</v>
      </c>
      <c r="X308" s="242">
        <f t="shared" si="139"/>
        <v>0</v>
      </c>
      <c r="Y308" s="242">
        <f t="shared" si="139"/>
        <v>0</v>
      </c>
      <c r="Z308" s="242">
        <f t="shared" si="139"/>
        <v>0</v>
      </c>
      <c r="AA308" s="242">
        <f t="shared" si="139"/>
        <v>0</v>
      </c>
      <c r="AB308" s="242">
        <f t="shared" si="139"/>
        <v>0</v>
      </c>
      <c r="AC308" s="242">
        <f t="shared" si="139"/>
        <v>0</v>
      </c>
      <c r="AD308" s="242">
        <f t="shared" si="139"/>
        <v>0</v>
      </c>
      <c r="AE308" s="242">
        <f t="shared" si="139"/>
        <v>0</v>
      </c>
      <c r="AF308" s="242">
        <f t="shared" si="139"/>
        <v>0</v>
      </c>
      <c r="AG308" s="242">
        <f t="shared" si="139"/>
        <v>0</v>
      </c>
      <c r="AH308" s="242">
        <f t="shared" si="139"/>
        <v>0</v>
      </c>
      <c r="AI308" s="242">
        <f t="shared" si="139"/>
        <v>0</v>
      </c>
      <c r="AJ308" s="242">
        <f t="shared" si="139"/>
        <v>0</v>
      </c>
      <c r="AK308" s="242">
        <f t="shared" si="139"/>
        <v>0</v>
      </c>
      <c r="AL308" s="242">
        <f t="shared" si="139"/>
        <v>0</v>
      </c>
      <c r="AM308" s="242">
        <f t="shared" si="139"/>
        <v>0</v>
      </c>
      <c r="AN308" s="242">
        <f t="shared" si="139"/>
        <v>0</v>
      </c>
      <c r="AO308" s="242">
        <f t="shared" si="139"/>
        <v>0</v>
      </c>
      <c r="AP308" s="242">
        <f t="shared" si="139"/>
        <v>0</v>
      </c>
    </row>
    <row r="309" spans="1:42" x14ac:dyDescent="0.2">
      <c r="A309" s="17">
        <f t="shared" si="138"/>
        <v>4</v>
      </c>
      <c r="B309" s="240">
        <f t="shared" si="135"/>
        <v>0</v>
      </c>
      <c r="C309" s="242">
        <f t="shared" ref="C309:AP309" si="140">LOOKUP(C297,$B$264:$AP$264,$B$265:$AP$265)/100*$B613</f>
        <v>0</v>
      </c>
      <c r="D309" s="242">
        <f t="shared" si="140"/>
        <v>0</v>
      </c>
      <c r="E309" s="242">
        <f t="shared" si="140"/>
        <v>0</v>
      </c>
      <c r="F309" s="242">
        <f t="shared" si="140"/>
        <v>0</v>
      </c>
      <c r="G309" s="242">
        <f t="shared" si="140"/>
        <v>0</v>
      </c>
      <c r="H309" s="242">
        <f t="shared" si="140"/>
        <v>0</v>
      </c>
      <c r="I309" s="242">
        <f t="shared" si="140"/>
        <v>0</v>
      </c>
      <c r="J309" s="242">
        <f t="shared" si="140"/>
        <v>0</v>
      </c>
      <c r="K309" s="242">
        <f t="shared" si="140"/>
        <v>0</v>
      </c>
      <c r="L309" s="242">
        <f t="shared" si="140"/>
        <v>0</v>
      </c>
      <c r="M309" s="242">
        <f t="shared" si="140"/>
        <v>0</v>
      </c>
      <c r="N309" s="242">
        <f t="shared" si="140"/>
        <v>0</v>
      </c>
      <c r="O309" s="242">
        <f t="shared" si="140"/>
        <v>0</v>
      </c>
      <c r="P309" s="242">
        <f t="shared" si="140"/>
        <v>0</v>
      </c>
      <c r="Q309" s="242">
        <f t="shared" si="140"/>
        <v>0</v>
      </c>
      <c r="R309" s="242">
        <f t="shared" si="140"/>
        <v>0</v>
      </c>
      <c r="S309" s="242">
        <f t="shared" si="140"/>
        <v>0</v>
      </c>
      <c r="T309" s="242">
        <f t="shared" si="140"/>
        <v>0</v>
      </c>
      <c r="U309" s="242">
        <f t="shared" si="140"/>
        <v>0</v>
      </c>
      <c r="V309" s="242">
        <f t="shared" si="140"/>
        <v>0</v>
      </c>
      <c r="W309" s="242">
        <f t="shared" si="140"/>
        <v>0</v>
      </c>
      <c r="X309" s="242">
        <f t="shared" si="140"/>
        <v>0</v>
      </c>
      <c r="Y309" s="242">
        <f t="shared" si="140"/>
        <v>0</v>
      </c>
      <c r="Z309" s="242">
        <f t="shared" si="140"/>
        <v>0</v>
      </c>
      <c r="AA309" s="242">
        <f t="shared" si="140"/>
        <v>0</v>
      </c>
      <c r="AB309" s="242">
        <f t="shared" si="140"/>
        <v>0</v>
      </c>
      <c r="AC309" s="242">
        <f t="shared" si="140"/>
        <v>0</v>
      </c>
      <c r="AD309" s="242">
        <f t="shared" si="140"/>
        <v>0</v>
      </c>
      <c r="AE309" s="242">
        <f t="shared" si="140"/>
        <v>0</v>
      </c>
      <c r="AF309" s="242">
        <f t="shared" si="140"/>
        <v>0</v>
      </c>
      <c r="AG309" s="242">
        <f t="shared" si="140"/>
        <v>0</v>
      </c>
      <c r="AH309" s="242">
        <f t="shared" si="140"/>
        <v>0</v>
      </c>
      <c r="AI309" s="242">
        <f t="shared" si="140"/>
        <v>0</v>
      </c>
      <c r="AJ309" s="242">
        <f t="shared" si="140"/>
        <v>0</v>
      </c>
      <c r="AK309" s="242">
        <f t="shared" si="140"/>
        <v>0</v>
      </c>
      <c r="AL309" s="242">
        <f t="shared" si="140"/>
        <v>0</v>
      </c>
      <c r="AM309" s="242">
        <f t="shared" si="140"/>
        <v>0</v>
      </c>
      <c r="AN309" s="242">
        <f t="shared" si="140"/>
        <v>0</v>
      </c>
      <c r="AO309" s="242">
        <f t="shared" si="140"/>
        <v>0</v>
      </c>
      <c r="AP309" s="242">
        <f t="shared" si="140"/>
        <v>0</v>
      </c>
    </row>
    <row r="310" spans="1:42" x14ac:dyDescent="0.2">
      <c r="A310" s="17">
        <f t="shared" si="138"/>
        <v>5</v>
      </c>
      <c r="B310" s="240">
        <f t="shared" si="135"/>
        <v>0</v>
      </c>
      <c r="C310" s="242">
        <f t="shared" ref="C310:AP310" si="141">LOOKUP(C298,$B$264:$AP$264,$B$265:$AP$265)/100*$B614</f>
        <v>0</v>
      </c>
      <c r="D310" s="242">
        <f t="shared" si="141"/>
        <v>0</v>
      </c>
      <c r="E310" s="242">
        <f t="shared" si="141"/>
        <v>0</v>
      </c>
      <c r="F310" s="242">
        <f t="shared" si="141"/>
        <v>0</v>
      </c>
      <c r="G310" s="242">
        <f t="shared" si="141"/>
        <v>0</v>
      </c>
      <c r="H310" s="242">
        <f t="shared" si="141"/>
        <v>0</v>
      </c>
      <c r="I310" s="242">
        <f t="shared" si="141"/>
        <v>0</v>
      </c>
      <c r="J310" s="242">
        <f t="shared" si="141"/>
        <v>0</v>
      </c>
      <c r="K310" s="242">
        <f t="shared" si="141"/>
        <v>0</v>
      </c>
      <c r="L310" s="242">
        <f t="shared" si="141"/>
        <v>0</v>
      </c>
      <c r="M310" s="242">
        <f t="shared" si="141"/>
        <v>0</v>
      </c>
      <c r="N310" s="242">
        <f t="shared" si="141"/>
        <v>0</v>
      </c>
      <c r="O310" s="242">
        <f t="shared" si="141"/>
        <v>0</v>
      </c>
      <c r="P310" s="242">
        <f t="shared" si="141"/>
        <v>0</v>
      </c>
      <c r="Q310" s="242">
        <f t="shared" si="141"/>
        <v>0</v>
      </c>
      <c r="R310" s="242">
        <f t="shared" si="141"/>
        <v>0</v>
      </c>
      <c r="S310" s="242">
        <f t="shared" si="141"/>
        <v>0</v>
      </c>
      <c r="T310" s="242">
        <f t="shared" si="141"/>
        <v>0</v>
      </c>
      <c r="U310" s="242">
        <f t="shared" si="141"/>
        <v>0</v>
      </c>
      <c r="V310" s="242">
        <f t="shared" si="141"/>
        <v>0</v>
      </c>
      <c r="W310" s="242">
        <f t="shared" si="141"/>
        <v>0</v>
      </c>
      <c r="X310" s="242">
        <f t="shared" si="141"/>
        <v>0</v>
      </c>
      <c r="Y310" s="242">
        <f t="shared" si="141"/>
        <v>0</v>
      </c>
      <c r="Z310" s="242">
        <f t="shared" si="141"/>
        <v>0</v>
      </c>
      <c r="AA310" s="242">
        <f t="shared" si="141"/>
        <v>0</v>
      </c>
      <c r="AB310" s="242">
        <f t="shared" si="141"/>
        <v>0</v>
      </c>
      <c r="AC310" s="242">
        <f t="shared" si="141"/>
        <v>0</v>
      </c>
      <c r="AD310" s="242">
        <f t="shared" si="141"/>
        <v>0</v>
      </c>
      <c r="AE310" s="242">
        <f t="shared" si="141"/>
        <v>0</v>
      </c>
      <c r="AF310" s="242">
        <f t="shared" si="141"/>
        <v>0</v>
      </c>
      <c r="AG310" s="242">
        <f t="shared" si="141"/>
        <v>0</v>
      </c>
      <c r="AH310" s="242">
        <f t="shared" si="141"/>
        <v>0</v>
      </c>
      <c r="AI310" s="242">
        <f t="shared" si="141"/>
        <v>0</v>
      </c>
      <c r="AJ310" s="242">
        <f t="shared" si="141"/>
        <v>0</v>
      </c>
      <c r="AK310" s="242">
        <f t="shared" si="141"/>
        <v>0</v>
      </c>
      <c r="AL310" s="242">
        <f t="shared" si="141"/>
        <v>0</v>
      </c>
      <c r="AM310" s="242">
        <f t="shared" si="141"/>
        <v>0</v>
      </c>
      <c r="AN310" s="242">
        <f t="shared" si="141"/>
        <v>0</v>
      </c>
      <c r="AO310" s="242">
        <f t="shared" si="141"/>
        <v>0</v>
      </c>
      <c r="AP310" s="242">
        <f t="shared" si="141"/>
        <v>0</v>
      </c>
    </row>
    <row r="311" spans="1:42" x14ac:dyDescent="0.2">
      <c r="A311" s="17">
        <f t="shared" si="138"/>
        <v>6</v>
      </c>
      <c r="B311" s="240">
        <f t="shared" si="135"/>
        <v>0</v>
      </c>
      <c r="C311" s="242">
        <f t="shared" ref="C311:AP311" si="142">LOOKUP(C299,$B$264:$AP$264,$B$265:$AP$265)/100*$B615</f>
        <v>0</v>
      </c>
      <c r="D311" s="242">
        <f t="shared" si="142"/>
        <v>0</v>
      </c>
      <c r="E311" s="242">
        <f t="shared" si="142"/>
        <v>0</v>
      </c>
      <c r="F311" s="242">
        <f t="shared" si="142"/>
        <v>0</v>
      </c>
      <c r="G311" s="242">
        <f t="shared" si="142"/>
        <v>0</v>
      </c>
      <c r="H311" s="242">
        <f t="shared" si="142"/>
        <v>0</v>
      </c>
      <c r="I311" s="242">
        <f t="shared" si="142"/>
        <v>0</v>
      </c>
      <c r="J311" s="242">
        <f t="shared" si="142"/>
        <v>0</v>
      </c>
      <c r="K311" s="242">
        <f t="shared" si="142"/>
        <v>0</v>
      </c>
      <c r="L311" s="242">
        <f t="shared" si="142"/>
        <v>0</v>
      </c>
      <c r="M311" s="242">
        <f t="shared" si="142"/>
        <v>0</v>
      </c>
      <c r="N311" s="242">
        <f t="shared" si="142"/>
        <v>0</v>
      </c>
      <c r="O311" s="242">
        <f t="shared" si="142"/>
        <v>0</v>
      </c>
      <c r="P311" s="242">
        <f t="shared" si="142"/>
        <v>0</v>
      </c>
      <c r="Q311" s="242">
        <f t="shared" si="142"/>
        <v>0</v>
      </c>
      <c r="R311" s="242">
        <f t="shared" si="142"/>
        <v>0</v>
      </c>
      <c r="S311" s="242">
        <f t="shared" si="142"/>
        <v>0</v>
      </c>
      <c r="T311" s="242">
        <f t="shared" si="142"/>
        <v>0</v>
      </c>
      <c r="U311" s="242">
        <f t="shared" si="142"/>
        <v>0</v>
      </c>
      <c r="V311" s="242">
        <f t="shared" si="142"/>
        <v>0</v>
      </c>
      <c r="W311" s="242">
        <f t="shared" si="142"/>
        <v>0</v>
      </c>
      <c r="X311" s="242">
        <f t="shared" si="142"/>
        <v>0</v>
      </c>
      <c r="Y311" s="242">
        <f t="shared" si="142"/>
        <v>0</v>
      </c>
      <c r="Z311" s="242">
        <f t="shared" si="142"/>
        <v>0</v>
      </c>
      <c r="AA311" s="242">
        <f t="shared" si="142"/>
        <v>0</v>
      </c>
      <c r="AB311" s="242">
        <f t="shared" si="142"/>
        <v>0</v>
      </c>
      <c r="AC311" s="242">
        <f t="shared" si="142"/>
        <v>0</v>
      </c>
      <c r="AD311" s="242">
        <f t="shared" si="142"/>
        <v>0</v>
      </c>
      <c r="AE311" s="242">
        <f t="shared" si="142"/>
        <v>0</v>
      </c>
      <c r="AF311" s="242">
        <f t="shared" si="142"/>
        <v>0</v>
      </c>
      <c r="AG311" s="242">
        <f t="shared" si="142"/>
        <v>0</v>
      </c>
      <c r="AH311" s="242">
        <f t="shared" si="142"/>
        <v>0</v>
      </c>
      <c r="AI311" s="242">
        <f t="shared" si="142"/>
        <v>0</v>
      </c>
      <c r="AJ311" s="242">
        <f t="shared" si="142"/>
        <v>0</v>
      </c>
      <c r="AK311" s="242">
        <f t="shared" si="142"/>
        <v>0</v>
      </c>
      <c r="AL311" s="242">
        <f t="shared" si="142"/>
        <v>0</v>
      </c>
      <c r="AM311" s="242">
        <f t="shared" si="142"/>
        <v>0</v>
      </c>
      <c r="AN311" s="242">
        <f t="shared" si="142"/>
        <v>0</v>
      </c>
      <c r="AO311" s="242">
        <f t="shared" si="142"/>
        <v>0</v>
      </c>
      <c r="AP311" s="242">
        <f t="shared" si="142"/>
        <v>0</v>
      </c>
    </row>
    <row r="312" spans="1:42" x14ac:dyDescent="0.2">
      <c r="A312" s="17">
        <f t="shared" si="138"/>
        <v>7</v>
      </c>
      <c r="B312" s="240">
        <f t="shared" si="135"/>
        <v>0</v>
      </c>
      <c r="C312" s="242">
        <f t="shared" ref="C312:AP312" si="143">LOOKUP(C300,$B$264:$AP$264,$B$265:$AP$265)/100*$B616</f>
        <v>0</v>
      </c>
      <c r="D312" s="242">
        <f t="shared" si="143"/>
        <v>0</v>
      </c>
      <c r="E312" s="242">
        <f t="shared" si="143"/>
        <v>0</v>
      </c>
      <c r="F312" s="242">
        <f t="shared" si="143"/>
        <v>0</v>
      </c>
      <c r="G312" s="242">
        <f t="shared" si="143"/>
        <v>0</v>
      </c>
      <c r="H312" s="242">
        <f t="shared" si="143"/>
        <v>0</v>
      </c>
      <c r="I312" s="242">
        <f t="shared" si="143"/>
        <v>0</v>
      </c>
      <c r="J312" s="242">
        <f t="shared" si="143"/>
        <v>0</v>
      </c>
      <c r="K312" s="242">
        <f t="shared" si="143"/>
        <v>0</v>
      </c>
      <c r="L312" s="242">
        <f t="shared" si="143"/>
        <v>0</v>
      </c>
      <c r="M312" s="242">
        <f t="shared" si="143"/>
        <v>0</v>
      </c>
      <c r="N312" s="242">
        <f t="shared" si="143"/>
        <v>0</v>
      </c>
      <c r="O312" s="242">
        <f t="shared" si="143"/>
        <v>0</v>
      </c>
      <c r="P312" s="242">
        <f t="shared" si="143"/>
        <v>0</v>
      </c>
      <c r="Q312" s="242">
        <f t="shared" si="143"/>
        <v>0</v>
      </c>
      <c r="R312" s="242">
        <f t="shared" si="143"/>
        <v>0</v>
      </c>
      <c r="S312" s="242">
        <f t="shared" si="143"/>
        <v>0</v>
      </c>
      <c r="T312" s="242">
        <f t="shared" si="143"/>
        <v>0</v>
      </c>
      <c r="U312" s="242">
        <f t="shared" si="143"/>
        <v>0</v>
      </c>
      <c r="V312" s="242">
        <f t="shared" si="143"/>
        <v>0</v>
      </c>
      <c r="W312" s="242">
        <f t="shared" si="143"/>
        <v>0</v>
      </c>
      <c r="X312" s="242">
        <f t="shared" si="143"/>
        <v>0</v>
      </c>
      <c r="Y312" s="242">
        <f t="shared" si="143"/>
        <v>0</v>
      </c>
      <c r="Z312" s="242">
        <f t="shared" si="143"/>
        <v>0</v>
      </c>
      <c r="AA312" s="242">
        <f t="shared" si="143"/>
        <v>0</v>
      </c>
      <c r="AB312" s="242">
        <f t="shared" si="143"/>
        <v>0</v>
      </c>
      <c r="AC312" s="242">
        <f t="shared" si="143"/>
        <v>0</v>
      </c>
      <c r="AD312" s="242">
        <f t="shared" si="143"/>
        <v>0</v>
      </c>
      <c r="AE312" s="242">
        <f t="shared" si="143"/>
        <v>0</v>
      </c>
      <c r="AF312" s="242">
        <f t="shared" si="143"/>
        <v>0</v>
      </c>
      <c r="AG312" s="242">
        <f t="shared" si="143"/>
        <v>0</v>
      </c>
      <c r="AH312" s="242">
        <f t="shared" si="143"/>
        <v>0</v>
      </c>
      <c r="AI312" s="242">
        <f t="shared" si="143"/>
        <v>0</v>
      </c>
      <c r="AJ312" s="242">
        <f t="shared" si="143"/>
        <v>0</v>
      </c>
      <c r="AK312" s="242">
        <f t="shared" si="143"/>
        <v>0</v>
      </c>
      <c r="AL312" s="242">
        <f t="shared" si="143"/>
        <v>0</v>
      </c>
      <c r="AM312" s="242">
        <f t="shared" si="143"/>
        <v>0</v>
      </c>
      <c r="AN312" s="242">
        <f t="shared" si="143"/>
        <v>0</v>
      </c>
      <c r="AO312" s="242">
        <f t="shared" si="143"/>
        <v>0</v>
      </c>
      <c r="AP312" s="242">
        <f t="shared" si="143"/>
        <v>0</v>
      </c>
    </row>
    <row r="313" spans="1:42" x14ac:dyDescent="0.2">
      <c r="A313" s="17">
        <f t="shared" si="138"/>
        <v>8</v>
      </c>
      <c r="B313" s="240">
        <f t="shared" si="135"/>
        <v>0</v>
      </c>
      <c r="C313" s="242">
        <f t="shared" ref="C313:AP313" si="144">LOOKUP(C301,$B$264:$AP$264,$B$265:$AP$265)/100*$B617</f>
        <v>0</v>
      </c>
      <c r="D313" s="242">
        <f t="shared" si="144"/>
        <v>0</v>
      </c>
      <c r="E313" s="242">
        <f t="shared" si="144"/>
        <v>0</v>
      </c>
      <c r="F313" s="242">
        <f t="shared" si="144"/>
        <v>0</v>
      </c>
      <c r="G313" s="242">
        <f t="shared" si="144"/>
        <v>0</v>
      </c>
      <c r="H313" s="242">
        <f t="shared" si="144"/>
        <v>0</v>
      </c>
      <c r="I313" s="242">
        <f t="shared" si="144"/>
        <v>0</v>
      </c>
      <c r="J313" s="242">
        <f t="shared" si="144"/>
        <v>0</v>
      </c>
      <c r="K313" s="242">
        <f t="shared" si="144"/>
        <v>0</v>
      </c>
      <c r="L313" s="242">
        <f t="shared" si="144"/>
        <v>0</v>
      </c>
      <c r="M313" s="242">
        <f t="shared" si="144"/>
        <v>0</v>
      </c>
      <c r="N313" s="242">
        <f t="shared" si="144"/>
        <v>0</v>
      </c>
      <c r="O313" s="242">
        <f t="shared" si="144"/>
        <v>0</v>
      </c>
      <c r="P313" s="242">
        <f t="shared" si="144"/>
        <v>0</v>
      </c>
      <c r="Q313" s="242">
        <f t="shared" si="144"/>
        <v>0</v>
      </c>
      <c r="R313" s="242">
        <f t="shared" si="144"/>
        <v>0</v>
      </c>
      <c r="S313" s="242">
        <f t="shared" si="144"/>
        <v>0</v>
      </c>
      <c r="T313" s="242">
        <f t="shared" si="144"/>
        <v>0</v>
      </c>
      <c r="U313" s="242">
        <f t="shared" si="144"/>
        <v>0</v>
      </c>
      <c r="V313" s="242">
        <f t="shared" si="144"/>
        <v>0</v>
      </c>
      <c r="W313" s="242">
        <f t="shared" si="144"/>
        <v>0</v>
      </c>
      <c r="X313" s="242">
        <f t="shared" si="144"/>
        <v>0</v>
      </c>
      <c r="Y313" s="242">
        <f t="shared" si="144"/>
        <v>0</v>
      </c>
      <c r="Z313" s="242">
        <f t="shared" si="144"/>
        <v>0</v>
      </c>
      <c r="AA313" s="242">
        <f t="shared" si="144"/>
        <v>0</v>
      </c>
      <c r="AB313" s="242">
        <f t="shared" si="144"/>
        <v>0</v>
      </c>
      <c r="AC313" s="242">
        <f t="shared" si="144"/>
        <v>0</v>
      </c>
      <c r="AD313" s="242">
        <f t="shared" si="144"/>
        <v>0</v>
      </c>
      <c r="AE313" s="242">
        <f t="shared" si="144"/>
        <v>0</v>
      </c>
      <c r="AF313" s="242">
        <f t="shared" si="144"/>
        <v>0</v>
      </c>
      <c r="AG313" s="242">
        <f t="shared" si="144"/>
        <v>0</v>
      </c>
      <c r="AH313" s="242">
        <f t="shared" si="144"/>
        <v>0</v>
      </c>
      <c r="AI313" s="242">
        <f t="shared" si="144"/>
        <v>0</v>
      </c>
      <c r="AJ313" s="242">
        <f t="shared" si="144"/>
        <v>0</v>
      </c>
      <c r="AK313" s="242">
        <f t="shared" si="144"/>
        <v>0</v>
      </c>
      <c r="AL313" s="242">
        <f t="shared" si="144"/>
        <v>0</v>
      </c>
      <c r="AM313" s="242">
        <f t="shared" si="144"/>
        <v>0</v>
      </c>
      <c r="AN313" s="242">
        <f t="shared" si="144"/>
        <v>0</v>
      </c>
      <c r="AO313" s="242">
        <f t="shared" si="144"/>
        <v>0</v>
      </c>
      <c r="AP313" s="242">
        <f t="shared" si="144"/>
        <v>0</v>
      </c>
    </row>
    <row r="314" spans="1:42" x14ac:dyDescent="0.2">
      <c r="A314" s="17">
        <f>A313+1</f>
        <v>9</v>
      </c>
      <c r="B314" s="240">
        <f t="shared" si="135"/>
        <v>0</v>
      </c>
      <c r="C314" s="242">
        <f t="shared" ref="C314:AP314" si="145">LOOKUP(C302,$B$264:$AP$264,$B$265:$AP$265)/100*$B618</f>
        <v>0</v>
      </c>
      <c r="D314" s="242">
        <f t="shared" si="145"/>
        <v>0</v>
      </c>
      <c r="E314" s="242">
        <f t="shared" si="145"/>
        <v>0</v>
      </c>
      <c r="F314" s="242">
        <f t="shared" si="145"/>
        <v>0</v>
      </c>
      <c r="G314" s="242">
        <f t="shared" si="145"/>
        <v>0</v>
      </c>
      <c r="H314" s="242">
        <f t="shared" si="145"/>
        <v>0</v>
      </c>
      <c r="I314" s="242">
        <f t="shared" si="145"/>
        <v>0</v>
      </c>
      <c r="J314" s="242">
        <f t="shared" si="145"/>
        <v>0</v>
      </c>
      <c r="K314" s="242">
        <f t="shared" si="145"/>
        <v>0</v>
      </c>
      <c r="L314" s="242">
        <f t="shared" si="145"/>
        <v>0</v>
      </c>
      <c r="M314" s="242">
        <f t="shared" si="145"/>
        <v>0</v>
      </c>
      <c r="N314" s="242">
        <f t="shared" si="145"/>
        <v>0</v>
      </c>
      <c r="O314" s="242">
        <f t="shared" si="145"/>
        <v>0</v>
      </c>
      <c r="P314" s="242">
        <f t="shared" si="145"/>
        <v>0</v>
      </c>
      <c r="Q314" s="242">
        <f t="shared" si="145"/>
        <v>0</v>
      </c>
      <c r="R314" s="242">
        <f t="shared" si="145"/>
        <v>0</v>
      </c>
      <c r="S314" s="242">
        <f t="shared" si="145"/>
        <v>0</v>
      </c>
      <c r="T314" s="242">
        <f t="shared" si="145"/>
        <v>0</v>
      </c>
      <c r="U314" s="242">
        <f t="shared" si="145"/>
        <v>0</v>
      </c>
      <c r="V314" s="242">
        <f t="shared" si="145"/>
        <v>0</v>
      </c>
      <c r="W314" s="242">
        <f t="shared" si="145"/>
        <v>0</v>
      </c>
      <c r="X314" s="242">
        <f t="shared" si="145"/>
        <v>0</v>
      </c>
      <c r="Y314" s="242">
        <f t="shared" si="145"/>
        <v>0</v>
      </c>
      <c r="Z314" s="242">
        <f t="shared" si="145"/>
        <v>0</v>
      </c>
      <c r="AA314" s="242">
        <f t="shared" si="145"/>
        <v>0</v>
      </c>
      <c r="AB314" s="242">
        <f t="shared" si="145"/>
        <v>0</v>
      </c>
      <c r="AC314" s="242">
        <f t="shared" si="145"/>
        <v>0</v>
      </c>
      <c r="AD314" s="242">
        <f t="shared" si="145"/>
        <v>0</v>
      </c>
      <c r="AE314" s="242">
        <f t="shared" si="145"/>
        <v>0</v>
      </c>
      <c r="AF314" s="242">
        <f t="shared" si="145"/>
        <v>0</v>
      </c>
      <c r="AG314" s="242">
        <f t="shared" si="145"/>
        <v>0</v>
      </c>
      <c r="AH314" s="242">
        <f t="shared" si="145"/>
        <v>0</v>
      </c>
      <c r="AI314" s="242">
        <f t="shared" si="145"/>
        <v>0</v>
      </c>
      <c r="AJ314" s="242">
        <f t="shared" si="145"/>
        <v>0</v>
      </c>
      <c r="AK314" s="242">
        <f t="shared" si="145"/>
        <v>0</v>
      </c>
      <c r="AL314" s="242">
        <f t="shared" si="145"/>
        <v>0</v>
      </c>
      <c r="AM314" s="242">
        <f t="shared" si="145"/>
        <v>0</v>
      </c>
      <c r="AN314" s="242">
        <f t="shared" si="145"/>
        <v>0</v>
      </c>
      <c r="AO314" s="242">
        <f t="shared" si="145"/>
        <v>0</v>
      </c>
      <c r="AP314" s="242">
        <f t="shared" si="145"/>
        <v>0</v>
      </c>
    </row>
    <row r="315" spans="1:42" x14ac:dyDescent="0.2">
      <c r="A315" s="17">
        <f t="shared" si="138"/>
        <v>10</v>
      </c>
      <c r="B315" s="240">
        <f t="shared" si="135"/>
        <v>0</v>
      </c>
      <c r="C315" s="242">
        <f t="shared" ref="C315:AP315" si="146">LOOKUP(C303,$B$264:$AP$264,$B$265:$AP$265)/100*$B619</f>
        <v>0</v>
      </c>
      <c r="D315" s="242">
        <f t="shared" si="146"/>
        <v>0</v>
      </c>
      <c r="E315" s="242">
        <f t="shared" si="146"/>
        <v>0</v>
      </c>
      <c r="F315" s="242">
        <f t="shared" si="146"/>
        <v>0</v>
      </c>
      <c r="G315" s="242">
        <f t="shared" si="146"/>
        <v>0</v>
      </c>
      <c r="H315" s="242">
        <f t="shared" si="146"/>
        <v>0</v>
      </c>
      <c r="I315" s="242">
        <f t="shared" si="146"/>
        <v>0</v>
      </c>
      <c r="J315" s="242">
        <f t="shared" si="146"/>
        <v>0</v>
      </c>
      <c r="K315" s="242">
        <f t="shared" si="146"/>
        <v>0</v>
      </c>
      <c r="L315" s="242">
        <f t="shared" si="146"/>
        <v>0</v>
      </c>
      <c r="M315" s="242">
        <f t="shared" si="146"/>
        <v>0</v>
      </c>
      <c r="N315" s="242">
        <f t="shared" si="146"/>
        <v>0</v>
      </c>
      <c r="O315" s="242">
        <f t="shared" si="146"/>
        <v>0</v>
      </c>
      <c r="P315" s="242">
        <f t="shared" si="146"/>
        <v>0</v>
      </c>
      <c r="Q315" s="242">
        <f t="shared" si="146"/>
        <v>0</v>
      </c>
      <c r="R315" s="242">
        <f t="shared" si="146"/>
        <v>0</v>
      </c>
      <c r="S315" s="242">
        <f t="shared" si="146"/>
        <v>0</v>
      </c>
      <c r="T315" s="242">
        <f t="shared" si="146"/>
        <v>0</v>
      </c>
      <c r="U315" s="242">
        <f t="shared" si="146"/>
        <v>0</v>
      </c>
      <c r="V315" s="242">
        <f t="shared" si="146"/>
        <v>0</v>
      </c>
      <c r="W315" s="242">
        <f t="shared" si="146"/>
        <v>0</v>
      </c>
      <c r="X315" s="242">
        <f t="shared" si="146"/>
        <v>0</v>
      </c>
      <c r="Y315" s="242">
        <f t="shared" si="146"/>
        <v>0</v>
      </c>
      <c r="Z315" s="242">
        <f t="shared" si="146"/>
        <v>0</v>
      </c>
      <c r="AA315" s="242">
        <f t="shared" si="146"/>
        <v>0</v>
      </c>
      <c r="AB315" s="242">
        <f t="shared" si="146"/>
        <v>0</v>
      </c>
      <c r="AC315" s="242">
        <f t="shared" si="146"/>
        <v>0</v>
      </c>
      <c r="AD315" s="242">
        <f t="shared" si="146"/>
        <v>0</v>
      </c>
      <c r="AE315" s="242">
        <f t="shared" si="146"/>
        <v>0</v>
      </c>
      <c r="AF315" s="242">
        <f t="shared" si="146"/>
        <v>0</v>
      </c>
      <c r="AG315" s="242">
        <f t="shared" si="146"/>
        <v>0</v>
      </c>
      <c r="AH315" s="242">
        <f t="shared" si="146"/>
        <v>0</v>
      </c>
      <c r="AI315" s="242">
        <f t="shared" si="146"/>
        <v>0</v>
      </c>
      <c r="AJ315" s="242">
        <f t="shared" si="146"/>
        <v>0</v>
      </c>
      <c r="AK315" s="242">
        <f t="shared" si="146"/>
        <v>0</v>
      </c>
      <c r="AL315" s="242">
        <f t="shared" si="146"/>
        <v>0</v>
      </c>
      <c r="AM315" s="242">
        <f t="shared" si="146"/>
        <v>0</v>
      </c>
      <c r="AN315" s="242">
        <f t="shared" si="146"/>
        <v>0</v>
      </c>
      <c r="AO315" s="242">
        <f t="shared" si="146"/>
        <v>0</v>
      </c>
      <c r="AP315" s="242">
        <f t="shared" si="146"/>
        <v>0</v>
      </c>
    </row>
    <row r="316" spans="1:42" s="17" customFormat="1" ht="12" customHeight="1" x14ac:dyDescent="0.2">
      <c r="A316" s="40" t="s">
        <v>13</v>
      </c>
      <c r="B316" s="128"/>
      <c r="C316" s="221">
        <f>SUM(C306:C315)</f>
        <v>0</v>
      </c>
      <c r="D316" s="221">
        <f t="shared" ref="D316:AP316" si="147">SUM(D306:D315)</f>
        <v>0</v>
      </c>
      <c r="E316" s="221">
        <f t="shared" si="147"/>
        <v>0</v>
      </c>
      <c r="F316" s="221">
        <f t="shared" si="147"/>
        <v>0</v>
      </c>
      <c r="G316" s="221">
        <f t="shared" si="147"/>
        <v>0</v>
      </c>
      <c r="H316" s="221">
        <f t="shared" si="147"/>
        <v>0</v>
      </c>
      <c r="I316" s="221">
        <f t="shared" si="147"/>
        <v>0</v>
      </c>
      <c r="J316" s="221">
        <f t="shared" si="147"/>
        <v>0</v>
      </c>
      <c r="K316" s="221">
        <f t="shared" si="147"/>
        <v>0</v>
      </c>
      <c r="L316" s="221">
        <f t="shared" si="147"/>
        <v>0</v>
      </c>
      <c r="M316" s="221">
        <f t="shared" si="147"/>
        <v>0</v>
      </c>
      <c r="N316" s="221">
        <f t="shared" si="147"/>
        <v>0</v>
      </c>
      <c r="O316" s="221">
        <f t="shared" si="147"/>
        <v>0</v>
      </c>
      <c r="P316" s="221">
        <f t="shared" si="147"/>
        <v>0</v>
      </c>
      <c r="Q316" s="221">
        <f t="shared" si="147"/>
        <v>0</v>
      </c>
      <c r="R316" s="221">
        <f t="shared" si="147"/>
        <v>0</v>
      </c>
      <c r="S316" s="221">
        <f t="shared" si="147"/>
        <v>0</v>
      </c>
      <c r="T316" s="221">
        <f t="shared" si="147"/>
        <v>0</v>
      </c>
      <c r="U316" s="221">
        <f t="shared" si="147"/>
        <v>0</v>
      </c>
      <c r="V316" s="221">
        <f t="shared" si="147"/>
        <v>0</v>
      </c>
      <c r="W316" s="221">
        <f t="shared" si="147"/>
        <v>0</v>
      </c>
      <c r="X316" s="221">
        <f t="shared" si="147"/>
        <v>0</v>
      </c>
      <c r="Y316" s="221">
        <f t="shared" si="147"/>
        <v>0</v>
      </c>
      <c r="Z316" s="221">
        <f t="shared" si="147"/>
        <v>0</v>
      </c>
      <c r="AA316" s="221">
        <f t="shared" si="147"/>
        <v>0</v>
      </c>
      <c r="AB316" s="221">
        <f t="shared" si="147"/>
        <v>0</v>
      </c>
      <c r="AC316" s="221">
        <f t="shared" si="147"/>
        <v>0</v>
      </c>
      <c r="AD316" s="221">
        <f t="shared" si="147"/>
        <v>0</v>
      </c>
      <c r="AE316" s="221">
        <f t="shared" si="147"/>
        <v>0</v>
      </c>
      <c r="AF316" s="221">
        <f t="shared" si="147"/>
        <v>0</v>
      </c>
      <c r="AG316" s="221">
        <f t="shared" si="147"/>
        <v>0</v>
      </c>
      <c r="AH316" s="221">
        <f t="shared" si="147"/>
        <v>0</v>
      </c>
      <c r="AI316" s="221">
        <f t="shared" si="147"/>
        <v>0</v>
      </c>
      <c r="AJ316" s="221">
        <f t="shared" si="147"/>
        <v>0</v>
      </c>
      <c r="AK316" s="221">
        <f t="shared" si="147"/>
        <v>0</v>
      </c>
      <c r="AL316" s="221">
        <f t="shared" si="147"/>
        <v>0</v>
      </c>
      <c r="AM316" s="221">
        <f t="shared" si="147"/>
        <v>0</v>
      </c>
      <c r="AN316" s="221">
        <f t="shared" si="147"/>
        <v>0</v>
      </c>
      <c r="AO316" s="221">
        <f t="shared" si="147"/>
        <v>0</v>
      </c>
      <c r="AP316" s="221">
        <f t="shared" si="147"/>
        <v>0</v>
      </c>
    </row>
    <row r="317" spans="1:42" x14ac:dyDescent="0.2">
      <c r="A317" s="33"/>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row>
    <row r="318" spans="1:42" x14ac:dyDescent="0.2">
      <c r="A318" s="31" t="s">
        <v>117</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row>
    <row r="319" spans="1:42" x14ac:dyDescent="0.2">
      <c r="A319" s="33" t="s">
        <v>91</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row>
    <row r="320" spans="1:42" x14ac:dyDescent="0.2">
      <c r="A320" s="17">
        <v>1</v>
      </c>
      <c r="B320" s="4">
        <v>0</v>
      </c>
      <c r="C320" s="220">
        <f>IF(C$2&lt;=analysis_period,IF(SUM($C642:C642)&gt;0,B320+1,0),0)</f>
        <v>0</v>
      </c>
      <c r="D320" s="220">
        <f>IF(D$2&lt;=analysis_period,IF(SUM($C642:D642)&gt;0,C320+1,0),0)</f>
        <v>0</v>
      </c>
      <c r="E320" s="220">
        <f>IF(E$2&lt;=analysis_period,IF(SUM($C642:E642)&gt;0,D320+1,0),0)</f>
        <v>0</v>
      </c>
      <c r="F320" s="220">
        <f>IF(F$2&lt;=analysis_period,IF(SUM($C642:F642)&gt;0,E320+1,0),0)</f>
        <v>0</v>
      </c>
      <c r="G320" s="220">
        <f>IF(G$2&lt;=analysis_period,IF(SUM($C642:G642)&gt;0,F320+1,0),0)</f>
        <v>0</v>
      </c>
      <c r="H320" s="220">
        <f>IF(H$2&lt;=analysis_period,IF(SUM($C642:H642)&gt;0,G320+1,0),0)</f>
        <v>0</v>
      </c>
      <c r="I320" s="220">
        <f>IF(I$2&lt;=analysis_period,IF(SUM($C642:I642)&gt;0,H320+1,0),0)</f>
        <v>0</v>
      </c>
      <c r="J320" s="220">
        <f>IF(J$2&lt;=analysis_period,IF(SUM($C642:J642)&gt;0,I320+1,0),0)</f>
        <v>0</v>
      </c>
      <c r="K320" s="220">
        <f>IF(K$2&lt;=analysis_period,IF(SUM($C642:K642)&gt;0,J320+1,0),0)</f>
        <v>0</v>
      </c>
      <c r="L320" s="220">
        <f>IF(L$2&lt;=analysis_period,IF(SUM($C642:L642)&gt;0,K320+1,0),0)</f>
        <v>0</v>
      </c>
      <c r="M320" s="220">
        <f>IF(M$2&lt;=analysis_period,IF(SUM($C642:M642)&gt;0,L320+1,0),0)</f>
        <v>0</v>
      </c>
      <c r="N320" s="220">
        <f>IF(N$2&lt;=analysis_period,IF(SUM($C642:N642)&gt;0,M320+1,0),0)</f>
        <v>0</v>
      </c>
      <c r="O320" s="220">
        <f>IF(O$2&lt;=analysis_period,IF(SUM($C642:O642)&gt;0,N320+1,0),0)</f>
        <v>0</v>
      </c>
      <c r="P320" s="220">
        <f>IF(P$2&lt;=analysis_period,IF(SUM($C642:P642)&gt;0,O320+1,0),0)</f>
        <v>0</v>
      </c>
      <c r="Q320" s="220">
        <f>IF(Q$2&lt;=analysis_period,IF(SUM($C642:Q642)&gt;0,P320+1,0),0)</f>
        <v>0</v>
      </c>
      <c r="R320" s="220">
        <f>IF(R$2&lt;=analysis_period,IF(SUM($C642:R642)&gt;0,Q320+1,0),0)</f>
        <v>0</v>
      </c>
      <c r="S320" s="220">
        <f>IF(S$2&lt;=analysis_period,IF(SUM($C642:S642)&gt;0,R320+1,0),0)</f>
        <v>0</v>
      </c>
      <c r="T320" s="220">
        <f>IF(T$2&lt;=analysis_period,IF(SUM($C642:T642)&gt;0,S320+1,0),0)</f>
        <v>0</v>
      </c>
      <c r="U320" s="220">
        <f>IF(U$2&lt;=analysis_period,IF(SUM($C642:U642)&gt;0,T320+1,0),0)</f>
        <v>0</v>
      </c>
      <c r="V320" s="220">
        <f>IF(V$2&lt;=analysis_period,IF(SUM($C642:V642)&gt;0,U320+1,0),0)</f>
        <v>0</v>
      </c>
      <c r="W320" s="220">
        <f>IF(W$2&lt;=analysis_period,IF(SUM($C642:W642)&gt;0,V320+1,0),0)</f>
        <v>0</v>
      </c>
      <c r="X320" s="220">
        <f>IF(X$2&lt;=analysis_period,IF(SUM($C642:X642)&gt;0,W320+1,0),0)</f>
        <v>0</v>
      </c>
      <c r="Y320" s="220">
        <f>IF(Y$2&lt;=analysis_period,IF(SUM($C642:Y642)&gt;0,X320+1,0),0)</f>
        <v>0</v>
      </c>
      <c r="Z320" s="220">
        <f>IF(Z$2&lt;=analysis_period,IF(SUM($C642:Z642)&gt;0,Y320+1,0),0)</f>
        <v>0</v>
      </c>
      <c r="AA320" s="220">
        <f>IF(AA$2&lt;=analysis_period,IF(SUM($C642:AA642)&gt;0,Z320+1,0),0)</f>
        <v>0</v>
      </c>
      <c r="AB320" s="220">
        <f>IF(AB$2&lt;=analysis_period,IF(SUM($C642:AB642)&gt;0,AA320+1,0),0)</f>
        <v>0</v>
      </c>
      <c r="AC320" s="220">
        <f>IF(AC$2&lt;=analysis_period,IF(SUM($C642:AC642)&gt;0,AB320+1,0),0)</f>
        <v>0</v>
      </c>
      <c r="AD320" s="220">
        <f>IF(AD$2&lt;=analysis_period,IF(SUM($C642:AD642)&gt;0,AC320+1,0),0)</f>
        <v>0</v>
      </c>
      <c r="AE320" s="220">
        <f>IF(AE$2&lt;=analysis_period,IF(SUM($C642:AE642)&gt;0,AD320+1,0),0)</f>
        <v>0</v>
      </c>
      <c r="AF320" s="220">
        <f>IF(AF$2&lt;=analysis_period,IF(SUM($C642:AF642)&gt;0,AE320+1,0),0)</f>
        <v>0</v>
      </c>
      <c r="AG320" s="220">
        <f>IF(AG$2&lt;=analysis_period,IF(SUM($C642:AG642)&gt;0,AF320+1,0),0)</f>
        <v>0</v>
      </c>
      <c r="AH320" s="220">
        <f>IF(AH$2&lt;=analysis_period,IF(SUM($C642:AH642)&gt;0,AG320+1,0),0)</f>
        <v>0</v>
      </c>
      <c r="AI320" s="220">
        <f>IF(AI$2&lt;=analysis_period,IF(SUM($C642:AI642)&gt;0,AH320+1,0),0)</f>
        <v>0</v>
      </c>
      <c r="AJ320" s="220">
        <f>IF(AJ$2&lt;=analysis_period,IF(SUM($C642:AJ642)&gt;0,AI320+1,0),0)</f>
        <v>0</v>
      </c>
      <c r="AK320" s="220">
        <f>IF(AK$2&lt;=analysis_period,IF(SUM($C642:AK642)&gt;0,AJ320+1,0),0)</f>
        <v>0</v>
      </c>
      <c r="AL320" s="220">
        <f>IF(AL$2&lt;=analysis_period,IF(SUM($C642:AL642)&gt;0,AK320+1,0),0)</f>
        <v>0</v>
      </c>
      <c r="AM320" s="220">
        <f>IF(AM$2&lt;=analysis_period,IF(SUM($C642:AM642)&gt;0,AL320+1,0),0)</f>
        <v>0</v>
      </c>
      <c r="AN320" s="220">
        <f>IF(AN$2&lt;=analysis_period,IF(SUM($C642:AN642)&gt;0,AM320+1,0),0)</f>
        <v>0</v>
      </c>
      <c r="AO320" s="220">
        <f>IF(AO$2&lt;=analysis_period,IF(SUM($C642:AO642)&gt;0,AN320+1,0),0)</f>
        <v>0</v>
      </c>
      <c r="AP320" s="220">
        <f>IF(AP$2&lt;=analysis_period,IF(SUM($C642:AP642)&gt;0,AO320+1,0),0)</f>
        <v>0</v>
      </c>
    </row>
    <row r="321" spans="1:42" x14ac:dyDescent="0.2">
      <c r="A321" s="17">
        <f>A320+1</f>
        <v>2</v>
      </c>
      <c r="B321" s="4">
        <v>0</v>
      </c>
      <c r="C321" s="220">
        <f>IF(C$2&lt;=analysis_period,IF(SUM($C643:C643)&gt;0,B321+1,0),0)</f>
        <v>0</v>
      </c>
      <c r="D321" s="220">
        <f>IF(D$2&lt;=analysis_period,IF(SUM($C643:D643)&gt;0,C321+1,0),0)</f>
        <v>0</v>
      </c>
      <c r="E321" s="220">
        <f>IF(E$2&lt;=analysis_period,IF(SUM($C643:E643)&gt;0,D321+1,0),0)</f>
        <v>0</v>
      </c>
      <c r="F321" s="220">
        <f>IF(F$2&lt;=analysis_period,IF(SUM($C643:F643)&gt;0,E321+1,0),0)</f>
        <v>0</v>
      </c>
      <c r="G321" s="220">
        <f>IF(G$2&lt;=analysis_period,IF(SUM($C643:G643)&gt;0,F321+1,0),0)</f>
        <v>0</v>
      </c>
      <c r="H321" s="220">
        <f>IF(H$2&lt;=analysis_period,IF(SUM($C643:H643)&gt;0,G321+1,0),0)</f>
        <v>0</v>
      </c>
      <c r="I321" s="220">
        <f>IF(I$2&lt;=analysis_period,IF(SUM($C643:I643)&gt;0,H321+1,0),0)</f>
        <v>0</v>
      </c>
      <c r="J321" s="220">
        <f>IF(J$2&lt;=analysis_period,IF(SUM($C643:J643)&gt;0,I321+1,0),0)</f>
        <v>0</v>
      </c>
      <c r="K321" s="220">
        <f>IF(K$2&lt;=analysis_period,IF(SUM($C643:K643)&gt;0,J321+1,0),0)</f>
        <v>0</v>
      </c>
      <c r="L321" s="220">
        <f>IF(L$2&lt;=analysis_period,IF(SUM($C643:L643)&gt;0,K321+1,0),0)</f>
        <v>0</v>
      </c>
      <c r="M321" s="220">
        <f>IF(M$2&lt;=analysis_period,IF(SUM($C643:M643)&gt;0,L321+1,0),0)</f>
        <v>0</v>
      </c>
      <c r="N321" s="220">
        <f>IF(N$2&lt;=analysis_period,IF(SUM($C643:N643)&gt;0,M321+1,0),0)</f>
        <v>0</v>
      </c>
      <c r="O321" s="220">
        <f>IF(O$2&lt;=analysis_period,IF(SUM($C643:O643)&gt;0,N321+1,0),0)</f>
        <v>0</v>
      </c>
      <c r="P321" s="220">
        <f>IF(P$2&lt;=analysis_period,IF(SUM($C643:P643)&gt;0,O321+1,0),0)</f>
        <v>0</v>
      </c>
      <c r="Q321" s="220">
        <f>IF(Q$2&lt;=analysis_period,IF(SUM($C643:Q643)&gt;0,P321+1,0),0)</f>
        <v>0</v>
      </c>
      <c r="R321" s="220">
        <f>IF(R$2&lt;=analysis_period,IF(SUM($C643:R643)&gt;0,Q321+1,0),0)</f>
        <v>0</v>
      </c>
      <c r="S321" s="220">
        <f>IF(S$2&lt;=analysis_period,IF(SUM($C643:S643)&gt;0,R321+1,0),0)</f>
        <v>0</v>
      </c>
      <c r="T321" s="220">
        <f>IF(T$2&lt;=analysis_period,IF(SUM($C643:T643)&gt;0,S321+1,0),0)</f>
        <v>0</v>
      </c>
      <c r="U321" s="220">
        <f>IF(U$2&lt;=analysis_period,IF(SUM($C643:U643)&gt;0,T321+1,0),0)</f>
        <v>0</v>
      </c>
      <c r="V321" s="220">
        <f>IF(V$2&lt;=analysis_period,IF(SUM($C643:V643)&gt;0,U321+1,0),0)</f>
        <v>0</v>
      </c>
      <c r="W321" s="220">
        <f>IF(W$2&lt;=analysis_period,IF(SUM($C643:W643)&gt;0,V321+1,0),0)</f>
        <v>0</v>
      </c>
      <c r="X321" s="220">
        <f>IF(X$2&lt;=analysis_period,IF(SUM($C643:X643)&gt;0,W321+1,0),0)</f>
        <v>0</v>
      </c>
      <c r="Y321" s="220">
        <f>IF(Y$2&lt;=analysis_period,IF(SUM($C643:Y643)&gt;0,X321+1,0),0)</f>
        <v>0</v>
      </c>
      <c r="Z321" s="220">
        <f>IF(Z$2&lt;=analysis_period,IF(SUM($C643:Z643)&gt;0,Y321+1,0),0)</f>
        <v>0</v>
      </c>
      <c r="AA321" s="220">
        <f>IF(AA$2&lt;=analysis_period,IF(SUM($C643:AA643)&gt;0,Z321+1,0),0)</f>
        <v>0</v>
      </c>
      <c r="AB321" s="220">
        <f>IF(AB$2&lt;=analysis_period,IF(SUM($C643:AB643)&gt;0,AA321+1,0),0)</f>
        <v>0</v>
      </c>
      <c r="AC321" s="220">
        <f>IF(AC$2&lt;=analysis_period,IF(SUM($C643:AC643)&gt;0,AB321+1,0),0)</f>
        <v>0</v>
      </c>
      <c r="AD321" s="220">
        <f>IF(AD$2&lt;=analysis_period,IF(SUM($C643:AD643)&gt;0,AC321+1,0),0)</f>
        <v>0</v>
      </c>
      <c r="AE321" s="220">
        <f>IF(AE$2&lt;=analysis_period,IF(SUM($C643:AE643)&gt;0,AD321+1,0),0)</f>
        <v>0</v>
      </c>
      <c r="AF321" s="220">
        <f>IF(AF$2&lt;=analysis_period,IF(SUM($C643:AF643)&gt;0,AE321+1,0),0)</f>
        <v>0</v>
      </c>
      <c r="AG321" s="220">
        <f>IF(AG$2&lt;=analysis_period,IF(SUM($C643:AG643)&gt;0,AF321+1,0),0)</f>
        <v>0</v>
      </c>
      <c r="AH321" s="220">
        <f>IF(AH$2&lt;=analysis_period,IF(SUM($C643:AH643)&gt;0,AG321+1,0),0)</f>
        <v>0</v>
      </c>
      <c r="AI321" s="220">
        <f>IF(AI$2&lt;=analysis_period,IF(SUM($C643:AI643)&gt;0,AH321+1,0),0)</f>
        <v>0</v>
      </c>
      <c r="AJ321" s="220">
        <f>IF(AJ$2&lt;=analysis_period,IF(SUM($C643:AJ643)&gt;0,AI321+1,0),0)</f>
        <v>0</v>
      </c>
      <c r="AK321" s="220">
        <f>IF(AK$2&lt;=analysis_period,IF(SUM($C643:AK643)&gt;0,AJ321+1,0),0)</f>
        <v>0</v>
      </c>
      <c r="AL321" s="220">
        <f>IF(AL$2&lt;=analysis_period,IF(SUM($C643:AL643)&gt;0,AK321+1,0),0)</f>
        <v>0</v>
      </c>
      <c r="AM321" s="220">
        <f>IF(AM$2&lt;=analysis_period,IF(SUM($C643:AM643)&gt;0,AL321+1,0),0)</f>
        <v>0</v>
      </c>
      <c r="AN321" s="220">
        <f>IF(AN$2&lt;=analysis_period,IF(SUM($C643:AN643)&gt;0,AM321+1,0),0)</f>
        <v>0</v>
      </c>
      <c r="AO321" s="220">
        <f>IF(AO$2&lt;=analysis_period,IF(SUM($C643:AO643)&gt;0,AN321+1,0),0)</f>
        <v>0</v>
      </c>
      <c r="AP321" s="220">
        <f>IF(AP$2&lt;=analysis_period,IF(SUM($C643:AP643)&gt;0,AO321+1,0),0)</f>
        <v>0</v>
      </c>
    </row>
    <row r="322" spans="1:42" x14ac:dyDescent="0.2">
      <c r="A322" s="17">
        <f t="shared" ref="A322:A329" si="148">A321+1</f>
        <v>3</v>
      </c>
      <c r="B322" s="4">
        <v>0</v>
      </c>
      <c r="C322" s="220">
        <f>IF(C$2&lt;=analysis_period,IF(SUM($C644:C644)&gt;0,B322+1,0),0)</f>
        <v>0</v>
      </c>
      <c r="D322" s="220">
        <f>IF(D$2&lt;=analysis_period,IF(SUM($C644:D644)&gt;0,C322+1,0),0)</f>
        <v>0</v>
      </c>
      <c r="E322" s="220">
        <f>IF(E$2&lt;=analysis_period,IF(SUM($C644:E644)&gt;0,D322+1,0),0)</f>
        <v>0</v>
      </c>
      <c r="F322" s="220">
        <f>IF(F$2&lt;=analysis_period,IF(SUM($C644:F644)&gt;0,E322+1,0),0)</f>
        <v>0</v>
      </c>
      <c r="G322" s="220">
        <f>IF(G$2&lt;=analysis_period,IF(SUM($C644:G644)&gt;0,F322+1,0),0)</f>
        <v>0</v>
      </c>
      <c r="H322" s="220">
        <f>IF(H$2&lt;=analysis_period,IF(SUM($C644:H644)&gt;0,G322+1,0),0)</f>
        <v>0</v>
      </c>
      <c r="I322" s="220">
        <f>IF(I$2&lt;=analysis_period,IF(SUM($C644:I644)&gt;0,H322+1,0),0)</f>
        <v>0</v>
      </c>
      <c r="J322" s="220">
        <f>IF(J$2&lt;=analysis_period,IF(SUM($C644:J644)&gt;0,I322+1,0),0)</f>
        <v>0</v>
      </c>
      <c r="K322" s="220">
        <f>IF(K$2&lt;=analysis_period,IF(SUM($C644:K644)&gt;0,J322+1,0),0)</f>
        <v>0</v>
      </c>
      <c r="L322" s="220">
        <f>IF(L$2&lt;=analysis_period,IF(SUM($C644:L644)&gt;0,K322+1,0),0)</f>
        <v>0</v>
      </c>
      <c r="M322" s="220">
        <f>IF(M$2&lt;=analysis_period,IF(SUM($C644:M644)&gt;0,L322+1,0),0)</f>
        <v>0</v>
      </c>
      <c r="N322" s="220">
        <f>IF(N$2&lt;=analysis_period,IF(SUM($C644:N644)&gt;0,M322+1,0),0)</f>
        <v>0</v>
      </c>
      <c r="O322" s="220">
        <f>IF(O$2&lt;=analysis_period,IF(SUM($C644:O644)&gt;0,N322+1,0),0)</f>
        <v>0</v>
      </c>
      <c r="P322" s="220">
        <f>IF(P$2&lt;=analysis_period,IF(SUM($C644:P644)&gt;0,O322+1,0),0)</f>
        <v>0</v>
      </c>
      <c r="Q322" s="220">
        <f>IF(Q$2&lt;=analysis_period,IF(SUM($C644:Q644)&gt;0,P322+1,0),0)</f>
        <v>0</v>
      </c>
      <c r="R322" s="220">
        <f>IF(R$2&lt;=analysis_period,IF(SUM($C644:R644)&gt;0,Q322+1,0),0)</f>
        <v>0</v>
      </c>
      <c r="S322" s="220">
        <f>IF(S$2&lt;=analysis_period,IF(SUM($C644:S644)&gt;0,R322+1,0),0)</f>
        <v>0</v>
      </c>
      <c r="T322" s="220">
        <f>IF(T$2&lt;=analysis_period,IF(SUM($C644:T644)&gt;0,S322+1,0),0)</f>
        <v>0</v>
      </c>
      <c r="U322" s="220">
        <f>IF(U$2&lt;=analysis_period,IF(SUM($C644:U644)&gt;0,T322+1,0),0)</f>
        <v>0</v>
      </c>
      <c r="V322" s="220">
        <f>IF(V$2&lt;=analysis_period,IF(SUM($C644:V644)&gt;0,U322+1,0),0)</f>
        <v>0</v>
      </c>
      <c r="W322" s="220">
        <f>IF(W$2&lt;=analysis_period,IF(SUM($C644:W644)&gt;0,V322+1,0),0)</f>
        <v>0</v>
      </c>
      <c r="X322" s="220">
        <f>IF(X$2&lt;=analysis_period,IF(SUM($C644:X644)&gt;0,W322+1,0),0)</f>
        <v>0</v>
      </c>
      <c r="Y322" s="220">
        <f>IF(Y$2&lt;=analysis_period,IF(SUM($C644:Y644)&gt;0,X322+1,0),0)</f>
        <v>0</v>
      </c>
      <c r="Z322" s="220">
        <f>IF(Z$2&lt;=analysis_period,IF(SUM($C644:Z644)&gt;0,Y322+1,0),0)</f>
        <v>0</v>
      </c>
      <c r="AA322" s="220">
        <f>IF(AA$2&lt;=analysis_period,IF(SUM($C644:AA644)&gt;0,Z322+1,0),0)</f>
        <v>0</v>
      </c>
      <c r="AB322" s="220">
        <f>IF(AB$2&lt;=analysis_period,IF(SUM($C644:AB644)&gt;0,AA322+1,0),0)</f>
        <v>0</v>
      </c>
      <c r="AC322" s="220">
        <f>IF(AC$2&lt;=analysis_period,IF(SUM($C644:AC644)&gt;0,AB322+1,0),0)</f>
        <v>0</v>
      </c>
      <c r="AD322" s="220">
        <f>IF(AD$2&lt;=analysis_period,IF(SUM($C644:AD644)&gt;0,AC322+1,0),0)</f>
        <v>0</v>
      </c>
      <c r="AE322" s="220">
        <f>IF(AE$2&lt;=analysis_period,IF(SUM($C644:AE644)&gt;0,AD322+1,0),0)</f>
        <v>0</v>
      </c>
      <c r="AF322" s="220">
        <f>IF(AF$2&lt;=analysis_period,IF(SUM($C644:AF644)&gt;0,AE322+1,0),0)</f>
        <v>0</v>
      </c>
      <c r="AG322" s="220">
        <f>IF(AG$2&lt;=analysis_period,IF(SUM($C644:AG644)&gt;0,AF322+1,0),0)</f>
        <v>0</v>
      </c>
      <c r="AH322" s="220">
        <f>IF(AH$2&lt;=analysis_period,IF(SUM($C644:AH644)&gt;0,AG322+1,0),0)</f>
        <v>0</v>
      </c>
      <c r="AI322" s="220">
        <f>IF(AI$2&lt;=analysis_period,IF(SUM($C644:AI644)&gt;0,AH322+1,0),0)</f>
        <v>0</v>
      </c>
      <c r="AJ322" s="220">
        <f>IF(AJ$2&lt;=analysis_period,IF(SUM($C644:AJ644)&gt;0,AI322+1,0),0)</f>
        <v>0</v>
      </c>
      <c r="AK322" s="220">
        <f>IF(AK$2&lt;=analysis_period,IF(SUM($C644:AK644)&gt;0,AJ322+1,0),0)</f>
        <v>0</v>
      </c>
      <c r="AL322" s="220">
        <f>IF(AL$2&lt;=analysis_period,IF(SUM($C644:AL644)&gt;0,AK322+1,0),0)</f>
        <v>0</v>
      </c>
      <c r="AM322" s="220">
        <f>IF(AM$2&lt;=analysis_period,IF(SUM($C644:AM644)&gt;0,AL322+1,0),0)</f>
        <v>0</v>
      </c>
      <c r="AN322" s="220">
        <f>IF(AN$2&lt;=analysis_period,IF(SUM($C644:AN644)&gt;0,AM322+1,0),0)</f>
        <v>0</v>
      </c>
      <c r="AO322" s="220">
        <f>IF(AO$2&lt;=analysis_period,IF(SUM($C644:AO644)&gt;0,AN322+1,0),0)</f>
        <v>0</v>
      </c>
      <c r="AP322" s="220">
        <f>IF(AP$2&lt;=analysis_period,IF(SUM($C644:AP644)&gt;0,AO322+1,0),0)</f>
        <v>0</v>
      </c>
    </row>
    <row r="323" spans="1:42" x14ac:dyDescent="0.2">
      <c r="A323" s="17">
        <f t="shared" si="148"/>
        <v>4</v>
      </c>
      <c r="B323" s="4">
        <v>0</v>
      </c>
      <c r="C323" s="220">
        <f>IF(C$2&lt;=analysis_period,IF(SUM($C645:C645)&gt;0,B323+1,0),0)</f>
        <v>0</v>
      </c>
      <c r="D323" s="220">
        <f>IF(D$2&lt;=analysis_period,IF(SUM($C645:D645)&gt;0,C323+1,0),0)</f>
        <v>0</v>
      </c>
      <c r="E323" s="220">
        <f>IF(E$2&lt;=analysis_period,IF(SUM($C645:E645)&gt;0,D323+1,0),0)</f>
        <v>0</v>
      </c>
      <c r="F323" s="220">
        <f>IF(F$2&lt;=analysis_period,IF(SUM($C645:F645)&gt;0,E323+1,0),0)</f>
        <v>0</v>
      </c>
      <c r="G323" s="220">
        <f>IF(G$2&lt;=analysis_period,IF(SUM($C645:G645)&gt;0,F323+1,0),0)</f>
        <v>0</v>
      </c>
      <c r="H323" s="220">
        <f>IF(H$2&lt;=analysis_period,IF(SUM($C645:H645)&gt;0,G323+1,0),0)</f>
        <v>0</v>
      </c>
      <c r="I323" s="220">
        <f>IF(I$2&lt;=analysis_period,IF(SUM($C645:I645)&gt;0,H323+1,0),0)</f>
        <v>0</v>
      </c>
      <c r="J323" s="220">
        <f>IF(J$2&lt;=analysis_period,IF(SUM($C645:J645)&gt;0,I323+1,0),0)</f>
        <v>0</v>
      </c>
      <c r="K323" s="220">
        <f>IF(K$2&lt;=analysis_period,IF(SUM($C645:K645)&gt;0,J323+1,0),0)</f>
        <v>0</v>
      </c>
      <c r="L323" s="220">
        <f>IF(L$2&lt;=analysis_period,IF(SUM($C645:L645)&gt;0,K323+1,0),0)</f>
        <v>0</v>
      </c>
      <c r="M323" s="220">
        <f>IF(M$2&lt;=analysis_period,IF(SUM($C645:M645)&gt;0,L323+1,0),0)</f>
        <v>0</v>
      </c>
      <c r="N323" s="220">
        <f>IF(N$2&lt;=analysis_period,IF(SUM($C645:N645)&gt;0,M323+1,0),0)</f>
        <v>0</v>
      </c>
      <c r="O323" s="220">
        <f>IF(O$2&lt;=analysis_period,IF(SUM($C645:O645)&gt;0,N323+1,0),0)</f>
        <v>0</v>
      </c>
      <c r="P323" s="220">
        <f>IF(P$2&lt;=analysis_period,IF(SUM($C645:P645)&gt;0,O323+1,0),0)</f>
        <v>0</v>
      </c>
      <c r="Q323" s="220">
        <f>IF(Q$2&lt;=analysis_period,IF(SUM($C645:Q645)&gt;0,P323+1,0),0)</f>
        <v>0</v>
      </c>
      <c r="R323" s="220">
        <f>IF(R$2&lt;=analysis_period,IF(SUM($C645:R645)&gt;0,Q323+1,0),0)</f>
        <v>0</v>
      </c>
      <c r="S323" s="220">
        <f>IF(S$2&lt;=analysis_period,IF(SUM($C645:S645)&gt;0,R323+1,0),0)</f>
        <v>0</v>
      </c>
      <c r="T323" s="220">
        <f>IF(T$2&lt;=analysis_period,IF(SUM($C645:T645)&gt;0,S323+1,0),0)</f>
        <v>0</v>
      </c>
      <c r="U323" s="220">
        <f>IF(U$2&lt;=analysis_period,IF(SUM($C645:U645)&gt;0,T323+1,0),0)</f>
        <v>0</v>
      </c>
      <c r="V323" s="220">
        <f>IF(V$2&lt;=analysis_period,IF(SUM($C645:V645)&gt;0,U323+1,0),0)</f>
        <v>0</v>
      </c>
      <c r="W323" s="220">
        <f>IF(W$2&lt;=analysis_period,IF(SUM($C645:W645)&gt;0,V323+1,0),0)</f>
        <v>0</v>
      </c>
      <c r="X323" s="220">
        <f>IF(X$2&lt;=analysis_period,IF(SUM($C645:X645)&gt;0,W323+1,0),0)</f>
        <v>0</v>
      </c>
      <c r="Y323" s="220">
        <f>IF(Y$2&lt;=analysis_period,IF(SUM($C645:Y645)&gt;0,X323+1,0),0)</f>
        <v>0</v>
      </c>
      <c r="Z323" s="220">
        <f>IF(Z$2&lt;=analysis_period,IF(SUM($C645:Z645)&gt;0,Y323+1,0),0)</f>
        <v>0</v>
      </c>
      <c r="AA323" s="220">
        <f>IF(AA$2&lt;=analysis_period,IF(SUM($C645:AA645)&gt;0,Z323+1,0),0)</f>
        <v>0</v>
      </c>
      <c r="AB323" s="220">
        <f>IF(AB$2&lt;=analysis_period,IF(SUM($C645:AB645)&gt;0,AA323+1,0),0)</f>
        <v>0</v>
      </c>
      <c r="AC323" s="220">
        <f>IF(AC$2&lt;=analysis_period,IF(SUM($C645:AC645)&gt;0,AB323+1,0),0)</f>
        <v>0</v>
      </c>
      <c r="AD323" s="220">
        <f>IF(AD$2&lt;=analysis_period,IF(SUM($C645:AD645)&gt;0,AC323+1,0),0)</f>
        <v>0</v>
      </c>
      <c r="AE323" s="220">
        <f>IF(AE$2&lt;=analysis_period,IF(SUM($C645:AE645)&gt;0,AD323+1,0),0)</f>
        <v>0</v>
      </c>
      <c r="AF323" s="220">
        <f>IF(AF$2&lt;=analysis_period,IF(SUM($C645:AF645)&gt;0,AE323+1,0),0)</f>
        <v>0</v>
      </c>
      <c r="AG323" s="220">
        <f>IF(AG$2&lt;=analysis_period,IF(SUM($C645:AG645)&gt;0,AF323+1,0),0)</f>
        <v>0</v>
      </c>
      <c r="AH323" s="220">
        <f>IF(AH$2&lt;=analysis_period,IF(SUM($C645:AH645)&gt;0,AG323+1,0),0)</f>
        <v>0</v>
      </c>
      <c r="AI323" s="220">
        <f>IF(AI$2&lt;=analysis_period,IF(SUM($C645:AI645)&gt;0,AH323+1,0),0)</f>
        <v>0</v>
      </c>
      <c r="AJ323" s="220">
        <f>IF(AJ$2&lt;=analysis_period,IF(SUM($C645:AJ645)&gt;0,AI323+1,0),0)</f>
        <v>0</v>
      </c>
      <c r="AK323" s="220">
        <f>IF(AK$2&lt;=analysis_period,IF(SUM($C645:AK645)&gt;0,AJ323+1,0),0)</f>
        <v>0</v>
      </c>
      <c r="AL323" s="220">
        <f>IF(AL$2&lt;=analysis_period,IF(SUM($C645:AL645)&gt;0,AK323+1,0),0)</f>
        <v>0</v>
      </c>
      <c r="AM323" s="220">
        <f>IF(AM$2&lt;=analysis_period,IF(SUM($C645:AM645)&gt;0,AL323+1,0),0)</f>
        <v>0</v>
      </c>
      <c r="AN323" s="220">
        <f>IF(AN$2&lt;=analysis_period,IF(SUM($C645:AN645)&gt;0,AM323+1,0),0)</f>
        <v>0</v>
      </c>
      <c r="AO323" s="220">
        <f>IF(AO$2&lt;=analysis_period,IF(SUM($C645:AO645)&gt;0,AN323+1,0),0)</f>
        <v>0</v>
      </c>
      <c r="AP323" s="220">
        <f>IF(AP$2&lt;=analysis_period,IF(SUM($C645:AP645)&gt;0,AO323+1,0),0)</f>
        <v>0</v>
      </c>
    </row>
    <row r="324" spans="1:42" x14ac:dyDescent="0.2">
      <c r="A324" s="17">
        <f t="shared" si="148"/>
        <v>5</v>
      </c>
      <c r="B324" s="4">
        <v>0</v>
      </c>
      <c r="C324" s="220">
        <f>IF(C$2&lt;=analysis_period,IF(SUM($C646:C646)&gt;0,B324+1,0),0)</f>
        <v>0</v>
      </c>
      <c r="D324" s="220">
        <f>IF(D$2&lt;=analysis_period,IF(SUM($C646:D646)&gt;0,C324+1,0),0)</f>
        <v>0</v>
      </c>
      <c r="E324" s="220">
        <f>IF(E$2&lt;=analysis_period,IF(SUM($C646:E646)&gt;0,D324+1,0),0)</f>
        <v>0</v>
      </c>
      <c r="F324" s="220">
        <f>IF(F$2&lt;=analysis_period,IF(SUM($C646:F646)&gt;0,E324+1,0),0)</f>
        <v>0</v>
      </c>
      <c r="G324" s="220">
        <f>IF(G$2&lt;=analysis_period,IF(SUM($C646:G646)&gt;0,F324+1,0),0)</f>
        <v>0</v>
      </c>
      <c r="H324" s="220">
        <f>IF(H$2&lt;=analysis_period,IF(SUM($C646:H646)&gt;0,G324+1,0),0)</f>
        <v>0</v>
      </c>
      <c r="I324" s="220">
        <f>IF(I$2&lt;=analysis_period,IF(SUM($C646:I646)&gt;0,H324+1,0),0)</f>
        <v>0</v>
      </c>
      <c r="J324" s="220">
        <f>IF(J$2&lt;=analysis_period,IF(SUM($C646:J646)&gt;0,I324+1,0),0)</f>
        <v>0</v>
      </c>
      <c r="K324" s="220">
        <f>IF(K$2&lt;=analysis_period,IF(SUM($C646:K646)&gt;0,J324+1,0),0)</f>
        <v>0</v>
      </c>
      <c r="L324" s="220">
        <f>IF(L$2&lt;=analysis_period,IF(SUM($C646:L646)&gt;0,K324+1,0),0)</f>
        <v>0</v>
      </c>
      <c r="M324" s="220">
        <f>IF(M$2&lt;=analysis_period,IF(SUM($C646:M646)&gt;0,L324+1,0),0)</f>
        <v>0</v>
      </c>
      <c r="N324" s="220">
        <f>IF(N$2&lt;=analysis_period,IF(SUM($C646:N646)&gt;0,M324+1,0),0)</f>
        <v>0</v>
      </c>
      <c r="O324" s="220">
        <f>IF(O$2&lt;=analysis_period,IF(SUM($C646:O646)&gt;0,N324+1,0),0)</f>
        <v>0</v>
      </c>
      <c r="P324" s="220">
        <f>IF(P$2&lt;=analysis_period,IF(SUM($C646:P646)&gt;0,O324+1,0),0)</f>
        <v>0</v>
      </c>
      <c r="Q324" s="220">
        <f>IF(Q$2&lt;=analysis_period,IF(SUM($C646:Q646)&gt;0,P324+1,0),0)</f>
        <v>0</v>
      </c>
      <c r="R324" s="220">
        <f>IF(R$2&lt;=analysis_period,IF(SUM($C646:R646)&gt;0,Q324+1,0),0)</f>
        <v>0</v>
      </c>
      <c r="S324" s="220">
        <f>IF(S$2&lt;=analysis_period,IF(SUM($C646:S646)&gt;0,R324+1,0),0)</f>
        <v>0</v>
      </c>
      <c r="T324" s="220">
        <f>IF(T$2&lt;=analysis_period,IF(SUM($C646:T646)&gt;0,S324+1,0),0)</f>
        <v>0</v>
      </c>
      <c r="U324" s="220">
        <f>IF(U$2&lt;=analysis_period,IF(SUM($C646:U646)&gt;0,T324+1,0),0)</f>
        <v>0</v>
      </c>
      <c r="V324" s="220">
        <f>IF(V$2&lt;=analysis_period,IF(SUM($C646:V646)&gt;0,U324+1,0),0)</f>
        <v>0</v>
      </c>
      <c r="W324" s="220">
        <f>IF(W$2&lt;=analysis_period,IF(SUM($C646:W646)&gt;0,V324+1,0),0)</f>
        <v>0</v>
      </c>
      <c r="X324" s="220">
        <f>IF(X$2&lt;=analysis_period,IF(SUM($C646:X646)&gt;0,W324+1,0),0)</f>
        <v>0</v>
      </c>
      <c r="Y324" s="220">
        <f>IF(Y$2&lt;=analysis_period,IF(SUM($C646:Y646)&gt;0,X324+1,0),0)</f>
        <v>0</v>
      </c>
      <c r="Z324" s="220">
        <f>IF(Z$2&lt;=analysis_period,IF(SUM($C646:Z646)&gt;0,Y324+1,0),0)</f>
        <v>0</v>
      </c>
      <c r="AA324" s="220">
        <f>IF(AA$2&lt;=analysis_period,IF(SUM($C646:AA646)&gt;0,Z324+1,0),0)</f>
        <v>0</v>
      </c>
      <c r="AB324" s="220">
        <f>IF(AB$2&lt;=analysis_period,IF(SUM($C646:AB646)&gt;0,AA324+1,0),0)</f>
        <v>0</v>
      </c>
      <c r="AC324" s="220">
        <f>IF(AC$2&lt;=analysis_period,IF(SUM($C646:AC646)&gt;0,AB324+1,0),0)</f>
        <v>0</v>
      </c>
      <c r="AD324" s="220">
        <f>IF(AD$2&lt;=analysis_period,IF(SUM($C646:AD646)&gt;0,AC324+1,0),0)</f>
        <v>0</v>
      </c>
      <c r="AE324" s="220">
        <f>IF(AE$2&lt;=analysis_period,IF(SUM($C646:AE646)&gt;0,AD324+1,0),0)</f>
        <v>0</v>
      </c>
      <c r="AF324" s="220">
        <f>IF(AF$2&lt;=analysis_period,IF(SUM($C646:AF646)&gt;0,AE324+1,0),0)</f>
        <v>0</v>
      </c>
      <c r="AG324" s="220">
        <f>IF(AG$2&lt;=analysis_period,IF(SUM($C646:AG646)&gt;0,AF324+1,0),0)</f>
        <v>0</v>
      </c>
      <c r="AH324" s="220">
        <f>IF(AH$2&lt;=analysis_period,IF(SUM($C646:AH646)&gt;0,AG324+1,0),0)</f>
        <v>0</v>
      </c>
      <c r="AI324" s="220">
        <f>IF(AI$2&lt;=analysis_period,IF(SUM($C646:AI646)&gt;0,AH324+1,0),0)</f>
        <v>0</v>
      </c>
      <c r="AJ324" s="220">
        <f>IF(AJ$2&lt;=analysis_period,IF(SUM($C646:AJ646)&gt;0,AI324+1,0),0)</f>
        <v>0</v>
      </c>
      <c r="AK324" s="220">
        <f>IF(AK$2&lt;=analysis_period,IF(SUM($C646:AK646)&gt;0,AJ324+1,0),0)</f>
        <v>0</v>
      </c>
      <c r="AL324" s="220">
        <f>IF(AL$2&lt;=analysis_period,IF(SUM($C646:AL646)&gt;0,AK324+1,0),0)</f>
        <v>0</v>
      </c>
      <c r="AM324" s="220">
        <f>IF(AM$2&lt;=analysis_period,IF(SUM($C646:AM646)&gt;0,AL324+1,0),0)</f>
        <v>0</v>
      </c>
      <c r="AN324" s="220">
        <f>IF(AN$2&lt;=analysis_period,IF(SUM($C646:AN646)&gt;0,AM324+1,0),0)</f>
        <v>0</v>
      </c>
      <c r="AO324" s="220">
        <f>IF(AO$2&lt;=analysis_period,IF(SUM($C646:AO646)&gt;0,AN324+1,0),0)</f>
        <v>0</v>
      </c>
      <c r="AP324" s="220">
        <f>IF(AP$2&lt;=analysis_period,IF(SUM($C646:AP646)&gt;0,AO324+1,0),0)</f>
        <v>0</v>
      </c>
    </row>
    <row r="325" spans="1:42" x14ac:dyDescent="0.2">
      <c r="A325" s="17">
        <f t="shared" si="148"/>
        <v>6</v>
      </c>
      <c r="B325" s="4">
        <v>0</v>
      </c>
      <c r="C325" s="220">
        <f>IF(C$2&lt;=analysis_period,IF(SUM($C647:C647)&gt;0,B325+1,0),0)</f>
        <v>0</v>
      </c>
      <c r="D325" s="220">
        <f>IF(D$2&lt;=analysis_period,IF(SUM($C647:D647)&gt;0,C325+1,0),0)</f>
        <v>0</v>
      </c>
      <c r="E325" s="220">
        <f>IF(E$2&lt;=analysis_period,IF(SUM($C647:E647)&gt;0,D325+1,0),0)</f>
        <v>0</v>
      </c>
      <c r="F325" s="220">
        <f>IF(F$2&lt;=analysis_period,IF(SUM($C647:F647)&gt;0,E325+1,0),0)</f>
        <v>0</v>
      </c>
      <c r="G325" s="220">
        <f>IF(G$2&lt;=analysis_period,IF(SUM($C647:G647)&gt;0,F325+1,0),0)</f>
        <v>0</v>
      </c>
      <c r="H325" s="220">
        <f>IF(H$2&lt;=analysis_period,IF(SUM($C647:H647)&gt;0,G325+1,0),0)</f>
        <v>0</v>
      </c>
      <c r="I325" s="220">
        <f>IF(I$2&lt;=analysis_period,IF(SUM($C647:I647)&gt;0,H325+1,0),0)</f>
        <v>0</v>
      </c>
      <c r="J325" s="220">
        <f>IF(J$2&lt;=analysis_period,IF(SUM($C647:J647)&gt;0,I325+1,0),0)</f>
        <v>0</v>
      </c>
      <c r="K325" s="220">
        <f>IF(K$2&lt;=analysis_period,IF(SUM($C647:K647)&gt;0,J325+1,0),0)</f>
        <v>0</v>
      </c>
      <c r="L325" s="220">
        <f>IF(L$2&lt;=analysis_period,IF(SUM($C647:L647)&gt;0,K325+1,0),0)</f>
        <v>0</v>
      </c>
      <c r="M325" s="220">
        <f>IF(M$2&lt;=analysis_period,IF(SUM($C647:M647)&gt;0,L325+1,0),0)</f>
        <v>0</v>
      </c>
      <c r="N325" s="220">
        <f>IF(N$2&lt;=analysis_period,IF(SUM($C647:N647)&gt;0,M325+1,0),0)</f>
        <v>0</v>
      </c>
      <c r="O325" s="220">
        <f>IF(O$2&lt;=analysis_period,IF(SUM($C647:O647)&gt;0,N325+1,0),0)</f>
        <v>0</v>
      </c>
      <c r="P325" s="220">
        <f>IF(P$2&lt;=analysis_period,IF(SUM($C647:P647)&gt;0,O325+1,0),0)</f>
        <v>0</v>
      </c>
      <c r="Q325" s="220">
        <f>IF(Q$2&lt;=analysis_period,IF(SUM($C647:Q647)&gt;0,P325+1,0),0)</f>
        <v>0</v>
      </c>
      <c r="R325" s="220">
        <f>IF(R$2&lt;=analysis_period,IF(SUM($C647:R647)&gt;0,Q325+1,0),0)</f>
        <v>0</v>
      </c>
      <c r="S325" s="220">
        <f>IF(S$2&lt;=analysis_period,IF(SUM($C647:S647)&gt;0,R325+1,0),0)</f>
        <v>0</v>
      </c>
      <c r="T325" s="220">
        <f>IF(T$2&lt;=analysis_period,IF(SUM($C647:T647)&gt;0,S325+1,0),0)</f>
        <v>0</v>
      </c>
      <c r="U325" s="220">
        <f>IF(U$2&lt;=analysis_period,IF(SUM($C647:U647)&gt;0,T325+1,0),0)</f>
        <v>0</v>
      </c>
      <c r="V325" s="220">
        <f>IF(V$2&lt;=analysis_period,IF(SUM($C647:V647)&gt;0,U325+1,0),0)</f>
        <v>0</v>
      </c>
      <c r="W325" s="220">
        <f>IF(W$2&lt;=analysis_period,IF(SUM($C647:W647)&gt;0,V325+1,0),0)</f>
        <v>0</v>
      </c>
      <c r="X325" s="220">
        <f>IF(X$2&lt;=analysis_period,IF(SUM($C647:X647)&gt;0,W325+1,0),0)</f>
        <v>0</v>
      </c>
      <c r="Y325" s="220">
        <f>IF(Y$2&lt;=analysis_period,IF(SUM($C647:Y647)&gt;0,X325+1,0),0)</f>
        <v>0</v>
      </c>
      <c r="Z325" s="220">
        <f>IF(Z$2&lt;=analysis_period,IF(SUM($C647:Z647)&gt;0,Y325+1,0),0)</f>
        <v>0</v>
      </c>
      <c r="AA325" s="220">
        <f>IF(AA$2&lt;=analysis_period,IF(SUM($C647:AA647)&gt;0,Z325+1,0),0)</f>
        <v>0</v>
      </c>
      <c r="AB325" s="220">
        <f>IF(AB$2&lt;=analysis_period,IF(SUM($C647:AB647)&gt;0,AA325+1,0),0)</f>
        <v>0</v>
      </c>
      <c r="AC325" s="220">
        <f>IF(AC$2&lt;=analysis_period,IF(SUM($C647:AC647)&gt;0,AB325+1,0),0)</f>
        <v>0</v>
      </c>
      <c r="AD325" s="220">
        <f>IF(AD$2&lt;=analysis_period,IF(SUM($C647:AD647)&gt;0,AC325+1,0),0)</f>
        <v>0</v>
      </c>
      <c r="AE325" s="220">
        <f>IF(AE$2&lt;=analysis_period,IF(SUM($C647:AE647)&gt;0,AD325+1,0),0)</f>
        <v>0</v>
      </c>
      <c r="AF325" s="220">
        <f>IF(AF$2&lt;=analysis_period,IF(SUM($C647:AF647)&gt;0,AE325+1,0),0)</f>
        <v>0</v>
      </c>
      <c r="AG325" s="220">
        <f>IF(AG$2&lt;=analysis_period,IF(SUM($C647:AG647)&gt;0,AF325+1,0),0)</f>
        <v>0</v>
      </c>
      <c r="AH325" s="220">
        <f>IF(AH$2&lt;=analysis_period,IF(SUM($C647:AH647)&gt;0,AG325+1,0),0)</f>
        <v>0</v>
      </c>
      <c r="AI325" s="220">
        <f>IF(AI$2&lt;=analysis_period,IF(SUM($C647:AI647)&gt;0,AH325+1,0),0)</f>
        <v>0</v>
      </c>
      <c r="AJ325" s="220">
        <f>IF(AJ$2&lt;=analysis_period,IF(SUM($C647:AJ647)&gt;0,AI325+1,0),0)</f>
        <v>0</v>
      </c>
      <c r="AK325" s="220">
        <f>IF(AK$2&lt;=analysis_period,IF(SUM($C647:AK647)&gt;0,AJ325+1,0),0)</f>
        <v>0</v>
      </c>
      <c r="AL325" s="220">
        <f>IF(AL$2&lt;=analysis_period,IF(SUM($C647:AL647)&gt;0,AK325+1,0),0)</f>
        <v>0</v>
      </c>
      <c r="AM325" s="220">
        <f>IF(AM$2&lt;=analysis_period,IF(SUM($C647:AM647)&gt;0,AL325+1,0),0)</f>
        <v>0</v>
      </c>
      <c r="AN325" s="220">
        <f>IF(AN$2&lt;=analysis_period,IF(SUM($C647:AN647)&gt;0,AM325+1,0),0)</f>
        <v>0</v>
      </c>
      <c r="AO325" s="220">
        <f>IF(AO$2&lt;=analysis_period,IF(SUM($C647:AO647)&gt;0,AN325+1,0),0)</f>
        <v>0</v>
      </c>
      <c r="AP325" s="220">
        <f>IF(AP$2&lt;=analysis_period,IF(SUM($C647:AP647)&gt;0,AO325+1,0),0)</f>
        <v>0</v>
      </c>
    </row>
    <row r="326" spans="1:42" x14ac:dyDescent="0.2">
      <c r="A326" s="17">
        <f t="shared" si="148"/>
        <v>7</v>
      </c>
      <c r="B326" s="4">
        <v>0</v>
      </c>
      <c r="C326" s="220">
        <f>IF(C$2&lt;=analysis_period,IF(SUM($C648:C648)&gt;0,B326+1,0),0)</f>
        <v>0</v>
      </c>
      <c r="D326" s="220">
        <f>IF(D$2&lt;=analysis_period,IF(SUM($C648:D648)&gt;0,C326+1,0),0)</f>
        <v>0</v>
      </c>
      <c r="E326" s="220">
        <f>IF(E$2&lt;=analysis_period,IF(SUM($C648:E648)&gt;0,D326+1,0),0)</f>
        <v>0</v>
      </c>
      <c r="F326" s="220">
        <f>IF(F$2&lt;=analysis_period,IF(SUM($C648:F648)&gt;0,E326+1,0),0)</f>
        <v>0</v>
      </c>
      <c r="G326" s="220">
        <f>IF(G$2&lt;=analysis_period,IF(SUM($C648:G648)&gt;0,F326+1,0),0)</f>
        <v>0</v>
      </c>
      <c r="H326" s="220">
        <f>IF(H$2&lt;=analysis_period,IF(SUM($C648:H648)&gt;0,G326+1,0),0)</f>
        <v>0</v>
      </c>
      <c r="I326" s="220">
        <f>IF(I$2&lt;=analysis_period,IF(SUM($C648:I648)&gt;0,H326+1,0),0)</f>
        <v>0</v>
      </c>
      <c r="J326" s="220">
        <f>IF(J$2&lt;=analysis_period,IF(SUM($C648:J648)&gt;0,I326+1,0),0)</f>
        <v>0</v>
      </c>
      <c r="K326" s="220">
        <f>IF(K$2&lt;=analysis_period,IF(SUM($C648:K648)&gt;0,J326+1,0),0)</f>
        <v>0</v>
      </c>
      <c r="L326" s="220">
        <f>IF(L$2&lt;=analysis_period,IF(SUM($C648:L648)&gt;0,K326+1,0),0)</f>
        <v>0</v>
      </c>
      <c r="M326" s="220">
        <f>IF(M$2&lt;=analysis_period,IF(SUM($C648:M648)&gt;0,L326+1,0),0)</f>
        <v>0</v>
      </c>
      <c r="N326" s="220">
        <f>IF(N$2&lt;=analysis_period,IF(SUM($C648:N648)&gt;0,M326+1,0),0)</f>
        <v>0</v>
      </c>
      <c r="O326" s="220">
        <f>IF(O$2&lt;=analysis_period,IF(SUM($C648:O648)&gt;0,N326+1,0),0)</f>
        <v>0</v>
      </c>
      <c r="P326" s="220">
        <f>IF(P$2&lt;=analysis_period,IF(SUM($C648:P648)&gt;0,O326+1,0),0)</f>
        <v>0</v>
      </c>
      <c r="Q326" s="220">
        <f>IF(Q$2&lt;=analysis_period,IF(SUM($C648:Q648)&gt;0,P326+1,0),0)</f>
        <v>0</v>
      </c>
      <c r="R326" s="220">
        <f>IF(R$2&lt;=analysis_period,IF(SUM($C648:R648)&gt;0,Q326+1,0),0)</f>
        <v>0</v>
      </c>
      <c r="S326" s="220">
        <f>IF(S$2&lt;=analysis_period,IF(SUM($C648:S648)&gt;0,R326+1,0),0)</f>
        <v>0</v>
      </c>
      <c r="T326" s="220">
        <f>IF(T$2&lt;=analysis_period,IF(SUM($C648:T648)&gt;0,S326+1,0),0)</f>
        <v>0</v>
      </c>
      <c r="U326" s="220">
        <f>IF(U$2&lt;=analysis_period,IF(SUM($C648:U648)&gt;0,T326+1,0),0)</f>
        <v>0</v>
      </c>
      <c r="V326" s="220">
        <f>IF(V$2&lt;=analysis_period,IF(SUM($C648:V648)&gt;0,U326+1,0),0)</f>
        <v>0</v>
      </c>
      <c r="W326" s="220">
        <f>IF(W$2&lt;=analysis_period,IF(SUM($C648:W648)&gt;0,V326+1,0),0)</f>
        <v>0</v>
      </c>
      <c r="X326" s="220">
        <f>IF(X$2&lt;=analysis_period,IF(SUM($C648:X648)&gt;0,W326+1,0),0)</f>
        <v>0</v>
      </c>
      <c r="Y326" s="220">
        <f>IF(Y$2&lt;=analysis_period,IF(SUM($C648:Y648)&gt;0,X326+1,0),0)</f>
        <v>0</v>
      </c>
      <c r="Z326" s="220">
        <f>IF(Z$2&lt;=analysis_period,IF(SUM($C648:Z648)&gt;0,Y326+1,0),0)</f>
        <v>0</v>
      </c>
      <c r="AA326" s="220">
        <f>IF(AA$2&lt;=analysis_period,IF(SUM($C648:AA648)&gt;0,Z326+1,0),0)</f>
        <v>0</v>
      </c>
      <c r="AB326" s="220">
        <f>IF(AB$2&lt;=analysis_period,IF(SUM($C648:AB648)&gt;0,AA326+1,0),0)</f>
        <v>0</v>
      </c>
      <c r="AC326" s="220">
        <f>IF(AC$2&lt;=analysis_period,IF(SUM($C648:AC648)&gt;0,AB326+1,0),0)</f>
        <v>0</v>
      </c>
      <c r="AD326" s="220">
        <f>IF(AD$2&lt;=analysis_period,IF(SUM($C648:AD648)&gt;0,AC326+1,0),0)</f>
        <v>0</v>
      </c>
      <c r="AE326" s="220">
        <f>IF(AE$2&lt;=analysis_period,IF(SUM($C648:AE648)&gt;0,AD326+1,0),0)</f>
        <v>0</v>
      </c>
      <c r="AF326" s="220">
        <f>IF(AF$2&lt;=analysis_period,IF(SUM($C648:AF648)&gt;0,AE326+1,0),0)</f>
        <v>0</v>
      </c>
      <c r="AG326" s="220">
        <f>IF(AG$2&lt;=analysis_period,IF(SUM($C648:AG648)&gt;0,AF326+1,0),0)</f>
        <v>0</v>
      </c>
      <c r="AH326" s="220">
        <f>IF(AH$2&lt;=analysis_period,IF(SUM($C648:AH648)&gt;0,AG326+1,0),0)</f>
        <v>0</v>
      </c>
      <c r="AI326" s="220">
        <f>IF(AI$2&lt;=analysis_period,IF(SUM($C648:AI648)&gt;0,AH326+1,0),0)</f>
        <v>0</v>
      </c>
      <c r="AJ326" s="220">
        <f>IF(AJ$2&lt;=analysis_period,IF(SUM($C648:AJ648)&gt;0,AI326+1,0),0)</f>
        <v>0</v>
      </c>
      <c r="AK326" s="220">
        <f>IF(AK$2&lt;=analysis_period,IF(SUM($C648:AK648)&gt;0,AJ326+1,0),0)</f>
        <v>0</v>
      </c>
      <c r="AL326" s="220">
        <f>IF(AL$2&lt;=analysis_period,IF(SUM($C648:AL648)&gt;0,AK326+1,0),0)</f>
        <v>0</v>
      </c>
      <c r="AM326" s="220">
        <f>IF(AM$2&lt;=analysis_period,IF(SUM($C648:AM648)&gt;0,AL326+1,0),0)</f>
        <v>0</v>
      </c>
      <c r="AN326" s="220">
        <f>IF(AN$2&lt;=analysis_period,IF(SUM($C648:AN648)&gt;0,AM326+1,0),0)</f>
        <v>0</v>
      </c>
      <c r="AO326" s="220">
        <f>IF(AO$2&lt;=analysis_period,IF(SUM($C648:AO648)&gt;0,AN326+1,0),0)</f>
        <v>0</v>
      </c>
      <c r="AP326" s="220">
        <f>IF(AP$2&lt;=analysis_period,IF(SUM($C648:AP648)&gt;0,AO326+1,0),0)</f>
        <v>0</v>
      </c>
    </row>
    <row r="327" spans="1:42" x14ac:dyDescent="0.2">
      <c r="A327" s="17">
        <f t="shared" si="148"/>
        <v>8</v>
      </c>
      <c r="B327" s="4">
        <v>0</v>
      </c>
      <c r="C327" s="220">
        <f>IF(C$2&lt;=analysis_period,IF(SUM($C649:C649)&gt;0,B327+1,0),0)</f>
        <v>0</v>
      </c>
      <c r="D327" s="220">
        <f>IF(D$2&lt;=analysis_period,IF(SUM($C649:D649)&gt;0,C327+1,0),0)</f>
        <v>0</v>
      </c>
      <c r="E327" s="220">
        <f>IF(E$2&lt;=analysis_period,IF(SUM($C649:E649)&gt;0,D327+1,0),0)</f>
        <v>0</v>
      </c>
      <c r="F327" s="220">
        <f>IF(F$2&lt;=analysis_period,IF(SUM($C649:F649)&gt;0,E327+1,0),0)</f>
        <v>0</v>
      </c>
      <c r="G327" s="220">
        <f>IF(G$2&lt;=analysis_period,IF(SUM($C649:G649)&gt;0,F327+1,0),0)</f>
        <v>0</v>
      </c>
      <c r="H327" s="220">
        <f>IF(H$2&lt;=analysis_period,IF(SUM($C649:H649)&gt;0,G327+1,0),0)</f>
        <v>0</v>
      </c>
      <c r="I327" s="220">
        <f>IF(I$2&lt;=analysis_period,IF(SUM($C649:I649)&gt;0,H327+1,0),0)</f>
        <v>0</v>
      </c>
      <c r="J327" s="220">
        <f>IF(J$2&lt;=analysis_period,IF(SUM($C649:J649)&gt;0,I327+1,0),0)</f>
        <v>0</v>
      </c>
      <c r="K327" s="220">
        <f>IF(K$2&lt;=analysis_period,IF(SUM($C649:K649)&gt;0,J327+1,0),0)</f>
        <v>0</v>
      </c>
      <c r="L327" s="220">
        <f>IF(L$2&lt;=analysis_period,IF(SUM($C649:L649)&gt;0,K327+1,0),0)</f>
        <v>0</v>
      </c>
      <c r="M327" s="220">
        <f>IF(M$2&lt;=analysis_period,IF(SUM($C649:M649)&gt;0,L327+1,0),0)</f>
        <v>0</v>
      </c>
      <c r="N327" s="220">
        <f>IF(N$2&lt;=analysis_period,IF(SUM($C649:N649)&gt;0,M327+1,0),0)</f>
        <v>0</v>
      </c>
      <c r="O327" s="220">
        <f>IF(O$2&lt;=analysis_period,IF(SUM($C649:O649)&gt;0,N327+1,0),0)</f>
        <v>0</v>
      </c>
      <c r="P327" s="220">
        <f>IF(P$2&lt;=analysis_period,IF(SUM($C649:P649)&gt;0,O327+1,0),0)</f>
        <v>0</v>
      </c>
      <c r="Q327" s="220">
        <f>IF(Q$2&lt;=analysis_period,IF(SUM($C649:Q649)&gt;0,P327+1,0),0)</f>
        <v>0</v>
      </c>
      <c r="R327" s="220">
        <f>IF(R$2&lt;=analysis_period,IF(SUM($C649:R649)&gt;0,Q327+1,0),0)</f>
        <v>0</v>
      </c>
      <c r="S327" s="220">
        <f>IF(S$2&lt;=analysis_period,IF(SUM($C649:S649)&gt;0,R327+1,0),0)</f>
        <v>0</v>
      </c>
      <c r="T327" s="220">
        <f>IF(T$2&lt;=analysis_period,IF(SUM($C649:T649)&gt;0,S327+1,0),0)</f>
        <v>0</v>
      </c>
      <c r="U327" s="220">
        <f>IF(U$2&lt;=analysis_period,IF(SUM($C649:U649)&gt;0,T327+1,0),0)</f>
        <v>0</v>
      </c>
      <c r="V327" s="220">
        <f>IF(V$2&lt;=analysis_period,IF(SUM($C649:V649)&gt;0,U327+1,0),0)</f>
        <v>0</v>
      </c>
      <c r="W327" s="220">
        <f>IF(W$2&lt;=analysis_period,IF(SUM($C649:W649)&gt;0,V327+1,0),0)</f>
        <v>0</v>
      </c>
      <c r="X327" s="220">
        <f>IF(X$2&lt;=analysis_period,IF(SUM($C649:X649)&gt;0,W327+1,0),0)</f>
        <v>0</v>
      </c>
      <c r="Y327" s="220">
        <f>IF(Y$2&lt;=analysis_period,IF(SUM($C649:Y649)&gt;0,X327+1,0),0)</f>
        <v>0</v>
      </c>
      <c r="Z327" s="220">
        <f>IF(Z$2&lt;=analysis_period,IF(SUM($C649:Z649)&gt;0,Y327+1,0),0)</f>
        <v>0</v>
      </c>
      <c r="AA327" s="220">
        <f>IF(AA$2&lt;=analysis_period,IF(SUM($C649:AA649)&gt;0,Z327+1,0),0)</f>
        <v>0</v>
      </c>
      <c r="AB327" s="220">
        <f>IF(AB$2&lt;=analysis_period,IF(SUM($C649:AB649)&gt;0,AA327+1,0),0)</f>
        <v>0</v>
      </c>
      <c r="AC327" s="220">
        <f>IF(AC$2&lt;=analysis_period,IF(SUM($C649:AC649)&gt;0,AB327+1,0),0)</f>
        <v>0</v>
      </c>
      <c r="AD327" s="220">
        <f>IF(AD$2&lt;=analysis_period,IF(SUM($C649:AD649)&gt;0,AC327+1,0),0)</f>
        <v>0</v>
      </c>
      <c r="AE327" s="220">
        <f>IF(AE$2&lt;=analysis_period,IF(SUM($C649:AE649)&gt;0,AD327+1,0),0)</f>
        <v>0</v>
      </c>
      <c r="AF327" s="220">
        <f>IF(AF$2&lt;=analysis_period,IF(SUM($C649:AF649)&gt;0,AE327+1,0),0)</f>
        <v>0</v>
      </c>
      <c r="AG327" s="220">
        <f>IF(AG$2&lt;=analysis_period,IF(SUM($C649:AG649)&gt;0,AF327+1,0),0)</f>
        <v>0</v>
      </c>
      <c r="AH327" s="220">
        <f>IF(AH$2&lt;=analysis_period,IF(SUM($C649:AH649)&gt;0,AG327+1,0),0)</f>
        <v>0</v>
      </c>
      <c r="AI327" s="220">
        <f>IF(AI$2&lt;=analysis_period,IF(SUM($C649:AI649)&gt;0,AH327+1,0),0)</f>
        <v>0</v>
      </c>
      <c r="AJ327" s="220">
        <f>IF(AJ$2&lt;=analysis_period,IF(SUM($C649:AJ649)&gt;0,AI327+1,0),0)</f>
        <v>0</v>
      </c>
      <c r="AK327" s="220">
        <f>IF(AK$2&lt;=analysis_period,IF(SUM($C649:AK649)&gt;0,AJ327+1,0),0)</f>
        <v>0</v>
      </c>
      <c r="AL327" s="220">
        <f>IF(AL$2&lt;=analysis_period,IF(SUM($C649:AL649)&gt;0,AK327+1,0),0)</f>
        <v>0</v>
      </c>
      <c r="AM327" s="220">
        <f>IF(AM$2&lt;=analysis_period,IF(SUM($C649:AM649)&gt;0,AL327+1,0),0)</f>
        <v>0</v>
      </c>
      <c r="AN327" s="220">
        <f>IF(AN$2&lt;=analysis_period,IF(SUM($C649:AN649)&gt;0,AM327+1,0),0)</f>
        <v>0</v>
      </c>
      <c r="AO327" s="220">
        <f>IF(AO$2&lt;=analysis_period,IF(SUM($C649:AO649)&gt;0,AN327+1,0),0)</f>
        <v>0</v>
      </c>
      <c r="AP327" s="220">
        <f>IF(AP$2&lt;=analysis_period,IF(SUM($C649:AP649)&gt;0,AO327+1,0),0)</f>
        <v>0</v>
      </c>
    </row>
    <row r="328" spans="1:42" x14ac:dyDescent="0.2">
      <c r="A328" s="17">
        <f>A327+1</f>
        <v>9</v>
      </c>
      <c r="B328" s="4">
        <v>0</v>
      </c>
      <c r="C328" s="220">
        <f>IF(C$2&lt;=analysis_period,IF(SUM($C650:C650)&gt;0,B328+1,0),0)</f>
        <v>0</v>
      </c>
      <c r="D328" s="220">
        <f>IF(D$2&lt;=analysis_period,IF(SUM($C650:D650)&gt;0,C328+1,0),0)</f>
        <v>0</v>
      </c>
      <c r="E328" s="220">
        <f>IF(E$2&lt;=analysis_period,IF(SUM($C650:E650)&gt;0,D328+1,0),0)</f>
        <v>0</v>
      </c>
      <c r="F328" s="220">
        <f>IF(F$2&lt;=analysis_period,IF(SUM($C650:F650)&gt;0,E328+1,0),0)</f>
        <v>0</v>
      </c>
      <c r="G328" s="220">
        <f>IF(G$2&lt;=analysis_period,IF(SUM($C650:G650)&gt;0,F328+1,0),0)</f>
        <v>0</v>
      </c>
      <c r="H328" s="220">
        <f>IF(H$2&lt;=analysis_period,IF(SUM($C650:H650)&gt;0,G328+1,0),0)</f>
        <v>0</v>
      </c>
      <c r="I328" s="220">
        <f>IF(I$2&lt;=analysis_period,IF(SUM($C650:I650)&gt;0,H328+1,0),0)</f>
        <v>0</v>
      </c>
      <c r="J328" s="220">
        <f>IF(J$2&lt;=analysis_period,IF(SUM($C650:J650)&gt;0,I328+1,0),0)</f>
        <v>0</v>
      </c>
      <c r="K328" s="220">
        <f>IF(K$2&lt;=analysis_period,IF(SUM($C650:K650)&gt;0,J328+1,0),0)</f>
        <v>0</v>
      </c>
      <c r="L328" s="220">
        <f>IF(L$2&lt;=analysis_period,IF(SUM($C650:L650)&gt;0,K328+1,0),0)</f>
        <v>0</v>
      </c>
      <c r="M328" s="220">
        <f>IF(M$2&lt;=analysis_period,IF(SUM($C650:M650)&gt;0,L328+1,0),0)</f>
        <v>0</v>
      </c>
      <c r="N328" s="220">
        <f>IF(N$2&lt;=analysis_period,IF(SUM($C650:N650)&gt;0,M328+1,0),0)</f>
        <v>0</v>
      </c>
      <c r="O328" s="220">
        <f>IF(O$2&lt;=analysis_period,IF(SUM($C650:O650)&gt;0,N328+1,0),0)</f>
        <v>0</v>
      </c>
      <c r="P328" s="220">
        <f>IF(P$2&lt;=analysis_period,IF(SUM($C650:P650)&gt;0,O328+1,0),0)</f>
        <v>0</v>
      </c>
      <c r="Q328" s="220">
        <f>IF(Q$2&lt;=analysis_period,IF(SUM($C650:Q650)&gt;0,P328+1,0),0)</f>
        <v>0</v>
      </c>
      <c r="R328" s="220">
        <f>IF(R$2&lt;=analysis_period,IF(SUM($C650:R650)&gt;0,Q328+1,0),0)</f>
        <v>0</v>
      </c>
      <c r="S328" s="220">
        <f>IF(S$2&lt;=analysis_period,IF(SUM($C650:S650)&gt;0,R328+1,0),0)</f>
        <v>0</v>
      </c>
      <c r="T328" s="220">
        <f>IF(T$2&lt;=analysis_period,IF(SUM($C650:T650)&gt;0,S328+1,0),0)</f>
        <v>0</v>
      </c>
      <c r="U328" s="220">
        <f>IF(U$2&lt;=analysis_period,IF(SUM($C650:U650)&gt;0,T328+1,0),0)</f>
        <v>0</v>
      </c>
      <c r="V328" s="220">
        <f>IF(V$2&lt;=analysis_period,IF(SUM($C650:V650)&gt;0,U328+1,0),0)</f>
        <v>0</v>
      </c>
      <c r="W328" s="220">
        <f>IF(W$2&lt;=analysis_period,IF(SUM($C650:W650)&gt;0,V328+1,0),0)</f>
        <v>0</v>
      </c>
      <c r="X328" s="220">
        <f>IF(X$2&lt;=analysis_period,IF(SUM($C650:X650)&gt;0,W328+1,0),0)</f>
        <v>0</v>
      </c>
      <c r="Y328" s="220">
        <f>IF(Y$2&lt;=analysis_period,IF(SUM($C650:Y650)&gt;0,X328+1,0),0)</f>
        <v>0</v>
      </c>
      <c r="Z328" s="220">
        <f>IF(Z$2&lt;=analysis_period,IF(SUM($C650:Z650)&gt;0,Y328+1,0),0)</f>
        <v>0</v>
      </c>
      <c r="AA328" s="220">
        <f>IF(AA$2&lt;=analysis_period,IF(SUM($C650:AA650)&gt;0,Z328+1,0),0)</f>
        <v>0</v>
      </c>
      <c r="AB328" s="220">
        <f>IF(AB$2&lt;=analysis_period,IF(SUM($C650:AB650)&gt;0,AA328+1,0),0)</f>
        <v>0</v>
      </c>
      <c r="AC328" s="220">
        <f>IF(AC$2&lt;=analysis_period,IF(SUM($C650:AC650)&gt;0,AB328+1,0),0)</f>
        <v>0</v>
      </c>
      <c r="AD328" s="220">
        <f>IF(AD$2&lt;=analysis_period,IF(SUM($C650:AD650)&gt;0,AC328+1,0),0)</f>
        <v>0</v>
      </c>
      <c r="AE328" s="220">
        <f>IF(AE$2&lt;=analysis_period,IF(SUM($C650:AE650)&gt;0,AD328+1,0),0)</f>
        <v>0</v>
      </c>
      <c r="AF328" s="220">
        <f>IF(AF$2&lt;=analysis_period,IF(SUM($C650:AF650)&gt;0,AE328+1,0),0)</f>
        <v>0</v>
      </c>
      <c r="AG328" s="220">
        <f>IF(AG$2&lt;=analysis_period,IF(SUM($C650:AG650)&gt;0,AF328+1,0),0)</f>
        <v>0</v>
      </c>
      <c r="AH328" s="220">
        <f>IF(AH$2&lt;=analysis_period,IF(SUM($C650:AH650)&gt;0,AG328+1,0),0)</f>
        <v>0</v>
      </c>
      <c r="AI328" s="220">
        <f>IF(AI$2&lt;=analysis_period,IF(SUM($C650:AI650)&gt;0,AH328+1,0),0)</f>
        <v>0</v>
      </c>
      <c r="AJ328" s="220">
        <f>IF(AJ$2&lt;=analysis_period,IF(SUM($C650:AJ650)&gt;0,AI328+1,0),0)</f>
        <v>0</v>
      </c>
      <c r="AK328" s="220">
        <f>IF(AK$2&lt;=analysis_period,IF(SUM($C650:AK650)&gt;0,AJ328+1,0),0)</f>
        <v>0</v>
      </c>
      <c r="AL328" s="220">
        <f>IF(AL$2&lt;=analysis_period,IF(SUM($C650:AL650)&gt;0,AK328+1,0),0)</f>
        <v>0</v>
      </c>
      <c r="AM328" s="220">
        <f>IF(AM$2&lt;=analysis_period,IF(SUM($C650:AM650)&gt;0,AL328+1,0),0)</f>
        <v>0</v>
      </c>
      <c r="AN328" s="220">
        <f>IF(AN$2&lt;=analysis_period,IF(SUM($C650:AN650)&gt;0,AM328+1,0),0)</f>
        <v>0</v>
      </c>
      <c r="AO328" s="220">
        <f>IF(AO$2&lt;=analysis_period,IF(SUM($C650:AO650)&gt;0,AN328+1,0),0)</f>
        <v>0</v>
      </c>
      <c r="AP328" s="220">
        <f>IF(AP$2&lt;=analysis_period,IF(SUM($C650:AP650)&gt;0,AO328+1,0),0)</f>
        <v>0</v>
      </c>
    </row>
    <row r="329" spans="1:42" x14ac:dyDescent="0.2">
      <c r="A329" s="17">
        <f t="shared" si="148"/>
        <v>10</v>
      </c>
      <c r="B329" s="4">
        <v>0</v>
      </c>
      <c r="C329" s="220">
        <f>IF(C$2&lt;=analysis_period,IF(SUM($C651:C651)&gt;0,B329+1,0),0)</f>
        <v>0</v>
      </c>
      <c r="D329" s="220">
        <f>IF(D$2&lt;=analysis_period,IF(SUM($C651:D651)&gt;0,C329+1,0),0)</f>
        <v>0</v>
      </c>
      <c r="E329" s="220">
        <f>IF(E$2&lt;=analysis_period,IF(SUM($C651:E651)&gt;0,D329+1,0),0)</f>
        <v>0</v>
      </c>
      <c r="F329" s="220">
        <f>IF(F$2&lt;=analysis_period,IF(SUM($C651:F651)&gt;0,E329+1,0),0)</f>
        <v>0</v>
      </c>
      <c r="G329" s="220">
        <f>IF(G$2&lt;=analysis_period,IF(SUM($C651:G651)&gt;0,F329+1,0),0)</f>
        <v>0</v>
      </c>
      <c r="H329" s="220">
        <f>IF(H$2&lt;=analysis_period,IF(SUM($C651:H651)&gt;0,G329+1,0),0)</f>
        <v>0</v>
      </c>
      <c r="I329" s="220">
        <f>IF(I$2&lt;=analysis_period,IF(SUM($C651:I651)&gt;0,H329+1,0),0)</f>
        <v>0</v>
      </c>
      <c r="J329" s="220">
        <f>IF(J$2&lt;=analysis_period,IF(SUM($C651:J651)&gt;0,I329+1,0),0)</f>
        <v>0</v>
      </c>
      <c r="K329" s="220">
        <f>IF(K$2&lt;=analysis_period,IF(SUM($C651:K651)&gt;0,J329+1,0),0)</f>
        <v>0</v>
      </c>
      <c r="L329" s="220">
        <f>IF(L$2&lt;=analysis_period,IF(SUM($C651:L651)&gt;0,K329+1,0),0)</f>
        <v>0</v>
      </c>
      <c r="M329" s="220">
        <f>IF(M$2&lt;=analysis_period,IF(SUM($C651:M651)&gt;0,L329+1,0),0)</f>
        <v>0</v>
      </c>
      <c r="N329" s="220">
        <f>IF(N$2&lt;=analysis_period,IF(SUM($C651:N651)&gt;0,M329+1,0),0)</f>
        <v>0</v>
      </c>
      <c r="O329" s="220">
        <f>IF(O$2&lt;=analysis_period,IF(SUM($C651:O651)&gt;0,N329+1,0),0)</f>
        <v>0</v>
      </c>
      <c r="P329" s="220">
        <f>IF(P$2&lt;=analysis_period,IF(SUM($C651:P651)&gt;0,O329+1,0),0)</f>
        <v>0</v>
      </c>
      <c r="Q329" s="220">
        <f>IF(Q$2&lt;=analysis_period,IF(SUM($C651:Q651)&gt;0,P329+1,0),0)</f>
        <v>0</v>
      </c>
      <c r="R329" s="220">
        <f>IF(R$2&lt;=analysis_period,IF(SUM($C651:R651)&gt;0,Q329+1,0),0)</f>
        <v>0</v>
      </c>
      <c r="S329" s="220">
        <f>IF(S$2&lt;=analysis_period,IF(SUM($C651:S651)&gt;0,R329+1,0),0)</f>
        <v>0</v>
      </c>
      <c r="T329" s="220">
        <f>IF(T$2&lt;=analysis_period,IF(SUM($C651:T651)&gt;0,S329+1,0),0)</f>
        <v>0</v>
      </c>
      <c r="U329" s="220">
        <f>IF(U$2&lt;=analysis_period,IF(SUM($C651:U651)&gt;0,T329+1,0),0)</f>
        <v>0</v>
      </c>
      <c r="V329" s="220">
        <f>IF(V$2&lt;=analysis_period,IF(SUM($C651:V651)&gt;0,U329+1,0),0)</f>
        <v>0</v>
      </c>
      <c r="W329" s="220">
        <f>IF(W$2&lt;=analysis_period,IF(SUM($C651:W651)&gt;0,V329+1,0),0)</f>
        <v>0</v>
      </c>
      <c r="X329" s="220">
        <f>IF(X$2&lt;=analysis_period,IF(SUM($C651:X651)&gt;0,W329+1,0),0)</f>
        <v>0</v>
      </c>
      <c r="Y329" s="220">
        <f>IF(Y$2&lt;=analysis_period,IF(SUM($C651:Y651)&gt;0,X329+1,0),0)</f>
        <v>0</v>
      </c>
      <c r="Z329" s="220">
        <f>IF(Z$2&lt;=analysis_period,IF(SUM($C651:Z651)&gt;0,Y329+1,0),0)</f>
        <v>0</v>
      </c>
      <c r="AA329" s="220">
        <f>IF(AA$2&lt;=analysis_period,IF(SUM($C651:AA651)&gt;0,Z329+1,0),0)</f>
        <v>0</v>
      </c>
      <c r="AB329" s="220">
        <f>IF(AB$2&lt;=analysis_period,IF(SUM($C651:AB651)&gt;0,AA329+1,0),0)</f>
        <v>0</v>
      </c>
      <c r="AC329" s="220">
        <f>IF(AC$2&lt;=analysis_period,IF(SUM($C651:AC651)&gt;0,AB329+1,0),0)</f>
        <v>0</v>
      </c>
      <c r="AD329" s="220">
        <f>IF(AD$2&lt;=analysis_period,IF(SUM($C651:AD651)&gt;0,AC329+1,0),0)</f>
        <v>0</v>
      </c>
      <c r="AE329" s="220">
        <f>IF(AE$2&lt;=analysis_period,IF(SUM($C651:AE651)&gt;0,AD329+1,0),0)</f>
        <v>0</v>
      </c>
      <c r="AF329" s="220">
        <f>IF(AF$2&lt;=analysis_period,IF(SUM($C651:AF651)&gt;0,AE329+1,0),0)</f>
        <v>0</v>
      </c>
      <c r="AG329" s="220">
        <f>IF(AG$2&lt;=analysis_period,IF(SUM($C651:AG651)&gt;0,AF329+1,0),0)</f>
        <v>0</v>
      </c>
      <c r="AH329" s="220">
        <f>IF(AH$2&lt;=analysis_period,IF(SUM($C651:AH651)&gt;0,AG329+1,0),0)</f>
        <v>0</v>
      </c>
      <c r="AI329" s="220">
        <f>IF(AI$2&lt;=analysis_period,IF(SUM($C651:AI651)&gt;0,AH329+1,0),0)</f>
        <v>0</v>
      </c>
      <c r="AJ329" s="220">
        <f>IF(AJ$2&lt;=analysis_period,IF(SUM($C651:AJ651)&gt;0,AI329+1,0),0)</f>
        <v>0</v>
      </c>
      <c r="AK329" s="220">
        <f>IF(AK$2&lt;=analysis_period,IF(SUM($C651:AK651)&gt;0,AJ329+1,0),0)</f>
        <v>0</v>
      </c>
      <c r="AL329" s="220">
        <f>IF(AL$2&lt;=analysis_period,IF(SUM($C651:AL651)&gt;0,AK329+1,0),0)</f>
        <v>0</v>
      </c>
      <c r="AM329" s="220">
        <f>IF(AM$2&lt;=analysis_period,IF(SUM($C651:AM651)&gt;0,AL329+1,0),0)</f>
        <v>0</v>
      </c>
      <c r="AN329" s="220">
        <f>IF(AN$2&lt;=analysis_period,IF(SUM($C651:AN651)&gt;0,AM329+1,0),0)</f>
        <v>0</v>
      </c>
      <c r="AO329" s="220">
        <f>IF(AO$2&lt;=analysis_period,IF(SUM($C651:AO651)&gt;0,AN329+1,0),0)</f>
        <v>0</v>
      </c>
      <c r="AP329" s="220">
        <f>IF(AP$2&lt;=analysis_period,IF(SUM($C651:AP651)&gt;0,AO329+1,0),0)</f>
        <v>0</v>
      </c>
    </row>
    <row r="330" spans="1:42" x14ac:dyDescent="0.2">
      <c r="A330" s="33"/>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row>
    <row r="331" spans="1:42" x14ac:dyDescent="0.2">
      <c r="A331" s="33" t="s">
        <v>95</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row>
    <row r="332" spans="1:42" x14ac:dyDescent="0.2">
      <c r="A332" s="17">
        <v>1</v>
      </c>
      <c r="B332" s="240">
        <f t="shared" ref="B332:B341" si="149">SUM(C332:AP332)</f>
        <v>0</v>
      </c>
      <c r="C332" s="242">
        <f t="shared" ref="C332:AP332" si="150">LOOKUP(C320,$B$264:$AP$264,$B$265:$AP$265)/100*$B642</f>
        <v>0</v>
      </c>
      <c r="D332" s="242">
        <f t="shared" si="150"/>
        <v>0</v>
      </c>
      <c r="E332" s="242">
        <f t="shared" si="150"/>
        <v>0</v>
      </c>
      <c r="F332" s="242">
        <f t="shared" si="150"/>
        <v>0</v>
      </c>
      <c r="G332" s="242">
        <f t="shared" si="150"/>
        <v>0</v>
      </c>
      <c r="H332" s="242">
        <f t="shared" si="150"/>
        <v>0</v>
      </c>
      <c r="I332" s="242">
        <f t="shared" si="150"/>
        <v>0</v>
      </c>
      <c r="J332" s="242">
        <f t="shared" si="150"/>
        <v>0</v>
      </c>
      <c r="K332" s="242">
        <f t="shared" si="150"/>
        <v>0</v>
      </c>
      <c r="L332" s="242">
        <f t="shared" si="150"/>
        <v>0</v>
      </c>
      <c r="M332" s="242">
        <f t="shared" si="150"/>
        <v>0</v>
      </c>
      <c r="N332" s="242">
        <f t="shared" si="150"/>
        <v>0</v>
      </c>
      <c r="O332" s="242">
        <f t="shared" si="150"/>
        <v>0</v>
      </c>
      <c r="P332" s="242">
        <f t="shared" si="150"/>
        <v>0</v>
      </c>
      <c r="Q332" s="242">
        <f t="shared" si="150"/>
        <v>0</v>
      </c>
      <c r="R332" s="242">
        <f t="shared" si="150"/>
        <v>0</v>
      </c>
      <c r="S332" s="242">
        <f t="shared" si="150"/>
        <v>0</v>
      </c>
      <c r="T332" s="242">
        <f t="shared" si="150"/>
        <v>0</v>
      </c>
      <c r="U332" s="242">
        <f t="shared" si="150"/>
        <v>0</v>
      </c>
      <c r="V332" s="242">
        <f t="shared" si="150"/>
        <v>0</v>
      </c>
      <c r="W332" s="242">
        <f t="shared" si="150"/>
        <v>0</v>
      </c>
      <c r="X332" s="242">
        <f t="shared" si="150"/>
        <v>0</v>
      </c>
      <c r="Y332" s="242">
        <f t="shared" si="150"/>
        <v>0</v>
      </c>
      <c r="Z332" s="242">
        <f t="shared" si="150"/>
        <v>0</v>
      </c>
      <c r="AA332" s="242">
        <f t="shared" si="150"/>
        <v>0</v>
      </c>
      <c r="AB332" s="242">
        <f t="shared" si="150"/>
        <v>0</v>
      </c>
      <c r="AC332" s="242">
        <f t="shared" si="150"/>
        <v>0</v>
      </c>
      <c r="AD332" s="242">
        <f t="shared" si="150"/>
        <v>0</v>
      </c>
      <c r="AE332" s="242">
        <f t="shared" si="150"/>
        <v>0</v>
      </c>
      <c r="AF332" s="242">
        <f t="shared" si="150"/>
        <v>0</v>
      </c>
      <c r="AG332" s="242">
        <f t="shared" si="150"/>
        <v>0</v>
      </c>
      <c r="AH332" s="242">
        <f t="shared" si="150"/>
        <v>0</v>
      </c>
      <c r="AI332" s="242">
        <f t="shared" si="150"/>
        <v>0</v>
      </c>
      <c r="AJ332" s="242">
        <f t="shared" si="150"/>
        <v>0</v>
      </c>
      <c r="AK332" s="242">
        <f t="shared" si="150"/>
        <v>0</v>
      </c>
      <c r="AL332" s="242">
        <f t="shared" si="150"/>
        <v>0</v>
      </c>
      <c r="AM332" s="242">
        <f t="shared" si="150"/>
        <v>0</v>
      </c>
      <c r="AN332" s="242">
        <f t="shared" si="150"/>
        <v>0</v>
      </c>
      <c r="AO332" s="242">
        <f t="shared" si="150"/>
        <v>0</v>
      </c>
      <c r="AP332" s="242">
        <f t="shared" si="150"/>
        <v>0</v>
      </c>
    </row>
    <row r="333" spans="1:42" x14ac:dyDescent="0.2">
      <c r="A333" s="17">
        <f>A332+1</f>
        <v>2</v>
      </c>
      <c r="B333" s="240">
        <f t="shared" si="149"/>
        <v>0</v>
      </c>
      <c r="C333" s="242">
        <f t="shared" ref="C333:AP333" si="151">LOOKUP(C321,$B$264:$AP$264,$B$265:$AP$265)/100*$B643</f>
        <v>0</v>
      </c>
      <c r="D333" s="242">
        <f t="shared" si="151"/>
        <v>0</v>
      </c>
      <c r="E333" s="242">
        <f t="shared" si="151"/>
        <v>0</v>
      </c>
      <c r="F333" s="242">
        <f t="shared" si="151"/>
        <v>0</v>
      </c>
      <c r="G333" s="242">
        <f t="shared" si="151"/>
        <v>0</v>
      </c>
      <c r="H333" s="242">
        <f t="shared" si="151"/>
        <v>0</v>
      </c>
      <c r="I333" s="242">
        <f t="shared" si="151"/>
        <v>0</v>
      </c>
      <c r="J333" s="242">
        <f t="shared" si="151"/>
        <v>0</v>
      </c>
      <c r="K333" s="242">
        <f t="shared" si="151"/>
        <v>0</v>
      </c>
      <c r="L333" s="242">
        <f t="shared" si="151"/>
        <v>0</v>
      </c>
      <c r="M333" s="242">
        <f t="shared" si="151"/>
        <v>0</v>
      </c>
      <c r="N333" s="242">
        <f t="shared" si="151"/>
        <v>0</v>
      </c>
      <c r="O333" s="242">
        <f t="shared" si="151"/>
        <v>0</v>
      </c>
      <c r="P333" s="242">
        <f t="shared" si="151"/>
        <v>0</v>
      </c>
      <c r="Q333" s="242">
        <f t="shared" si="151"/>
        <v>0</v>
      </c>
      <c r="R333" s="242">
        <f t="shared" si="151"/>
        <v>0</v>
      </c>
      <c r="S333" s="242">
        <f t="shared" si="151"/>
        <v>0</v>
      </c>
      <c r="T333" s="242">
        <f t="shared" si="151"/>
        <v>0</v>
      </c>
      <c r="U333" s="242">
        <f t="shared" si="151"/>
        <v>0</v>
      </c>
      <c r="V333" s="242">
        <f t="shared" si="151"/>
        <v>0</v>
      </c>
      <c r="W333" s="242">
        <f t="shared" si="151"/>
        <v>0</v>
      </c>
      <c r="X333" s="242">
        <f t="shared" si="151"/>
        <v>0</v>
      </c>
      <c r="Y333" s="242">
        <f t="shared" si="151"/>
        <v>0</v>
      </c>
      <c r="Z333" s="242">
        <f t="shared" si="151"/>
        <v>0</v>
      </c>
      <c r="AA333" s="242">
        <f t="shared" si="151"/>
        <v>0</v>
      </c>
      <c r="AB333" s="242">
        <f t="shared" si="151"/>
        <v>0</v>
      </c>
      <c r="AC333" s="242">
        <f t="shared" si="151"/>
        <v>0</v>
      </c>
      <c r="AD333" s="242">
        <f t="shared" si="151"/>
        <v>0</v>
      </c>
      <c r="AE333" s="242">
        <f t="shared" si="151"/>
        <v>0</v>
      </c>
      <c r="AF333" s="242">
        <f t="shared" si="151"/>
        <v>0</v>
      </c>
      <c r="AG333" s="242">
        <f t="shared" si="151"/>
        <v>0</v>
      </c>
      <c r="AH333" s="242">
        <f t="shared" si="151"/>
        <v>0</v>
      </c>
      <c r="AI333" s="242">
        <f t="shared" si="151"/>
        <v>0</v>
      </c>
      <c r="AJ333" s="242">
        <f t="shared" si="151"/>
        <v>0</v>
      </c>
      <c r="AK333" s="242">
        <f t="shared" si="151"/>
        <v>0</v>
      </c>
      <c r="AL333" s="242">
        <f t="shared" si="151"/>
        <v>0</v>
      </c>
      <c r="AM333" s="242">
        <f t="shared" si="151"/>
        <v>0</v>
      </c>
      <c r="AN333" s="242">
        <f t="shared" si="151"/>
        <v>0</v>
      </c>
      <c r="AO333" s="242">
        <f t="shared" si="151"/>
        <v>0</v>
      </c>
      <c r="AP333" s="242">
        <f t="shared" si="151"/>
        <v>0</v>
      </c>
    </row>
    <row r="334" spans="1:42" x14ac:dyDescent="0.2">
      <c r="A334" s="17">
        <f t="shared" ref="A334:A341" si="152">A333+1</f>
        <v>3</v>
      </c>
      <c r="B334" s="240">
        <f t="shared" si="149"/>
        <v>0</v>
      </c>
      <c r="C334" s="242">
        <f t="shared" ref="C334:AP334" si="153">LOOKUP(C322,$B$264:$AP$264,$B$265:$AP$265)/100*$B644</f>
        <v>0</v>
      </c>
      <c r="D334" s="242">
        <f t="shared" si="153"/>
        <v>0</v>
      </c>
      <c r="E334" s="242">
        <f t="shared" si="153"/>
        <v>0</v>
      </c>
      <c r="F334" s="242">
        <f t="shared" si="153"/>
        <v>0</v>
      </c>
      <c r="G334" s="242">
        <f t="shared" si="153"/>
        <v>0</v>
      </c>
      <c r="H334" s="242">
        <f t="shared" si="153"/>
        <v>0</v>
      </c>
      <c r="I334" s="242">
        <f t="shared" si="153"/>
        <v>0</v>
      </c>
      <c r="J334" s="242">
        <f t="shared" si="153"/>
        <v>0</v>
      </c>
      <c r="K334" s="242">
        <f t="shared" si="153"/>
        <v>0</v>
      </c>
      <c r="L334" s="242">
        <f t="shared" si="153"/>
        <v>0</v>
      </c>
      <c r="M334" s="242">
        <f t="shared" si="153"/>
        <v>0</v>
      </c>
      <c r="N334" s="242">
        <f t="shared" si="153"/>
        <v>0</v>
      </c>
      <c r="O334" s="242">
        <f t="shared" si="153"/>
        <v>0</v>
      </c>
      <c r="P334" s="242">
        <f t="shared" si="153"/>
        <v>0</v>
      </c>
      <c r="Q334" s="242">
        <f t="shared" si="153"/>
        <v>0</v>
      </c>
      <c r="R334" s="242">
        <f t="shared" si="153"/>
        <v>0</v>
      </c>
      <c r="S334" s="242">
        <f t="shared" si="153"/>
        <v>0</v>
      </c>
      <c r="T334" s="242">
        <f t="shared" si="153"/>
        <v>0</v>
      </c>
      <c r="U334" s="242">
        <f t="shared" si="153"/>
        <v>0</v>
      </c>
      <c r="V334" s="242">
        <f t="shared" si="153"/>
        <v>0</v>
      </c>
      <c r="W334" s="242">
        <f t="shared" si="153"/>
        <v>0</v>
      </c>
      <c r="X334" s="242">
        <f t="shared" si="153"/>
        <v>0</v>
      </c>
      <c r="Y334" s="242">
        <f t="shared" si="153"/>
        <v>0</v>
      </c>
      <c r="Z334" s="242">
        <f t="shared" si="153"/>
        <v>0</v>
      </c>
      <c r="AA334" s="242">
        <f t="shared" si="153"/>
        <v>0</v>
      </c>
      <c r="AB334" s="242">
        <f t="shared" si="153"/>
        <v>0</v>
      </c>
      <c r="AC334" s="242">
        <f t="shared" si="153"/>
        <v>0</v>
      </c>
      <c r="AD334" s="242">
        <f t="shared" si="153"/>
        <v>0</v>
      </c>
      <c r="AE334" s="242">
        <f t="shared" si="153"/>
        <v>0</v>
      </c>
      <c r="AF334" s="242">
        <f t="shared" si="153"/>
        <v>0</v>
      </c>
      <c r="AG334" s="242">
        <f t="shared" si="153"/>
        <v>0</v>
      </c>
      <c r="AH334" s="242">
        <f t="shared" si="153"/>
        <v>0</v>
      </c>
      <c r="AI334" s="242">
        <f t="shared" si="153"/>
        <v>0</v>
      </c>
      <c r="AJ334" s="242">
        <f t="shared" si="153"/>
        <v>0</v>
      </c>
      <c r="AK334" s="242">
        <f t="shared" si="153"/>
        <v>0</v>
      </c>
      <c r="AL334" s="242">
        <f t="shared" si="153"/>
        <v>0</v>
      </c>
      <c r="AM334" s="242">
        <f t="shared" si="153"/>
        <v>0</v>
      </c>
      <c r="AN334" s="242">
        <f t="shared" si="153"/>
        <v>0</v>
      </c>
      <c r="AO334" s="242">
        <f t="shared" si="153"/>
        <v>0</v>
      </c>
      <c r="AP334" s="242">
        <f t="shared" si="153"/>
        <v>0</v>
      </c>
    </row>
    <row r="335" spans="1:42" x14ac:dyDescent="0.2">
      <c r="A335" s="17">
        <f t="shared" si="152"/>
        <v>4</v>
      </c>
      <c r="B335" s="240">
        <f t="shared" si="149"/>
        <v>0</v>
      </c>
      <c r="C335" s="242">
        <f t="shared" ref="C335:AP335" si="154">LOOKUP(C323,$B$264:$AP$264,$B$265:$AP$265)/100*$B645</f>
        <v>0</v>
      </c>
      <c r="D335" s="242">
        <f t="shared" si="154"/>
        <v>0</v>
      </c>
      <c r="E335" s="242">
        <f t="shared" si="154"/>
        <v>0</v>
      </c>
      <c r="F335" s="242">
        <f t="shared" si="154"/>
        <v>0</v>
      </c>
      <c r="G335" s="242">
        <f t="shared" si="154"/>
        <v>0</v>
      </c>
      <c r="H335" s="242">
        <f t="shared" si="154"/>
        <v>0</v>
      </c>
      <c r="I335" s="242">
        <f t="shared" si="154"/>
        <v>0</v>
      </c>
      <c r="J335" s="242">
        <f t="shared" si="154"/>
        <v>0</v>
      </c>
      <c r="K335" s="242">
        <f t="shared" si="154"/>
        <v>0</v>
      </c>
      <c r="L335" s="242">
        <f t="shared" si="154"/>
        <v>0</v>
      </c>
      <c r="M335" s="242">
        <f t="shared" si="154"/>
        <v>0</v>
      </c>
      <c r="N335" s="242">
        <f t="shared" si="154"/>
        <v>0</v>
      </c>
      <c r="O335" s="242">
        <f t="shared" si="154"/>
        <v>0</v>
      </c>
      <c r="P335" s="242">
        <f t="shared" si="154"/>
        <v>0</v>
      </c>
      <c r="Q335" s="242">
        <f t="shared" si="154"/>
        <v>0</v>
      </c>
      <c r="R335" s="242">
        <f t="shared" si="154"/>
        <v>0</v>
      </c>
      <c r="S335" s="242">
        <f t="shared" si="154"/>
        <v>0</v>
      </c>
      <c r="T335" s="242">
        <f t="shared" si="154"/>
        <v>0</v>
      </c>
      <c r="U335" s="242">
        <f t="shared" si="154"/>
        <v>0</v>
      </c>
      <c r="V335" s="242">
        <f t="shared" si="154"/>
        <v>0</v>
      </c>
      <c r="W335" s="242">
        <f t="shared" si="154"/>
        <v>0</v>
      </c>
      <c r="X335" s="242">
        <f t="shared" si="154"/>
        <v>0</v>
      </c>
      <c r="Y335" s="242">
        <f t="shared" si="154"/>
        <v>0</v>
      </c>
      <c r="Z335" s="242">
        <f t="shared" si="154"/>
        <v>0</v>
      </c>
      <c r="AA335" s="242">
        <f t="shared" si="154"/>
        <v>0</v>
      </c>
      <c r="AB335" s="242">
        <f t="shared" si="154"/>
        <v>0</v>
      </c>
      <c r="AC335" s="242">
        <f t="shared" si="154"/>
        <v>0</v>
      </c>
      <c r="AD335" s="242">
        <f t="shared" si="154"/>
        <v>0</v>
      </c>
      <c r="AE335" s="242">
        <f t="shared" si="154"/>
        <v>0</v>
      </c>
      <c r="AF335" s="242">
        <f t="shared" si="154"/>
        <v>0</v>
      </c>
      <c r="AG335" s="242">
        <f t="shared" si="154"/>
        <v>0</v>
      </c>
      <c r="AH335" s="242">
        <f t="shared" si="154"/>
        <v>0</v>
      </c>
      <c r="AI335" s="242">
        <f t="shared" si="154"/>
        <v>0</v>
      </c>
      <c r="AJ335" s="242">
        <f t="shared" si="154"/>
        <v>0</v>
      </c>
      <c r="AK335" s="242">
        <f t="shared" si="154"/>
        <v>0</v>
      </c>
      <c r="AL335" s="242">
        <f t="shared" si="154"/>
        <v>0</v>
      </c>
      <c r="AM335" s="242">
        <f t="shared" si="154"/>
        <v>0</v>
      </c>
      <c r="AN335" s="242">
        <f t="shared" si="154"/>
        <v>0</v>
      </c>
      <c r="AO335" s="242">
        <f t="shared" si="154"/>
        <v>0</v>
      </c>
      <c r="AP335" s="242">
        <f t="shared" si="154"/>
        <v>0</v>
      </c>
    </row>
    <row r="336" spans="1:42" x14ac:dyDescent="0.2">
      <c r="A336" s="17">
        <f t="shared" si="152"/>
        <v>5</v>
      </c>
      <c r="B336" s="240">
        <f t="shared" si="149"/>
        <v>0</v>
      </c>
      <c r="C336" s="242">
        <f t="shared" ref="C336:AP336" si="155">LOOKUP(C324,$B$264:$AP$264,$B$265:$AP$265)/100*$B646</f>
        <v>0</v>
      </c>
      <c r="D336" s="242">
        <f t="shared" si="155"/>
        <v>0</v>
      </c>
      <c r="E336" s="242">
        <f t="shared" si="155"/>
        <v>0</v>
      </c>
      <c r="F336" s="242">
        <f t="shared" si="155"/>
        <v>0</v>
      </c>
      <c r="G336" s="242">
        <f t="shared" si="155"/>
        <v>0</v>
      </c>
      <c r="H336" s="242">
        <f t="shared" si="155"/>
        <v>0</v>
      </c>
      <c r="I336" s="242">
        <f t="shared" si="155"/>
        <v>0</v>
      </c>
      <c r="J336" s="242">
        <f t="shared" si="155"/>
        <v>0</v>
      </c>
      <c r="K336" s="242">
        <f t="shared" si="155"/>
        <v>0</v>
      </c>
      <c r="L336" s="242">
        <f t="shared" si="155"/>
        <v>0</v>
      </c>
      <c r="M336" s="242">
        <f t="shared" si="155"/>
        <v>0</v>
      </c>
      <c r="N336" s="242">
        <f t="shared" si="155"/>
        <v>0</v>
      </c>
      <c r="O336" s="242">
        <f t="shared" si="155"/>
        <v>0</v>
      </c>
      <c r="P336" s="242">
        <f t="shared" si="155"/>
        <v>0</v>
      </c>
      <c r="Q336" s="242">
        <f t="shared" si="155"/>
        <v>0</v>
      </c>
      <c r="R336" s="242">
        <f t="shared" si="155"/>
        <v>0</v>
      </c>
      <c r="S336" s="242">
        <f t="shared" si="155"/>
        <v>0</v>
      </c>
      <c r="T336" s="242">
        <f t="shared" si="155"/>
        <v>0</v>
      </c>
      <c r="U336" s="242">
        <f t="shared" si="155"/>
        <v>0</v>
      </c>
      <c r="V336" s="242">
        <f t="shared" si="155"/>
        <v>0</v>
      </c>
      <c r="W336" s="242">
        <f t="shared" si="155"/>
        <v>0</v>
      </c>
      <c r="X336" s="242">
        <f t="shared" si="155"/>
        <v>0</v>
      </c>
      <c r="Y336" s="242">
        <f t="shared" si="155"/>
        <v>0</v>
      </c>
      <c r="Z336" s="242">
        <f t="shared" si="155"/>
        <v>0</v>
      </c>
      <c r="AA336" s="242">
        <f t="shared" si="155"/>
        <v>0</v>
      </c>
      <c r="AB336" s="242">
        <f t="shared" si="155"/>
        <v>0</v>
      </c>
      <c r="AC336" s="242">
        <f t="shared" si="155"/>
        <v>0</v>
      </c>
      <c r="AD336" s="242">
        <f t="shared" si="155"/>
        <v>0</v>
      </c>
      <c r="AE336" s="242">
        <f t="shared" si="155"/>
        <v>0</v>
      </c>
      <c r="AF336" s="242">
        <f t="shared" si="155"/>
        <v>0</v>
      </c>
      <c r="AG336" s="242">
        <f t="shared" si="155"/>
        <v>0</v>
      </c>
      <c r="AH336" s="242">
        <f t="shared" si="155"/>
        <v>0</v>
      </c>
      <c r="AI336" s="242">
        <f t="shared" si="155"/>
        <v>0</v>
      </c>
      <c r="AJ336" s="242">
        <f t="shared" si="155"/>
        <v>0</v>
      </c>
      <c r="AK336" s="242">
        <f t="shared" si="155"/>
        <v>0</v>
      </c>
      <c r="AL336" s="242">
        <f t="shared" si="155"/>
        <v>0</v>
      </c>
      <c r="AM336" s="242">
        <f t="shared" si="155"/>
        <v>0</v>
      </c>
      <c r="AN336" s="242">
        <f t="shared" si="155"/>
        <v>0</v>
      </c>
      <c r="AO336" s="242">
        <f t="shared" si="155"/>
        <v>0</v>
      </c>
      <c r="AP336" s="242">
        <f t="shared" si="155"/>
        <v>0</v>
      </c>
    </row>
    <row r="337" spans="1:42" x14ac:dyDescent="0.2">
      <c r="A337" s="17">
        <f t="shared" si="152"/>
        <v>6</v>
      </c>
      <c r="B337" s="240">
        <f t="shared" si="149"/>
        <v>0</v>
      </c>
      <c r="C337" s="242">
        <f t="shared" ref="C337:AP337" si="156">LOOKUP(C325,$B$264:$AP$264,$B$265:$AP$265)/100*$B647</f>
        <v>0</v>
      </c>
      <c r="D337" s="242">
        <f t="shared" si="156"/>
        <v>0</v>
      </c>
      <c r="E337" s="242">
        <f t="shared" si="156"/>
        <v>0</v>
      </c>
      <c r="F337" s="242">
        <f t="shared" si="156"/>
        <v>0</v>
      </c>
      <c r="G337" s="242">
        <f t="shared" si="156"/>
        <v>0</v>
      </c>
      <c r="H337" s="242">
        <f t="shared" si="156"/>
        <v>0</v>
      </c>
      <c r="I337" s="242">
        <f t="shared" si="156"/>
        <v>0</v>
      </c>
      <c r="J337" s="242">
        <f t="shared" si="156"/>
        <v>0</v>
      </c>
      <c r="K337" s="242">
        <f t="shared" si="156"/>
        <v>0</v>
      </c>
      <c r="L337" s="242">
        <f t="shared" si="156"/>
        <v>0</v>
      </c>
      <c r="M337" s="242">
        <f t="shared" si="156"/>
        <v>0</v>
      </c>
      <c r="N337" s="242">
        <f t="shared" si="156"/>
        <v>0</v>
      </c>
      <c r="O337" s="242">
        <f t="shared" si="156"/>
        <v>0</v>
      </c>
      <c r="P337" s="242">
        <f t="shared" si="156"/>
        <v>0</v>
      </c>
      <c r="Q337" s="242">
        <f t="shared" si="156"/>
        <v>0</v>
      </c>
      <c r="R337" s="242">
        <f t="shared" si="156"/>
        <v>0</v>
      </c>
      <c r="S337" s="242">
        <f t="shared" si="156"/>
        <v>0</v>
      </c>
      <c r="T337" s="242">
        <f t="shared" si="156"/>
        <v>0</v>
      </c>
      <c r="U337" s="242">
        <f t="shared" si="156"/>
        <v>0</v>
      </c>
      <c r="V337" s="242">
        <f t="shared" si="156"/>
        <v>0</v>
      </c>
      <c r="W337" s="242">
        <f t="shared" si="156"/>
        <v>0</v>
      </c>
      <c r="X337" s="242">
        <f t="shared" si="156"/>
        <v>0</v>
      </c>
      <c r="Y337" s="242">
        <f t="shared" si="156"/>
        <v>0</v>
      </c>
      <c r="Z337" s="242">
        <f t="shared" si="156"/>
        <v>0</v>
      </c>
      <c r="AA337" s="242">
        <f t="shared" si="156"/>
        <v>0</v>
      </c>
      <c r="AB337" s="242">
        <f t="shared" si="156"/>
        <v>0</v>
      </c>
      <c r="AC337" s="242">
        <f t="shared" si="156"/>
        <v>0</v>
      </c>
      <c r="AD337" s="242">
        <f t="shared" si="156"/>
        <v>0</v>
      </c>
      <c r="AE337" s="242">
        <f t="shared" si="156"/>
        <v>0</v>
      </c>
      <c r="AF337" s="242">
        <f t="shared" si="156"/>
        <v>0</v>
      </c>
      <c r="AG337" s="242">
        <f t="shared" si="156"/>
        <v>0</v>
      </c>
      <c r="AH337" s="242">
        <f t="shared" si="156"/>
        <v>0</v>
      </c>
      <c r="AI337" s="242">
        <f t="shared" si="156"/>
        <v>0</v>
      </c>
      <c r="AJ337" s="242">
        <f t="shared" si="156"/>
        <v>0</v>
      </c>
      <c r="AK337" s="242">
        <f t="shared" si="156"/>
        <v>0</v>
      </c>
      <c r="AL337" s="242">
        <f t="shared" si="156"/>
        <v>0</v>
      </c>
      <c r="AM337" s="242">
        <f t="shared" si="156"/>
        <v>0</v>
      </c>
      <c r="AN337" s="242">
        <f t="shared" si="156"/>
        <v>0</v>
      </c>
      <c r="AO337" s="242">
        <f t="shared" si="156"/>
        <v>0</v>
      </c>
      <c r="AP337" s="242">
        <f t="shared" si="156"/>
        <v>0</v>
      </c>
    </row>
    <row r="338" spans="1:42" x14ac:dyDescent="0.2">
      <c r="A338" s="17">
        <f t="shared" si="152"/>
        <v>7</v>
      </c>
      <c r="B338" s="240">
        <f t="shared" si="149"/>
        <v>0</v>
      </c>
      <c r="C338" s="242">
        <f t="shared" ref="C338:AP338" si="157">LOOKUP(C326,$B$264:$AP$264,$B$265:$AP$265)/100*$B648</f>
        <v>0</v>
      </c>
      <c r="D338" s="242">
        <f t="shared" si="157"/>
        <v>0</v>
      </c>
      <c r="E338" s="242">
        <f t="shared" si="157"/>
        <v>0</v>
      </c>
      <c r="F338" s="242">
        <f t="shared" si="157"/>
        <v>0</v>
      </c>
      <c r="G338" s="242">
        <f t="shared" si="157"/>
        <v>0</v>
      </c>
      <c r="H338" s="242">
        <f t="shared" si="157"/>
        <v>0</v>
      </c>
      <c r="I338" s="242">
        <f t="shared" si="157"/>
        <v>0</v>
      </c>
      <c r="J338" s="242">
        <f t="shared" si="157"/>
        <v>0</v>
      </c>
      <c r="K338" s="242">
        <f t="shared" si="157"/>
        <v>0</v>
      </c>
      <c r="L338" s="242">
        <f t="shared" si="157"/>
        <v>0</v>
      </c>
      <c r="M338" s="242">
        <f t="shared" si="157"/>
        <v>0</v>
      </c>
      <c r="N338" s="242">
        <f t="shared" si="157"/>
        <v>0</v>
      </c>
      <c r="O338" s="242">
        <f t="shared" si="157"/>
        <v>0</v>
      </c>
      <c r="P338" s="242">
        <f t="shared" si="157"/>
        <v>0</v>
      </c>
      <c r="Q338" s="242">
        <f t="shared" si="157"/>
        <v>0</v>
      </c>
      <c r="R338" s="242">
        <f t="shared" si="157"/>
        <v>0</v>
      </c>
      <c r="S338" s="242">
        <f t="shared" si="157"/>
        <v>0</v>
      </c>
      <c r="T338" s="242">
        <f t="shared" si="157"/>
        <v>0</v>
      </c>
      <c r="U338" s="242">
        <f t="shared" si="157"/>
        <v>0</v>
      </c>
      <c r="V338" s="242">
        <f t="shared" si="157"/>
        <v>0</v>
      </c>
      <c r="W338" s="242">
        <f t="shared" si="157"/>
        <v>0</v>
      </c>
      <c r="X338" s="242">
        <f t="shared" si="157"/>
        <v>0</v>
      </c>
      <c r="Y338" s="242">
        <f t="shared" si="157"/>
        <v>0</v>
      </c>
      <c r="Z338" s="242">
        <f t="shared" si="157"/>
        <v>0</v>
      </c>
      <c r="AA338" s="242">
        <f t="shared" si="157"/>
        <v>0</v>
      </c>
      <c r="AB338" s="242">
        <f t="shared" si="157"/>
        <v>0</v>
      </c>
      <c r="AC338" s="242">
        <f t="shared" si="157"/>
        <v>0</v>
      </c>
      <c r="AD338" s="242">
        <f t="shared" si="157"/>
        <v>0</v>
      </c>
      <c r="AE338" s="242">
        <f t="shared" si="157"/>
        <v>0</v>
      </c>
      <c r="AF338" s="242">
        <f t="shared" si="157"/>
        <v>0</v>
      </c>
      <c r="AG338" s="242">
        <f t="shared" si="157"/>
        <v>0</v>
      </c>
      <c r="AH338" s="242">
        <f t="shared" si="157"/>
        <v>0</v>
      </c>
      <c r="AI338" s="242">
        <f t="shared" si="157"/>
        <v>0</v>
      </c>
      <c r="AJ338" s="242">
        <f t="shared" si="157"/>
        <v>0</v>
      </c>
      <c r="AK338" s="242">
        <f t="shared" si="157"/>
        <v>0</v>
      </c>
      <c r="AL338" s="242">
        <f t="shared" si="157"/>
        <v>0</v>
      </c>
      <c r="AM338" s="242">
        <f t="shared" si="157"/>
        <v>0</v>
      </c>
      <c r="AN338" s="242">
        <f t="shared" si="157"/>
        <v>0</v>
      </c>
      <c r="AO338" s="242">
        <f t="shared" si="157"/>
        <v>0</v>
      </c>
      <c r="AP338" s="242">
        <f t="shared" si="157"/>
        <v>0</v>
      </c>
    </row>
    <row r="339" spans="1:42" x14ac:dyDescent="0.2">
      <c r="A339" s="17">
        <f t="shared" si="152"/>
        <v>8</v>
      </c>
      <c r="B339" s="240">
        <f t="shared" si="149"/>
        <v>0</v>
      </c>
      <c r="C339" s="242">
        <f t="shared" ref="C339:AP339" si="158">LOOKUP(C327,$B$264:$AP$264,$B$265:$AP$265)/100*$B649</f>
        <v>0</v>
      </c>
      <c r="D339" s="242">
        <f t="shared" si="158"/>
        <v>0</v>
      </c>
      <c r="E339" s="242">
        <f t="shared" si="158"/>
        <v>0</v>
      </c>
      <c r="F339" s="242">
        <f t="shared" si="158"/>
        <v>0</v>
      </c>
      <c r="G339" s="242">
        <f t="shared" si="158"/>
        <v>0</v>
      </c>
      <c r="H339" s="242">
        <f t="shared" si="158"/>
        <v>0</v>
      </c>
      <c r="I339" s="242">
        <f t="shared" si="158"/>
        <v>0</v>
      </c>
      <c r="J339" s="242">
        <f t="shared" si="158"/>
        <v>0</v>
      </c>
      <c r="K339" s="242">
        <f t="shared" si="158"/>
        <v>0</v>
      </c>
      <c r="L339" s="242">
        <f t="shared" si="158"/>
        <v>0</v>
      </c>
      <c r="M339" s="242">
        <f t="shared" si="158"/>
        <v>0</v>
      </c>
      <c r="N339" s="242">
        <f t="shared" si="158"/>
        <v>0</v>
      </c>
      <c r="O339" s="242">
        <f t="shared" si="158"/>
        <v>0</v>
      </c>
      <c r="P339" s="242">
        <f t="shared" si="158"/>
        <v>0</v>
      </c>
      <c r="Q339" s="242">
        <f t="shared" si="158"/>
        <v>0</v>
      </c>
      <c r="R339" s="242">
        <f t="shared" si="158"/>
        <v>0</v>
      </c>
      <c r="S339" s="242">
        <f t="shared" si="158"/>
        <v>0</v>
      </c>
      <c r="T339" s="242">
        <f t="shared" si="158"/>
        <v>0</v>
      </c>
      <c r="U339" s="242">
        <f t="shared" si="158"/>
        <v>0</v>
      </c>
      <c r="V339" s="242">
        <f t="shared" si="158"/>
        <v>0</v>
      </c>
      <c r="W339" s="242">
        <f t="shared" si="158"/>
        <v>0</v>
      </c>
      <c r="X339" s="242">
        <f t="shared" si="158"/>
        <v>0</v>
      </c>
      <c r="Y339" s="242">
        <f t="shared" si="158"/>
        <v>0</v>
      </c>
      <c r="Z339" s="242">
        <f t="shared" si="158"/>
        <v>0</v>
      </c>
      <c r="AA339" s="242">
        <f t="shared" si="158"/>
        <v>0</v>
      </c>
      <c r="AB339" s="242">
        <f t="shared" si="158"/>
        <v>0</v>
      </c>
      <c r="AC339" s="242">
        <f t="shared" si="158"/>
        <v>0</v>
      </c>
      <c r="AD339" s="242">
        <f t="shared" si="158"/>
        <v>0</v>
      </c>
      <c r="AE339" s="242">
        <f t="shared" si="158"/>
        <v>0</v>
      </c>
      <c r="AF339" s="242">
        <f t="shared" si="158"/>
        <v>0</v>
      </c>
      <c r="AG339" s="242">
        <f t="shared" si="158"/>
        <v>0</v>
      </c>
      <c r="AH339" s="242">
        <f t="shared" si="158"/>
        <v>0</v>
      </c>
      <c r="AI339" s="242">
        <f t="shared" si="158"/>
        <v>0</v>
      </c>
      <c r="AJ339" s="242">
        <f t="shared" si="158"/>
        <v>0</v>
      </c>
      <c r="AK339" s="242">
        <f t="shared" si="158"/>
        <v>0</v>
      </c>
      <c r="AL339" s="242">
        <f t="shared" si="158"/>
        <v>0</v>
      </c>
      <c r="AM339" s="242">
        <f t="shared" si="158"/>
        <v>0</v>
      </c>
      <c r="AN339" s="242">
        <f t="shared" si="158"/>
        <v>0</v>
      </c>
      <c r="AO339" s="242">
        <f t="shared" si="158"/>
        <v>0</v>
      </c>
      <c r="AP339" s="242">
        <f t="shared" si="158"/>
        <v>0</v>
      </c>
    </row>
    <row r="340" spans="1:42" x14ac:dyDescent="0.2">
      <c r="A340" s="17">
        <f>A339+1</f>
        <v>9</v>
      </c>
      <c r="B340" s="240">
        <f t="shared" si="149"/>
        <v>0</v>
      </c>
      <c r="C340" s="242">
        <f t="shared" ref="C340:AP340" si="159">LOOKUP(C328,$B$264:$AP$264,$B$265:$AP$265)/100*$B650</f>
        <v>0</v>
      </c>
      <c r="D340" s="242">
        <f t="shared" si="159"/>
        <v>0</v>
      </c>
      <c r="E340" s="242">
        <f t="shared" si="159"/>
        <v>0</v>
      </c>
      <c r="F340" s="242">
        <f t="shared" si="159"/>
        <v>0</v>
      </c>
      <c r="G340" s="242">
        <f t="shared" si="159"/>
        <v>0</v>
      </c>
      <c r="H340" s="242">
        <f t="shared" si="159"/>
        <v>0</v>
      </c>
      <c r="I340" s="242">
        <f t="shared" si="159"/>
        <v>0</v>
      </c>
      <c r="J340" s="242">
        <f t="shared" si="159"/>
        <v>0</v>
      </c>
      <c r="K340" s="242">
        <f t="shared" si="159"/>
        <v>0</v>
      </c>
      <c r="L340" s="242">
        <f t="shared" si="159"/>
        <v>0</v>
      </c>
      <c r="M340" s="242">
        <f t="shared" si="159"/>
        <v>0</v>
      </c>
      <c r="N340" s="242">
        <f t="shared" si="159"/>
        <v>0</v>
      </c>
      <c r="O340" s="242">
        <f t="shared" si="159"/>
        <v>0</v>
      </c>
      <c r="P340" s="242">
        <f t="shared" si="159"/>
        <v>0</v>
      </c>
      <c r="Q340" s="242">
        <f t="shared" si="159"/>
        <v>0</v>
      </c>
      <c r="R340" s="242">
        <f t="shared" si="159"/>
        <v>0</v>
      </c>
      <c r="S340" s="242">
        <f t="shared" si="159"/>
        <v>0</v>
      </c>
      <c r="T340" s="242">
        <f t="shared" si="159"/>
        <v>0</v>
      </c>
      <c r="U340" s="242">
        <f t="shared" si="159"/>
        <v>0</v>
      </c>
      <c r="V340" s="242">
        <f t="shared" si="159"/>
        <v>0</v>
      </c>
      <c r="W340" s="242">
        <f t="shared" si="159"/>
        <v>0</v>
      </c>
      <c r="X340" s="242">
        <f t="shared" si="159"/>
        <v>0</v>
      </c>
      <c r="Y340" s="242">
        <f t="shared" si="159"/>
        <v>0</v>
      </c>
      <c r="Z340" s="242">
        <f t="shared" si="159"/>
        <v>0</v>
      </c>
      <c r="AA340" s="242">
        <f t="shared" si="159"/>
        <v>0</v>
      </c>
      <c r="AB340" s="242">
        <f t="shared" si="159"/>
        <v>0</v>
      </c>
      <c r="AC340" s="242">
        <f t="shared" si="159"/>
        <v>0</v>
      </c>
      <c r="AD340" s="242">
        <f t="shared" si="159"/>
        <v>0</v>
      </c>
      <c r="AE340" s="242">
        <f t="shared" si="159"/>
        <v>0</v>
      </c>
      <c r="AF340" s="242">
        <f t="shared" si="159"/>
        <v>0</v>
      </c>
      <c r="AG340" s="242">
        <f t="shared" si="159"/>
        <v>0</v>
      </c>
      <c r="AH340" s="242">
        <f t="shared" si="159"/>
        <v>0</v>
      </c>
      <c r="AI340" s="242">
        <f t="shared" si="159"/>
        <v>0</v>
      </c>
      <c r="AJ340" s="242">
        <f t="shared" si="159"/>
        <v>0</v>
      </c>
      <c r="AK340" s="242">
        <f t="shared" si="159"/>
        <v>0</v>
      </c>
      <c r="AL340" s="242">
        <f t="shared" si="159"/>
        <v>0</v>
      </c>
      <c r="AM340" s="242">
        <f t="shared" si="159"/>
        <v>0</v>
      </c>
      <c r="AN340" s="242">
        <f t="shared" si="159"/>
        <v>0</v>
      </c>
      <c r="AO340" s="242">
        <f t="shared" si="159"/>
        <v>0</v>
      </c>
      <c r="AP340" s="242">
        <f t="shared" si="159"/>
        <v>0</v>
      </c>
    </row>
    <row r="341" spans="1:42" x14ac:dyDescent="0.2">
      <c r="A341" s="17">
        <f t="shared" si="152"/>
        <v>10</v>
      </c>
      <c r="B341" s="240">
        <f t="shared" si="149"/>
        <v>0</v>
      </c>
      <c r="C341" s="242">
        <f t="shared" ref="C341:AP341" si="160">LOOKUP(C329,$B$264:$AP$264,$B$265:$AP$265)/100*$B651</f>
        <v>0</v>
      </c>
      <c r="D341" s="242">
        <f t="shared" si="160"/>
        <v>0</v>
      </c>
      <c r="E341" s="242">
        <f t="shared" si="160"/>
        <v>0</v>
      </c>
      <c r="F341" s="242">
        <f t="shared" si="160"/>
        <v>0</v>
      </c>
      <c r="G341" s="242">
        <f t="shared" si="160"/>
        <v>0</v>
      </c>
      <c r="H341" s="242">
        <f t="shared" si="160"/>
        <v>0</v>
      </c>
      <c r="I341" s="242">
        <f t="shared" si="160"/>
        <v>0</v>
      </c>
      <c r="J341" s="242">
        <f t="shared" si="160"/>
        <v>0</v>
      </c>
      <c r="K341" s="242">
        <f t="shared" si="160"/>
        <v>0</v>
      </c>
      <c r="L341" s="242">
        <f t="shared" si="160"/>
        <v>0</v>
      </c>
      <c r="M341" s="242">
        <f t="shared" si="160"/>
        <v>0</v>
      </c>
      <c r="N341" s="242">
        <f t="shared" si="160"/>
        <v>0</v>
      </c>
      <c r="O341" s="242">
        <f t="shared" si="160"/>
        <v>0</v>
      </c>
      <c r="P341" s="242">
        <f t="shared" si="160"/>
        <v>0</v>
      </c>
      <c r="Q341" s="242">
        <f t="shared" si="160"/>
        <v>0</v>
      </c>
      <c r="R341" s="242">
        <f t="shared" si="160"/>
        <v>0</v>
      </c>
      <c r="S341" s="242">
        <f t="shared" si="160"/>
        <v>0</v>
      </c>
      <c r="T341" s="242">
        <f t="shared" si="160"/>
        <v>0</v>
      </c>
      <c r="U341" s="242">
        <f t="shared" si="160"/>
        <v>0</v>
      </c>
      <c r="V341" s="242">
        <f t="shared" si="160"/>
        <v>0</v>
      </c>
      <c r="W341" s="242">
        <f t="shared" si="160"/>
        <v>0</v>
      </c>
      <c r="X341" s="242">
        <f t="shared" si="160"/>
        <v>0</v>
      </c>
      <c r="Y341" s="242">
        <f t="shared" si="160"/>
        <v>0</v>
      </c>
      <c r="Z341" s="242">
        <f t="shared" si="160"/>
        <v>0</v>
      </c>
      <c r="AA341" s="242">
        <f t="shared" si="160"/>
        <v>0</v>
      </c>
      <c r="AB341" s="242">
        <f t="shared" si="160"/>
        <v>0</v>
      </c>
      <c r="AC341" s="242">
        <f t="shared" si="160"/>
        <v>0</v>
      </c>
      <c r="AD341" s="242">
        <f t="shared" si="160"/>
        <v>0</v>
      </c>
      <c r="AE341" s="242">
        <f t="shared" si="160"/>
        <v>0</v>
      </c>
      <c r="AF341" s="242">
        <f t="shared" si="160"/>
        <v>0</v>
      </c>
      <c r="AG341" s="242">
        <f t="shared" si="160"/>
        <v>0</v>
      </c>
      <c r="AH341" s="242">
        <f t="shared" si="160"/>
        <v>0</v>
      </c>
      <c r="AI341" s="242">
        <f t="shared" si="160"/>
        <v>0</v>
      </c>
      <c r="AJ341" s="242">
        <f t="shared" si="160"/>
        <v>0</v>
      </c>
      <c r="AK341" s="242">
        <f t="shared" si="160"/>
        <v>0</v>
      </c>
      <c r="AL341" s="242">
        <f t="shared" si="160"/>
        <v>0</v>
      </c>
      <c r="AM341" s="242">
        <f t="shared" si="160"/>
        <v>0</v>
      </c>
      <c r="AN341" s="242">
        <f t="shared" si="160"/>
        <v>0</v>
      </c>
      <c r="AO341" s="242">
        <f t="shared" si="160"/>
        <v>0</v>
      </c>
      <c r="AP341" s="242">
        <f t="shared" si="160"/>
        <v>0</v>
      </c>
    </row>
    <row r="342" spans="1:42" s="17" customFormat="1" ht="12" customHeight="1" x14ac:dyDescent="0.2">
      <c r="A342" s="40" t="s">
        <v>13</v>
      </c>
      <c r="B342" s="20"/>
      <c r="C342" s="221">
        <f>SUM(C332:C341)</f>
        <v>0</v>
      </c>
      <c r="D342" s="221">
        <f t="shared" ref="D342:AP342" si="161">SUM(D332:D341)</f>
        <v>0</v>
      </c>
      <c r="E342" s="221">
        <f t="shared" si="161"/>
        <v>0</v>
      </c>
      <c r="F342" s="221">
        <f t="shared" si="161"/>
        <v>0</v>
      </c>
      <c r="G342" s="221">
        <f t="shared" si="161"/>
        <v>0</v>
      </c>
      <c r="H342" s="221">
        <f t="shared" si="161"/>
        <v>0</v>
      </c>
      <c r="I342" s="221">
        <f t="shared" si="161"/>
        <v>0</v>
      </c>
      <c r="J342" s="221">
        <f t="shared" si="161"/>
        <v>0</v>
      </c>
      <c r="K342" s="221">
        <f t="shared" si="161"/>
        <v>0</v>
      </c>
      <c r="L342" s="221">
        <f t="shared" si="161"/>
        <v>0</v>
      </c>
      <c r="M342" s="221">
        <f t="shared" si="161"/>
        <v>0</v>
      </c>
      <c r="N342" s="221">
        <f t="shared" si="161"/>
        <v>0</v>
      </c>
      <c r="O342" s="221">
        <f t="shared" si="161"/>
        <v>0</v>
      </c>
      <c r="P342" s="221">
        <f t="shared" si="161"/>
        <v>0</v>
      </c>
      <c r="Q342" s="221">
        <f t="shared" si="161"/>
        <v>0</v>
      </c>
      <c r="R342" s="221">
        <f t="shared" si="161"/>
        <v>0</v>
      </c>
      <c r="S342" s="221">
        <f t="shared" si="161"/>
        <v>0</v>
      </c>
      <c r="T342" s="221">
        <f t="shared" si="161"/>
        <v>0</v>
      </c>
      <c r="U342" s="221">
        <f t="shared" si="161"/>
        <v>0</v>
      </c>
      <c r="V342" s="221">
        <f t="shared" si="161"/>
        <v>0</v>
      </c>
      <c r="W342" s="221">
        <f t="shared" si="161"/>
        <v>0</v>
      </c>
      <c r="X342" s="221">
        <f t="shared" si="161"/>
        <v>0</v>
      </c>
      <c r="Y342" s="221">
        <f t="shared" si="161"/>
        <v>0</v>
      </c>
      <c r="Z342" s="221">
        <f t="shared" si="161"/>
        <v>0</v>
      </c>
      <c r="AA342" s="221">
        <f t="shared" si="161"/>
        <v>0</v>
      </c>
      <c r="AB342" s="221">
        <f t="shared" si="161"/>
        <v>0</v>
      </c>
      <c r="AC342" s="221">
        <f t="shared" si="161"/>
        <v>0</v>
      </c>
      <c r="AD342" s="221">
        <f t="shared" si="161"/>
        <v>0</v>
      </c>
      <c r="AE342" s="221">
        <f t="shared" si="161"/>
        <v>0</v>
      </c>
      <c r="AF342" s="221">
        <f t="shared" si="161"/>
        <v>0</v>
      </c>
      <c r="AG342" s="221">
        <f t="shared" si="161"/>
        <v>0</v>
      </c>
      <c r="AH342" s="221">
        <f t="shared" si="161"/>
        <v>0</v>
      </c>
      <c r="AI342" s="221">
        <f t="shared" si="161"/>
        <v>0</v>
      </c>
      <c r="AJ342" s="221">
        <f t="shared" si="161"/>
        <v>0</v>
      </c>
      <c r="AK342" s="221">
        <f t="shared" si="161"/>
        <v>0</v>
      </c>
      <c r="AL342" s="221">
        <f t="shared" si="161"/>
        <v>0</v>
      </c>
      <c r="AM342" s="221">
        <f t="shared" si="161"/>
        <v>0</v>
      </c>
      <c r="AN342" s="221">
        <f t="shared" si="161"/>
        <v>0</v>
      </c>
      <c r="AO342" s="221">
        <f t="shared" si="161"/>
        <v>0</v>
      </c>
      <c r="AP342" s="221">
        <f t="shared" si="161"/>
        <v>0</v>
      </c>
    </row>
    <row r="343" spans="1:42" x14ac:dyDescent="0.2">
      <c r="A343" s="33"/>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row>
    <row r="344" spans="1:42" x14ac:dyDescent="0.2">
      <c r="A344" s="30" t="s">
        <v>123</v>
      </c>
    </row>
    <row r="345" spans="1:42" x14ac:dyDescent="0.2">
      <c r="A345" s="17" t="s">
        <v>25</v>
      </c>
      <c r="G345" s="370" t="s">
        <v>73</v>
      </c>
      <c r="H345" s="371"/>
      <c r="I345" s="371"/>
      <c r="J345" s="372"/>
      <c r="K345" s="373" t="s">
        <v>74</v>
      </c>
      <c r="L345" s="374"/>
    </row>
    <row r="346" spans="1:42" ht="51" x14ac:dyDescent="0.2">
      <c r="A346" s="17"/>
      <c r="B346" s="19" t="s">
        <v>63</v>
      </c>
      <c r="C346" s="19" t="s">
        <v>59</v>
      </c>
      <c r="D346" s="19" t="s">
        <v>61</v>
      </c>
      <c r="E346" s="35" t="s">
        <v>62</v>
      </c>
      <c r="F346" s="19" t="s">
        <v>64</v>
      </c>
      <c r="G346" s="19" t="s">
        <v>68</v>
      </c>
      <c r="H346" s="19" t="s">
        <v>70</v>
      </c>
      <c r="I346" s="68" t="s">
        <v>69</v>
      </c>
      <c r="J346" s="19" t="s">
        <v>71</v>
      </c>
      <c r="K346" s="41" t="s">
        <v>3</v>
      </c>
      <c r="L346" s="189" t="s">
        <v>71</v>
      </c>
      <c r="M346" s="36" t="s">
        <v>75</v>
      </c>
      <c r="N346" s="36" t="s">
        <v>76</v>
      </c>
      <c r="O346" s="19" t="s">
        <v>65</v>
      </c>
      <c r="P346" s="188" t="s">
        <v>104</v>
      </c>
      <c r="Q346" s="19" t="s">
        <v>105</v>
      </c>
    </row>
    <row r="347" spans="1:42" s="17" customFormat="1" x14ac:dyDescent="0.2">
      <c r="A347" s="42" t="str">
        <f t="shared" ref="A347:A352" si="162">A214</f>
        <v>5-yr MACRS</v>
      </c>
      <c r="B347" s="293">
        <f>IF(Inputs!$C$139=0,0,depr_alloc_macrs_5_percent*100/Inputs!$C$139)</f>
        <v>92.783505154639172</v>
      </c>
      <c r="C347" s="168">
        <f>-$B$80*depr_alloc_macrs_5_percent/100</f>
        <v>36020544.713315822</v>
      </c>
      <c r="D347" s="168">
        <f>$B347/100*D$353</f>
        <v>0</v>
      </c>
      <c r="E347" s="168">
        <f>$B347/100*E$353</f>
        <v>0</v>
      </c>
      <c r="F347" s="170">
        <f>C347-D347-E347</f>
        <v>36020544.713315822</v>
      </c>
      <c r="G347" s="171">
        <f>IF(Inputs!F132="Yes",F347,0)</f>
        <v>36020544.713315822</v>
      </c>
      <c r="H347" s="181">
        <f t="shared" ref="H347:H352" si="163">IF($G$353=0,0,G347/$G$353)*100</f>
        <v>100</v>
      </c>
      <c r="I347" s="174">
        <f t="shared" ref="I347:I352" si="164">$I$353*H347/100</f>
        <v>10806163.413994746</v>
      </c>
      <c r="J347" s="175">
        <f>I347*0.5</f>
        <v>5403081.7069973731</v>
      </c>
      <c r="K347" s="170">
        <f t="shared" ref="K347:K352" si="165">H347/100*$K$353</f>
        <v>0</v>
      </c>
      <c r="L347" s="170">
        <f>K347*0.5</f>
        <v>0</v>
      </c>
      <c r="M347" s="168">
        <f>IF(itc_sta_amount_deprbas_fed="Yes",L214,0)+IF(itc_sta_percent_deprbas_fed="Yes",J214,0)</f>
        <v>0</v>
      </c>
      <c r="N347" s="168">
        <f t="shared" ref="N347:N352" si="166">IF(itc_fed_amount_deprbas_fed="Yes",L347,0)+IF(itc_fed_percent_deprbas_fed="Yes",J347,0)</f>
        <v>5403081.7069973731</v>
      </c>
      <c r="O347" s="176">
        <f t="shared" ref="O347:O352" si="167">F347-M347-N347</f>
        <v>30617463.00631845</v>
      </c>
      <c r="P347" s="168">
        <f>IF(depr_bonus_fed_macrs_5="Yes",O347*depr_bonus_fed/100,0)</f>
        <v>0</v>
      </c>
      <c r="Q347" s="170">
        <f>O347-P347</f>
        <v>30617463.00631845</v>
      </c>
    </row>
    <row r="348" spans="1:42" s="17" customFormat="1" x14ac:dyDescent="0.2">
      <c r="A348" s="42" t="str">
        <f t="shared" si="162"/>
        <v>15-yr MACRS</v>
      </c>
      <c r="B348" s="293">
        <f>IF(Inputs!$C$139=0,0,depr_alloc_macrs_15_percent*100/Inputs!$C$139)</f>
        <v>1.5463917525773196</v>
      </c>
      <c r="C348" s="168">
        <f>-$B$80*depr_alloc_macrs_15_percent/100</f>
        <v>600342.41188859707</v>
      </c>
      <c r="D348" s="168">
        <f t="shared" ref="D348:E352" si="168">$B348/100*D$353</f>
        <v>0</v>
      </c>
      <c r="E348" s="168">
        <f t="shared" si="168"/>
        <v>0</v>
      </c>
      <c r="F348" s="170">
        <f t="shared" ref="F348:F352" si="169">C348-D348-E348</f>
        <v>600342.41188859707</v>
      </c>
      <c r="G348" s="172">
        <f>IF(Inputs!F133="Yes",F348,0)</f>
        <v>0</v>
      </c>
      <c r="H348" s="182">
        <f t="shared" si="163"/>
        <v>0</v>
      </c>
      <c r="I348" s="168">
        <f t="shared" si="164"/>
        <v>0</v>
      </c>
      <c r="J348" s="177">
        <f t="shared" ref="J348:J352" si="170">I348*0.5</f>
        <v>0</v>
      </c>
      <c r="K348" s="170">
        <f t="shared" si="165"/>
        <v>0</v>
      </c>
      <c r="L348" s="170">
        <f t="shared" ref="L348:L352" si="171">K348*0.5</f>
        <v>0</v>
      </c>
      <c r="M348" s="168">
        <f t="shared" ref="M348:M352" si="172">IF(itc_sta_amount_deprbas_fed="Yes",L215,0)+IF(itc_sta_percent_deprbas_fed="Yes",J215,0)</f>
        <v>0</v>
      </c>
      <c r="N348" s="168">
        <f t="shared" si="166"/>
        <v>0</v>
      </c>
      <c r="O348" s="170">
        <f t="shared" si="167"/>
        <v>600342.41188859707</v>
      </c>
      <c r="P348" s="168">
        <f>IF(Inputs!D133="Yes",O348*depr_bonus_fed/100,0)</f>
        <v>0</v>
      </c>
      <c r="Q348" s="170">
        <f t="shared" ref="Q348:Q352" si="173">O348-P348</f>
        <v>600342.41188859707</v>
      </c>
    </row>
    <row r="349" spans="1:42" s="17" customFormat="1" x14ac:dyDescent="0.2">
      <c r="A349" s="42" t="str">
        <f t="shared" si="162"/>
        <v>5-yr SL</v>
      </c>
      <c r="B349" s="293">
        <f>IF(Inputs!$C$139=0,0,depr_alloc_sl_5_percent*100/Inputs!$C$139)</f>
        <v>0</v>
      </c>
      <c r="C349" s="168">
        <f>-$B$80*depr_alloc_sl_5_percent/100</f>
        <v>0</v>
      </c>
      <c r="D349" s="168">
        <f t="shared" si="168"/>
        <v>0</v>
      </c>
      <c r="E349" s="168">
        <f t="shared" si="168"/>
        <v>0</v>
      </c>
      <c r="F349" s="170">
        <f t="shared" si="169"/>
        <v>0</v>
      </c>
      <c r="G349" s="172">
        <f>IF(Inputs!F134="Yes",F349,0)</f>
        <v>0</v>
      </c>
      <c r="H349" s="182">
        <f t="shared" si="163"/>
        <v>0</v>
      </c>
      <c r="I349" s="168">
        <f t="shared" si="164"/>
        <v>0</v>
      </c>
      <c r="J349" s="177">
        <f t="shared" si="170"/>
        <v>0</v>
      </c>
      <c r="K349" s="170">
        <f t="shared" si="165"/>
        <v>0</v>
      </c>
      <c r="L349" s="170">
        <f t="shared" si="171"/>
        <v>0</v>
      </c>
      <c r="M349" s="168">
        <f t="shared" si="172"/>
        <v>0</v>
      </c>
      <c r="N349" s="168">
        <f t="shared" si="166"/>
        <v>0</v>
      </c>
      <c r="O349" s="170">
        <f t="shared" si="167"/>
        <v>0</v>
      </c>
      <c r="P349" s="168">
        <f>IF(Inputs!D134="Yes",O349*depr_bonus_fed/100,0)</f>
        <v>0</v>
      </c>
      <c r="Q349" s="170">
        <f t="shared" si="173"/>
        <v>0</v>
      </c>
    </row>
    <row r="350" spans="1:42" s="17" customFormat="1" x14ac:dyDescent="0.2">
      <c r="A350" s="42" t="str">
        <f t="shared" si="162"/>
        <v>15-yr SL</v>
      </c>
      <c r="B350" s="293">
        <f>IF(Inputs!$C$139=0,0,depr_alloc_sl_15_percent*100/Inputs!$C$139)</f>
        <v>2.5773195876288661</v>
      </c>
      <c r="C350" s="168">
        <f>-$B$80*depr_alloc_sl_15_percent/100</f>
        <v>1000570.6864809952</v>
      </c>
      <c r="D350" s="168">
        <f t="shared" si="168"/>
        <v>0</v>
      </c>
      <c r="E350" s="168">
        <f t="shared" si="168"/>
        <v>0</v>
      </c>
      <c r="F350" s="170">
        <f t="shared" si="169"/>
        <v>1000570.6864809952</v>
      </c>
      <c r="G350" s="172">
        <f>IF(Inputs!F135="Yes",F350,0)</f>
        <v>0</v>
      </c>
      <c r="H350" s="182">
        <f t="shared" si="163"/>
        <v>0</v>
      </c>
      <c r="I350" s="168">
        <f t="shared" si="164"/>
        <v>0</v>
      </c>
      <c r="J350" s="177">
        <f t="shared" si="170"/>
        <v>0</v>
      </c>
      <c r="K350" s="170">
        <f t="shared" si="165"/>
        <v>0</v>
      </c>
      <c r="L350" s="170">
        <f t="shared" si="171"/>
        <v>0</v>
      </c>
      <c r="M350" s="168">
        <f t="shared" si="172"/>
        <v>0</v>
      </c>
      <c r="N350" s="168">
        <f t="shared" si="166"/>
        <v>0</v>
      </c>
      <c r="O350" s="170">
        <f t="shared" si="167"/>
        <v>1000570.6864809952</v>
      </c>
      <c r="P350" s="168">
        <f>IF(Inputs!D135="Yes",O350*depr_bonus_fed/100,0)</f>
        <v>0</v>
      </c>
      <c r="Q350" s="170">
        <f t="shared" si="173"/>
        <v>1000570.6864809952</v>
      </c>
    </row>
    <row r="351" spans="1:42" s="17" customFormat="1" x14ac:dyDescent="0.2">
      <c r="A351" s="42" t="str">
        <f t="shared" si="162"/>
        <v>20-yr SL</v>
      </c>
      <c r="B351" s="293">
        <f>IF(Inputs!$C$139=0,0,depr_alloc_sl_20_percent*100/Inputs!$C$139)</f>
        <v>3.0927835051546393</v>
      </c>
      <c r="C351" s="168">
        <f>-$B$80*depr_alloc_sl_20_percent/100</f>
        <v>1200684.8237771941</v>
      </c>
      <c r="D351" s="168">
        <f t="shared" si="168"/>
        <v>0</v>
      </c>
      <c r="E351" s="168">
        <f t="shared" si="168"/>
        <v>0</v>
      </c>
      <c r="F351" s="170">
        <f t="shared" si="169"/>
        <v>1200684.8237771941</v>
      </c>
      <c r="G351" s="172">
        <f>IF(Inputs!F136="Yes",F351,0)</f>
        <v>0</v>
      </c>
      <c r="H351" s="182">
        <f t="shared" si="163"/>
        <v>0</v>
      </c>
      <c r="I351" s="168">
        <f t="shared" si="164"/>
        <v>0</v>
      </c>
      <c r="J351" s="177">
        <f t="shared" si="170"/>
        <v>0</v>
      </c>
      <c r="K351" s="170">
        <f t="shared" si="165"/>
        <v>0</v>
      </c>
      <c r="L351" s="170">
        <f t="shared" si="171"/>
        <v>0</v>
      </c>
      <c r="M351" s="168">
        <f t="shared" si="172"/>
        <v>0</v>
      </c>
      <c r="N351" s="168">
        <f t="shared" si="166"/>
        <v>0</v>
      </c>
      <c r="O351" s="170">
        <f t="shared" si="167"/>
        <v>1200684.8237771941</v>
      </c>
      <c r="P351" s="168">
        <f>IF(Inputs!D136="Yes",O351*depr_bonus_fed/100,0)</f>
        <v>0</v>
      </c>
      <c r="Q351" s="170">
        <f t="shared" si="173"/>
        <v>1200684.8237771941</v>
      </c>
    </row>
    <row r="352" spans="1:42" s="17" customFormat="1" x14ac:dyDescent="0.2">
      <c r="A352" s="42" t="str">
        <f t="shared" si="162"/>
        <v>39-yr SL</v>
      </c>
      <c r="B352" s="294">
        <f>IF(Inputs!$C$139=0,0,depr_alloc_sl_39_percent*100/Inputs!$C$139)</f>
        <v>0</v>
      </c>
      <c r="C352" s="169">
        <f>-$B$80*depr_alloc_sl_39_percent/100</f>
        <v>0</v>
      </c>
      <c r="D352" s="168">
        <f t="shared" si="168"/>
        <v>0</v>
      </c>
      <c r="E352" s="168">
        <f t="shared" si="168"/>
        <v>0</v>
      </c>
      <c r="F352" s="173">
        <f t="shared" si="169"/>
        <v>0</v>
      </c>
      <c r="G352" s="172">
        <f>IF(Inputs!F137="Yes",F352,0)</f>
        <v>0</v>
      </c>
      <c r="H352" s="182">
        <f t="shared" si="163"/>
        <v>0</v>
      </c>
      <c r="I352" s="168">
        <f t="shared" si="164"/>
        <v>0</v>
      </c>
      <c r="J352" s="177">
        <f t="shared" si="170"/>
        <v>0</v>
      </c>
      <c r="K352" s="170">
        <f t="shared" si="165"/>
        <v>0</v>
      </c>
      <c r="L352" s="170">
        <f t="shared" si="171"/>
        <v>0</v>
      </c>
      <c r="M352" s="183">
        <f t="shared" si="172"/>
        <v>0</v>
      </c>
      <c r="N352" s="169">
        <f t="shared" si="166"/>
        <v>0</v>
      </c>
      <c r="O352" s="173">
        <f t="shared" si="167"/>
        <v>0</v>
      </c>
      <c r="P352" s="169">
        <f>IF(Inputs!D137="Yes",O352*depr_bonus_fed/100,0)</f>
        <v>0</v>
      </c>
      <c r="Q352" s="173">
        <f t="shared" si="173"/>
        <v>0</v>
      </c>
    </row>
    <row r="353" spans="1:17" s="17" customFormat="1" x14ac:dyDescent="0.2">
      <c r="B353" s="294">
        <f>SUM(B347:B352)</f>
        <v>100</v>
      </c>
      <c r="C353" s="169">
        <f>SUM(C347:C352)</f>
        <v>38822142.635462604</v>
      </c>
      <c r="D353" s="186">
        <f>B362+B368</f>
        <v>0</v>
      </c>
      <c r="E353" s="187">
        <f>B374</f>
        <v>0</v>
      </c>
      <c r="F353" s="183">
        <f>SUM(F347:F352)</f>
        <v>38822142.635462604</v>
      </c>
      <c r="G353" s="184">
        <f>SUM(G347:G352)</f>
        <v>36020544.713315822</v>
      </c>
      <c r="H353" s="185">
        <f>SUM(H347:H352)</f>
        <v>100</v>
      </c>
      <c r="I353" s="186">
        <f>MIN(itc_fed_percent_maxvalue,itc_fed_percent/100*G353)</f>
        <v>10806163.413994746</v>
      </c>
      <c r="J353" s="186">
        <f>SUM(J347:J352)</f>
        <v>5403081.7069973731</v>
      </c>
      <c r="K353" s="184">
        <f>itc_fed_amount</f>
        <v>0</v>
      </c>
      <c r="L353" s="187">
        <f t="shared" ref="L353:Q353" si="174">SUM(L347:L352)</f>
        <v>0</v>
      </c>
      <c r="M353" s="169">
        <f t="shared" si="174"/>
        <v>0</v>
      </c>
      <c r="N353" s="169">
        <f t="shared" si="174"/>
        <v>5403081.7069973731</v>
      </c>
      <c r="O353" s="173">
        <f t="shared" si="174"/>
        <v>33419060.928465236</v>
      </c>
      <c r="P353" s="173">
        <f t="shared" si="174"/>
        <v>0</v>
      </c>
      <c r="Q353" s="173">
        <f t="shared" si="174"/>
        <v>33419060.928465236</v>
      </c>
    </row>
    <row r="354" spans="1:17" s="127" customFormat="1" x14ac:dyDescent="0.2">
      <c r="A354" s="17"/>
      <c r="B354" s="4"/>
    </row>
    <row r="355" spans="1:17" s="127" customFormat="1" x14ac:dyDescent="0.2">
      <c r="A355" s="17" t="s">
        <v>72</v>
      </c>
      <c r="B355" s="4"/>
    </row>
    <row r="356" spans="1:17" s="127" customFormat="1" x14ac:dyDescent="0.2">
      <c r="A356" s="323" t="str">
        <f>A223</f>
        <v>Investment Based Incentive (IBI)</v>
      </c>
      <c r="B356" s="4"/>
    </row>
    <row r="357" spans="1:17" s="127" customFormat="1" x14ac:dyDescent="0.2">
      <c r="A357" s="42" t="str">
        <f>A224</f>
        <v>As fixed amount</v>
      </c>
      <c r="B357" s="4"/>
    </row>
    <row r="358" spans="1:17" s="127" customFormat="1" x14ac:dyDescent="0.2">
      <c r="A358" s="324" t="s">
        <v>4</v>
      </c>
      <c r="B358" s="224">
        <f>IF(ibi_fed_amount_deprbas_fed="Yes",ibi_fed_amount,0)</f>
        <v>0</v>
      </c>
    </row>
    <row r="359" spans="1:17" s="127" customFormat="1" x14ac:dyDescent="0.2">
      <c r="A359" s="324" t="s">
        <v>5</v>
      </c>
      <c r="B359" s="224">
        <f>IF(ibi_sta_amount_deprbas_fed="Yes",ibi_sta_amount,0)</f>
        <v>0</v>
      </c>
    </row>
    <row r="360" spans="1:17" s="127" customFormat="1" x14ac:dyDescent="0.2">
      <c r="A360" s="324" t="s">
        <v>214</v>
      </c>
      <c r="B360" s="224">
        <f>IF(ibi_uti_amount_deprbas_fed="Yes",ibi_uti_amount,0)</f>
        <v>0</v>
      </c>
    </row>
    <row r="361" spans="1:17" s="127" customFormat="1" x14ac:dyDescent="0.2">
      <c r="A361" s="324" t="s">
        <v>215</v>
      </c>
      <c r="B361" s="225">
        <f>IF(ibi_oth_amount_deprbas_fed="Yes",ibi_oth_amount,0)</f>
        <v>0</v>
      </c>
    </row>
    <row r="362" spans="1:17" s="127" customFormat="1" x14ac:dyDescent="0.2">
      <c r="A362" s="324" t="str">
        <f>A229</f>
        <v>Total</v>
      </c>
      <c r="B362" s="224">
        <f>SUM(B358:B361)</f>
        <v>0</v>
      </c>
    </row>
    <row r="363" spans="1:17" s="127" customFormat="1" x14ac:dyDescent="0.2">
      <c r="A363" s="42" t="str">
        <f>A230</f>
        <v>As percentage</v>
      </c>
      <c r="B363" s="4"/>
    </row>
    <row r="364" spans="1:17" s="127" customFormat="1" x14ac:dyDescent="0.2">
      <c r="A364" s="324" t="s">
        <v>4</v>
      </c>
      <c r="B364" s="224">
        <f>IF(ibi_fed_percent_deprbas_fed="Yes",C500,0)</f>
        <v>0</v>
      </c>
    </row>
    <row r="365" spans="1:17" s="127" customFormat="1" x14ac:dyDescent="0.2">
      <c r="A365" s="324" t="s">
        <v>5</v>
      </c>
      <c r="B365" s="224">
        <f>IF(ibi_sta_percent_deprbas_fed="Yes",C501,0)</f>
        <v>0</v>
      </c>
    </row>
    <row r="366" spans="1:17" s="127" customFormat="1" x14ac:dyDescent="0.2">
      <c r="A366" s="324" t="s">
        <v>214</v>
      </c>
      <c r="B366" s="224">
        <f>IF(ibi_uti_percent_deprbas_fed="Yes",C502,0)</f>
        <v>0</v>
      </c>
    </row>
    <row r="367" spans="1:17" s="127" customFormat="1" x14ac:dyDescent="0.2">
      <c r="A367" s="324" t="s">
        <v>215</v>
      </c>
      <c r="B367" s="225">
        <f>IF(ibi_oth_percent_deprbas_fed="Yes",C503,0)</f>
        <v>0</v>
      </c>
    </row>
    <row r="368" spans="1:17" s="127" customFormat="1" x14ac:dyDescent="0.2">
      <c r="A368" s="324" t="str">
        <f>A235</f>
        <v>Total</v>
      </c>
      <c r="B368" s="224">
        <f>SUM(B364:B367)</f>
        <v>0</v>
      </c>
    </row>
    <row r="369" spans="1:42" s="127" customFormat="1" x14ac:dyDescent="0.2">
      <c r="A369" s="323" t="str">
        <f>A236</f>
        <v>Capacity Based Incentive (CBI)</v>
      </c>
      <c r="B369" s="4"/>
    </row>
    <row r="370" spans="1:42" s="127" customFormat="1" x14ac:dyDescent="0.2">
      <c r="A370" s="42" t="s">
        <v>4</v>
      </c>
      <c r="B370" s="224">
        <f>IF(cbi_fed_deprbas_fed="Yes",C507,0)</f>
        <v>0</v>
      </c>
    </row>
    <row r="371" spans="1:42" s="127" customFormat="1" x14ac:dyDescent="0.2">
      <c r="A371" s="42" t="s">
        <v>5</v>
      </c>
      <c r="B371" s="224">
        <f>IF(cbi_sta_deprbas_fed="Yes",C508,0)</f>
        <v>0</v>
      </c>
    </row>
    <row r="372" spans="1:42" s="127" customFormat="1" x14ac:dyDescent="0.2">
      <c r="A372" s="42" t="s">
        <v>214</v>
      </c>
      <c r="B372" s="224">
        <f>IF(cbi_uti_deprbas_fed="Yes",C509,0)</f>
        <v>0</v>
      </c>
    </row>
    <row r="373" spans="1:42" s="127" customFormat="1" x14ac:dyDescent="0.2">
      <c r="A373" s="42" t="s">
        <v>215</v>
      </c>
      <c r="B373" s="225">
        <f>IF(cbi_oth_deprbas_fed="Yes",C510,0)</f>
        <v>0</v>
      </c>
    </row>
    <row r="374" spans="1:42" s="127" customFormat="1" x14ac:dyDescent="0.2">
      <c r="A374" s="42" t="str">
        <f>A241</f>
        <v>Total</v>
      </c>
      <c r="B374" s="225">
        <f>SUM(B370:B373)</f>
        <v>0</v>
      </c>
    </row>
    <row r="375" spans="1:42" s="127" customFormat="1" x14ac:dyDescent="0.2">
      <c r="A375" s="323" t="str">
        <f>A242</f>
        <v>Total Basis Reduction</v>
      </c>
      <c r="B375" s="224">
        <f>B362+B368+B374</f>
        <v>0</v>
      </c>
    </row>
    <row r="376" spans="1:42" s="127" customFormat="1" x14ac:dyDescent="0.2">
      <c r="A376" s="17"/>
      <c r="B376" s="4"/>
    </row>
    <row r="377" spans="1:42" s="127" customFormat="1" x14ac:dyDescent="0.2">
      <c r="A377" s="17" t="s">
        <v>99</v>
      </c>
      <c r="B377" s="4"/>
    </row>
    <row r="378" spans="1:42" s="127" customFormat="1" x14ac:dyDescent="0.2">
      <c r="A378" s="42" t="s">
        <v>66</v>
      </c>
      <c r="B378" s="4"/>
    </row>
    <row r="379" spans="1:42" x14ac:dyDescent="0.2">
      <c r="A379" s="34" t="str">
        <f t="shared" ref="A379:A384" si="175">A347</f>
        <v>5-yr MACRS</v>
      </c>
      <c r="B379" s="230">
        <f t="array" ref="B379">SUM(IF(ISNUMBER(C379:AP379),C379:AP379))</f>
        <v>100</v>
      </c>
      <c r="C379" s="231">
        <f>LOOKUP(C$2,'Depreciation Schedules'!$A$3:$A$42,'Depreciation Schedules'!$B$3:$B$42)</f>
        <v>20</v>
      </c>
      <c r="D379" s="231">
        <f>LOOKUP(D$2,'Depreciation Schedules'!$A$3:$A$42,'Depreciation Schedules'!$B$3:$B$42)</f>
        <v>32</v>
      </c>
      <c r="E379" s="231">
        <f>LOOKUP(E$2,'Depreciation Schedules'!$A$3:$A$42,'Depreciation Schedules'!$B$3:$B$42)</f>
        <v>19.2</v>
      </c>
      <c r="F379" s="231">
        <f>LOOKUP(F$2,'Depreciation Schedules'!$A$3:$A$42,'Depreciation Schedules'!$B$3:$B$42)</f>
        <v>11.52</v>
      </c>
      <c r="G379" s="231">
        <f>LOOKUP(G$2,'Depreciation Schedules'!$A$3:$A$42,'Depreciation Schedules'!$B$3:$B$42)</f>
        <v>11.52</v>
      </c>
      <c r="H379" s="231">
        <f>LOOKUP(H$2,'Depreciation Schedules'!$A$3:$A$42,'Depreciation Schedules'!$B$3:$B$42)</f>
        <v>5.76</v>
      </c>
      <c r="I379" s="231">
        <f>LOOKUP(I$2,'Depreciation Schedules'!$A$3:$A$42,'Depreciation Schedules'!$B$3:$B$42)</f>
        <v>0</v>
      </c>
      <c r="J379" s="231">
        <f>LOOKUP(J$2,'Depreciation Schedules'!$A$3:$A$42,'Depreciation Schedules'!$B$3:$B$42)</f>
        <v>0</v>
      </c>
      <c r="K379" s="231">
        <f>LOOKUP(K$2,'Depreciation Schedules'!$A$3:$A$42,'Depreciation Schedules'!$B$3:$B$42)</f>
        <v>0</v>
      </c>
      <c r="L379" s="231">
        <f>LOOKUP(L$2,'Depreciation Schedules'!$A$3:$A$42,'Depreciation Schedules'!$B$3:$B$42)</f>
        <v>0</v>
      </c>
      <c r="M379" s="231">
        <f>LOOKUP(M$2,'Depreciation Schedules'!$A$3:$A$42,'Depreciation Schedules'!$B$3:$B$42)</f>
        <v>0</v>
      </c>
      <c r="N379" s="231">
        <f>LOOKUP(N$2,'Depreciation Schedules'!$A$3:$A$42,'Depreciation Schedules'!$B$3:$B$42)</f>
        <v>0</v>
      </c>
      <c r="O379" s="231">
        <f>LOOKUP(O$2,'Depreciation Schedules'!$A$3:$A$42,'Depreciation Schedules'!$B$3:$B$42)</f>
        <v>0</v>
      </c>
      <c r="P379" s="231">
        <f>LOOKUP(P$2,'Depreciation Schedules'!$A$3:$A$42,'Depreciation Schedules'!$B$3:$B$42)</f>
        <v>0</v>
      </c>
      <c r="Q379" s="231">
        <f>LOOKUP(Q$2,'Depreciation Schedules'!$A$3:$A$42,'Depreciation Schedules'!$B$3:$B$42)</f>
        <v>0</v>
      </c>
      <c r="R379" s="231">
        <f>LOOKUP(R$2,'Depreciation Schedules'!$A$3:$A$42,'Depreciation Schedules'!$B$3:$B$42)</f>
        <v>0</v>
      </c>
      <c r="S379" s="231">
        <f>LOOKUP(S$2,'Depreciation Schedules'!$A$3:$A$42,'Depreciation Schedules'!$B$3:$B$42)</f>
        <v>0</v>
      </c>
      <c r="T379" s="231">
        <f>LOOKUP(T$2,'Depreciation Schedules'!$A$3:$A$42,'Depreciation Schedules'!$B$3:$B$42)</f>
        <v>0</v>
      </c>
      <c r="U379" s="231">
        <f>LOOKUP(U$2,'Depreciation Schedules'!$A$3:$A$42,'Depreciation Schedules'!$B$3:$B$42)</f>
        <v>0</v>
      </c>
      <c r="V379" s="231">
        <f>LOOKUP(V$2,'Depreciation Schedules'!$A$3:$A$42,'Depreciation Schedules'!$B$3:$B$42)</f>
        <v>0</v>
      </c>
      <c r="W379" s="231">
        <f>LOOKUP(W$2,'Depreciation Schedules'!$A$3:$A$42,'Depreciation Schedules'!$B$3:$B$42)</f>
        <v>0</v>
      </c>
      <c r="X379" s="231">
        <f>LOOKUP(X$2,'Depreciation Schedules'!$A$3:$A$42,'Depreciation Schedules'!$B$3:$B$42)</f>
        <v>0</v>
      </c>
      <c r="Y379" s="231">
        <f>LOOKUP(Y$2,'Depreciation Schedules'!$A$3:$A$42,'Depreciation Schedules'!$B$3:$B$42)</f>
        <v>0</v>
      </c>
      <c r="Z379" s="231">
        <f>LOOKUP(Z$2,'Depreciation Schedules'!$A$3:$A$42,'Depreciation Schedules'!$B$3:$B$42)</f>
        <v>0</v>
      </c>
      <c r="AA379" s="231">
        <f>LOOKUP(AA$2,'Depreciation Schedules'!$A$3:$A$42,'Depreciation Schedules'!$B$3:$B$42)</f>
        <v>0</v>
      </c>
      <c r="AB379" s="231" t="e">
        <f>LOOKUP(AB$2,'Depreciation Schedules'!$A$3:$A$42,'Depreciation Schedules'!$B$3:$B$42)</f>
        <v>#N/A</v>
      </c>
      <c r="AC379" s="231" t="e">
        <f>LOOKUP(AC$2,'Depreciation Schedules'!$A$3:$A$42,'Depreciation Schedules'!$B$3:$B$42)</f>
        <v>#N/A</v>
      </c>
      <c r="AD379" s="231" t="e">
        <f>LOOKUP(AD$2,'Depreciation Schedules'!$A$3:$A$42,'Depreciation Schedules'!$B$3:$B$42)</f>
        <v>#N/A</v>
      </c>
      <c r="AE379" s="231" t="e">
        <f>LOOKUP(AE$2,'Depreciation Schedules'!$A$3:$A$42,'Depreciation Schedules'!$B$3:$B$42)</f>
        <v>#N/A</v>
      </c>
      <c r="AF379" s="231" t="e">
        <f>LOOKUP(AF$2,'Depreciation Schedules'!$A$3:$A$42,'Depreciation Schedules'!$B$3:$B$42)</f>
        <v>#N/A</v>
      </c>
      <c r="AG379" s="231" t="e">
        <f>LOOKUP(AG$2,'Depreciation Schedules'!$A$3:$A$42,'Depreciation Schedules'!$B$3:$B$42)</f>
        <v>#N/A</v>
      </c>
      <c r="AH379" s="231" t="e">
        <f>LOOKUP(AH$2,'Depreciation Schedules'!$A$3:$A$42,'Depreciation Schedules'!$B$3:$B$42)</f>
        <v>#N/A</v>
      </c>
      <c r="AI379" s="231" t="e">
        <f>LOOKUP(AI$2,'Depreciation Schedules'!$A$3:$A$42,'Depreciation Schedules'!$B$3:$B$42)</f>
        <v>#N/A</v>
      </c>
      <c r="AJ379" s="231" t="e">
        <f>LOOKUP(AJ$2,'Depreciation Schedules'!$A$3:$A$42,'Depreciation Schedules'!$B$3:$B$42)</f>
        <v>#N/A</v>
      </c>
      <c r="AK379" s="231" t="e">
        <f>LOOKUP(AK$2,'Depreciation Schedules'!$A$3:$A$42,'Depreciation Schedules'!$B$3:$B$42)</f>
        <v>#N/A</v>
      </c>
      <c r="AL379" s="231" t="e">
        <f>LOOKUP(AL$2,'Depreciation Schedules'!$A$3:$A$42,'Depreciation Schedules'!$B$3:$B$42)</f>
        <v>#N/A</v>
      </c>
      <c r="AM379" s="231" t="e">
        <f>LOOKUP(AM$2,'Depreciation Schedules'!$A$3:$A$42,'Depreciation Schedules'!$B$3:$B$42)</f>
        <v>#N/A</v>
      </c>
      <c r="AN379" s="231" t="e">
        <f>LOOKUP(AN$2,'Depreciation Schedules'!$A$3:$A$42,'Depreciation Schedules'!$B$3:$B$42)</f>
        <v>#N/A</v>
      </c>
      <c r="AO379" s="231" t="e">
        <f>LOOKUP(AO$2,'Depreciation Schedules'!$A$3:$A$42,'Depreciation Schedules'!$B$3:$B$42)</f>
        <v>#N/A</v>
      </c>
      <c r="AP379" s="231" t="e">
        <f>LOOKUP(AP$2,'Depreciation Schedules'!$A$3:$A$42,'Depreciation Schedules'!$B$3:$B$42)</f>
        <v>#N/A</v>
      </c>
    </row>
    <row r="380" spans="1:42" x14ac:dyDescent="0.2">
      <c r="A380" s="34" t="str">
        <f t="shared" si="175"/>
        <v>15-yr MACRS</v>
      </c>
      <c r="B380" s="230">
        <f t="array" ref="B380">SUM(IF(ISNUMBER(C380:AP380),C380:AP380))</f>
        <v>99.990000000000009</v>
      </c>
      <c r="C380" s="231">
        <f>LOOKUP(C$2,'Depreciation Schedules'!$A$3:$A$42,'Depreciation Schedules'!$C$3:$C$42)</f>
        <v>5</v>
      </c>
      <c r="D380" s="231">
        <f>LOOKUP(D$2,'Depreciation Schedules'!$A$3:$A$42,'Depreciation Schedules'!$C$3:$C$42)</f>
        <v>9.5</v>
      </c>
      <c r="E380" s="231">
        <f>LOOKUP(E$2,'Depreciation Schedules'!$A$3:$A$42,'Depreciation Schedules'!$C$3:$C$42)</f>
        <v>8.5500000000000007</v>
      </c>
      <c r="F380" s="231">
        <f>LOOKUP(F$2,'Depreciation Schedules'!$A$3:$A$42,'Depreciation Schedules'!$C$3:$C$42)</f>
        <v>7.7</v>
      </c>
      <c r="G380" s="231">
        <f>LOOKUP(G$2,'Depreciation Schedules'!$A$3:$A$42,'Depreciation Schedules'!$C$3:$C$42)</f>
        <v>6.93</v>
      </c>
      <c r="H380" s="231">
        <f>LOOKUP(H$2,'Depreciation Schedules'!$A$3:$A$42,'Depreciation Schedules'!$C$3:$C$42)</f>
        <v>6.23</v>
      </c>
      <c r="I380" s="231">
        <f>LOOKUP(I$2,'Depreciation Schedules'!$A$3:$A$42,'Depreciation Schedules'!$C$3:$C$42)</f>
        <v>5.9</v>
      </c>
      <c r="J380" s="231">
        <f>LOOKUP(J$2,'Depreciation Schedules'!$A$3:$A$42,'Depreciation Schedules'!$C$3:$C$42)</f>
        <v>5.9</v>
      </c>
      <c r="K380" s="231">
        <f>LOOKUP(K$2,'Depreciation Schedules'!$A$3:$A$42,'Depreciation Schedules'!$C$3:$C$42)</f>
        <v>5.91</v>
      </c>
      <c r="L380" s="231">
        <f>LOOKUP(L$2,'Depreciation Schedules'!$A$3:$A$42,'Depreciation Schedules'!$C$3:$C$42)</f>
        <v>5.9</v>
      </c>
      <c r="M380" s="231">
        <f>LOOKUP(M$2,'Depreciation Schedules'!$A$3:$A$42,'Depreciation Schedules'!$C$3:$C$42)</f>
        <v>5.91</v>
      </c>
      <c r="N380" s="231">
        <f>LOOKUP(N$2,'Depreciation Schedules'!$A$3:$A$42,'Depreciation Schedules'!$C$3:$C$42)</f>
        <v>5.9</v>
      </c>
      <c r="O380" s="231">
        <f>LOOKUP(O$2,'Depreciation Schedules'!$A$3:$A$42,'Depreciation Schedules'!$C$3:$C$42)</f>
        <v>5.91</v>
      </c>
      <c r="P380" s="231">
        <f>LOOKUP(P$2,'Depreciation Schedules'!$A$3:$A$42,'Depreciation Schedules'!$C$3:$C$42)</f>
        <v>5.9</v>
      </c>
      <c r="Q380" s="231">
        <f>LOOKUP(Q$2,'Depreciation Schedules'!$A$3:$A$42,'Depreciation Schedules'!$C$3:$C$42)</f>
        <v>5.9</v>
      </c>
      <c r="R380" s="231">
        <f>LOOKUP(R$2,'Depreciation Schedules'!$A$3:$A$42,'Depreciation Schedules'!$C$3:$C$42)</f>
        <v>2.95</v>
      </c>
      <c r="S380" s="231">
        <f>LOOKUP(S$2,'Depreciation Schedules'!$A$3:$A$42,'Depreciation Schedules'!$C$3:$C$42)</f>
        <v>0</v>
      </c>
      <c r="T380" s="231">
        <f>LOOKUP(T$2,'Depreciation Schedules'!$A$3:$A$42,'Depreciation Schedules'!$C$3:$C$42)</f>
        <v>0</v>
      </c>
      <c r="U380" s="231">
        <f>LOOKUP(U$2,'Depreciation Schedules'!$A$3:$A$42,'Depreciation Schedules'!$C$3:$C$42)</f>
        <v>0</v>
      </c>
      <c r="V380" s="231">
        <f>LOOKUP(V$2,'Depreciation Schedules'!$A$3:$A$42,'Depreciation Schedules'!$C$3:$C$42)</f>
        <v>0</v>
      </c>
      <c r="W380" s="231">
        <f>LOOKUP(W$2,'Depreciation Schedules'!$A$3:$A$42,'Depreciation Schedules'!$C$3:$C$42)</f>
        <v>0</v>
      </c>
      <c r="X380" s="231">
        <f>LOOKUP(X$2,'Depreciation Schedules'!$A$3:$A$42,'Depreciation Schedules'!$C$3:$C$42)</f>
        <v>0</v>
      </c>
      <c r="Y380" s="231">
        <f>LOOKUP(Y$2,'Depreciation Schedules'!$A$3:$A$42,'Depreciation Schedules'!$C$3:$C$42)</f>
        <v>0</v>
      </c>
      <c r="Z380" s="231">
        <f>LOOKUP(Z$2,'Depreciation Schedules'!$A$3:$A$42,'Depreciation Schedules'!$C$3:$C$42)</f>
        <v>0</v>
      </c>
      <c r="AA380" s="231">
        <f>LOOKUP(AA$2,'Depreciation Schedules'!$A$3:$A$42,'Depreciation Schedules'!$C$3:$C$42)</f>
        <v>0</v>
      </c>
      <c r="AB380" s="231" t="e">
        <f>LOOKUP(AB$2,'Depreciation Schedules'!$A$3:$A$42,'Depreciation Schedules'!$C$3:$C$42)</f>
        <v>#N/A</v>
      </c>
      <c r="AC380" s="231" t="e">
        <f>LOOKUP(AC$2,'Depreciation Schedules'!$A$3:$A$42,'Depreciation Schedules'!$C$3:$C$42)</f>
        <v>#N/A</v>
      </c>
      <c r="AD380" s="231" t="e">
        <f>LOOKUP(AD$2,'Depreciation Schedules'!$A$3:$A$42,'Depreciation Schedules'!$C$3:$C$42)</f>
        <v>#N/A</v>
      </c>
      <c r="AE380" s="231" t="e">
        <f>LOOKUP(AE$2,'Depreciation Schedules'!$A$3:$A$42,'Depreciation Schedules'!$C$3:$C$42)</f>
        <v>#N/A</v>
      </c>
      <c r="AF380" s="231" t="e">
        <f>LOOKUP(AF$2,'Depreciation Schedules'!$A$3:$A$42,'Depreciation Schedules'!$C$3:$C$42)</f>
        <v>#N/A</v>
      </c>
      <c r="AG380" s="231" t="e">
        <f>LOOKUP(AG$2,'Depreciation Schedules'!$A$3:$A$42,'Depreciation Schedules'!$C$3:$C$42)</f>
        <v>#N/A</v>
      </c>
      <c r="AH380" s="231" t="e">
        <f>LOOKUP(AH$2,'Depreciation Schedules'!$A$3:$A$42,'Depreciation Schedules'!$C$3:$C$42)</f>
        <v>#N/A</v>
      </c>
      <c r="AI380" s="231" t="e">
        <f>LOOKUP(AI$2,'Depreciation Schedules'!$A$3:$A$42,'Depreciation Schedules'!$C$3:$C$42)</f>
        <v>#N/A</v>
      </c>
      <c r="AJ380" s="231" t="e">
        <f>LOOKUP(AJ$2,'Depreciation Schedules'!$A$3:$A$42,'Depreciation Schedules'!$C$3:$C$42)</f>
        <v>#N/A</v>
      </c>
      <c r="AK380" s="231" t="e">
        <f>LOOKUP(AK$2,'Depreciation Schedules'!$A$3:$A$42,'Depreciation Schedules'!$C$3:$C$42)</f>
        <v>#N/A</v>
      </c>
      <c r="AL380" s="231" t="e">
        <f>LOOKUP(AL$2,'Depreciation Schedules'!$A$3:$A$42,'Depreciation Schedules'!$C$3:$C$42)</f>
        <v>#N/A</v>
      </c>
      <c r="AM380" s="231" t="e">
        <f>LOOKUP(AM$2,'Depreciation Schedules'!$A$3:$A$42,'Depreciation Schedules'!$C$3:$C$42)</f>
        <v>#N/A</v>
      </c>
      <c r="AN380" s="231" t="e">
        <f>LOOKUP(AN$2,'Depreciation Schedules'!$A$3:$A$42,'Depreciation Schedules'!$C$3:$C$42)</f>
        <v>#N/A</v>
      </c>
      <c r="AO380" s="231" t="e">
        <f>LOOKUP(AO$2,'Depreciation Schedules'!$A$3:$A$42,'Depreciation Schedules'!$C$3:$C$42)</f>
        <v>#N/A</v>
      </c>
      <c r="AP380" s="231" t="e">
        <f>LOOKUP(AP$2,'Depreciation Schedules'!$A$3:$A$42,'Depreciation Schedules'!$C$3:$C$42)</f>
        <v>#N/A</v>
      </c>
    </row>
    <row r="381" spans="1:42" x14ac:dyDescent="0.2">
      <c r="A381" s="34" t="str">
        <f t="shared" si="175"/>
        <v>5-yr SL</v>
      </c>
      <c r="B381" s="230">
        <f t="array" ref="B381">SUM(IF(ISNUMBER(C381:AP381),C381:AP381))</f>
        <v>100</v>
      </c>
      <c r="C381" s="231">
        <f>LOOKUP(C$2,'Depreciation Schedules'!$A$3:$A$42,'Depreciation Schedules'!$D$3:$D$42)</f>
        <v>10</v>
      </c>
      <c r="D381" s="231">
        <f>LOOKUP(D$2,'Depreciation Schedules'!$A$3:$A$42,'Depreciation Schedules'!$D$3:$D$42)</f>
        <v>20</v>
      </c>
      <c r="E381" s="231">
        <f>LOOKUP(E$2,'Depreciation Schedules'!$A$3:$A$42,'Depreciation Schedules'!$D$3:$D$42)</f>
        <v>20</v>
      </c>
      <c r="F381" s="231">
        <f>LOOKUP(F$2,'Depreciation Schedules'!$A$3:$A$42,'Depreciation Schedules'!$D$3:$D$42)</f>
        <v>20</v>
      </c>
      <c r="G381" s="231">
        <f>LOOKUP(G$2,'Depreciation Schedules'!$A$3:$A$42,'Depreciation Schedules'!$D$3:$D$42)</f>
        <v>20</v>
      </c>
      <c r="H381" s="231">
        <f>LOOKUP(H$2,'Depreciation Schedules'!$A$3:$A$42,'Depreciation Schedules'!$D$3:$D$42)</f>
        <v>10</v>
      </c>
      <c r="I381" s="231">
        <f>LOOKUP(I$2,'Depreciation Schedules'!$A$3:$A$42,'Depreciation Schedules'!$D$3:$D$42)</f>
        <v>0</v>
      </c>
      <c r="J381" s="231">
        <f>LOOKUP(J$2,'Depreciation Schedules'!$A$3:$A$42,'Depreciation Schedules'!$D$3:$D$42)</f>
        <v>0</v>
      </c>
      <c r="K381" s="231">
        <f>LOOKUP(K$2,'Depreciation Schedules'!$A$3:$A$42,'Depreciation Schedules'!$D$3:$D$42)</f>
        <v>0</v>
      </c>
      <c r="L381" s="231">
        <f>LOOKUP(L$2,'Depreciation Schedules'!$A$3:$A$42,'Depreciation Schedules'!$D$3:$D$42)</f>
        <v>0</v>
      </c>
      <c r="M381" s="231">
        <f>LOOKUP(M$2,'Depreciation Schedules'!$A$3:$A$42,'Depreciation Schedules'!$D$3:$D$42)</f>
        <v>0</v>
      </c>
      <c r="N381" s="231">
        <f>LOOKUP(N$2,'Depreciation Schedules'!$A$3:$A$42,'Depreciation Schedules'!$D$3:$D$42)</f>
        <v>0</v>
      </c>
      <c r="O381" s="231">
        <f>LOOKUP(O$2,'Depreciation Schedules'!$A$3:$A$42,'Depreciation Schedules'!$D$3:$D$42)</f>
        <v>0</v>
      </c>
      <c r="P381" s="231">
        <f>LOOKUP(P$2,'Depreciation Schedules'!$A$3:$A$42,'Depreciation Schedules'!$D$3:$D$42)</f>
        <v>0</v>
      </c>
      <c r="Q381" s="231">
        <f>LOOKUP(Q$2,'Depreciation Schedules'!$A$3:$A$42,'Depreciation Schedules'!$D$3:$D$42)</f>
        <v>0</v>
      </c>
      <c r="R381" s="231">
        <f>LOOKUP(R$2,'Depreciation Schedules'!$A$3:$A$42,'Depreciation Schedules'!$D$3:$D$42)</f>
        <v>0</v>
      </c>
      <c r="S381" s="231">
        <f>LOOKUP(S$2,'Depreciation Schedules'!$A$3:$A$42,'Depreciation Schedules'!$D$3:$D$42)</f>
        <v>0</v>
      </c>
      <c r="T381" s="231">
        <f>LOOKUP(T$2,'Depreciation Schedules'!$A$3:$A$42,'Depreciation Schedules'!$D$3:$D$42)</f>
        <v>0</v>
      </c>
      <c r="U381" s="231">
        <f>LOOKUP(U$2,'Depreciation Schedules'!$A$3:$A$42,'Depreciation Schedules'!$D$3:$D$42)</f>
        <v>0</v>
      </c>
      <c r="V381" s="231">
        <f>LOOKUP(V$2,'Depreciation Schedules'!$A$3:$A$42,'Depreciation Schedules'!$D$3:$D$42)</f>
        <v>0</v>
      </c>
      <c r="W381" s="231">
        <f>LOOKUP(W$2,'Depreciation Schedules'!$A$3:$A$42,'Depreciation Schedules'!$D$3:$D$42)</f>
        <v>0</v>
      </c>
      <c r="X381" s="231">
        <f>LOOKUP(X$2,'Depreciation Schedules'!$A$3:$A$42,'Depreciation Schedules'!$D$3:$D$42)</f>
        <v>0</v>
      </c>
      <c r="Y381" s="231">
        <f>LOOKUP(Y$2,'Depreciation Schedules'!$A$3:$A$42,'Depreciation Schedules'!$D$3:$D$42)</f>
        <v>0</v>
      </c>
      <c r="Z381" s="231">
        <f>LOOKUP(Z$2,'Depreciation Schedules'!$A$3:$A$42,'Depreciation Schedules'!$D$3:$D$42)</f>
        <v>0</v>
      </c>
      <c r="AA381" s="231">
        <f>LOOKUP(AA$2,'Depreciation Schedules'!$A$3:$A$42,'Depreciation Schedules'!$D$3:$D$42)</f>
        <v>0</v>
      </c>
      <c r="AB381" s="231" t="e">
        <f>LOOKUP(AB$2,'Depreciation Schedules'!$A$3:$A$42,'Depreciation Schedules'!$D$3:$D$42)</f>
        <v>#N/A</v>
      </c>
      <c r="AC381" s="231" t="e">
        <f>LOOKUP(AC$2,'Depreciation Schedules'!$A$3:$A$42,'Depreciation Schedules'!$D$3:$D$42)</f>
        <v>#N/A</v>
      </c>
      <c r="AD381" s="231" t="e">
        <f>LOOKUP(AD$2,'Depreciation Schedules'!$A$3:$A$42,'Depreciation Schedules'!$D$3:$D$42)</f>
        <v>#N/A</v>
      </c>
      <c r="AE381" s="231" t="e">
        <f>LOOKUP(AE$2,'Depreciation Schedules'!$A$3:$A$42,'Depreciation Schedules'!$D$3:$D$42)</f>
        <v>#N/A</v>
      </c>
      <c r="AF381" s="231" t="e">
        <f>LOOKUP(AF$2,'Depreciation Schedules'!$A$3:$A$42,'Depreciation Schedules'!$D$3:$D$42)</f>
        <v>#N/A</v>
      </c>
      <c r="AG381" s="231" t="e">
        <f>LOOKUP(AG$2,'Depreciation Schedules'!$A$3:$A$42,'Depreciation Schedules'!$D$3:$D$42)</f>
        <v>#N/A</v>
      </c>
      <c r="AH381" s="231" t="e">
        <f>LOOKUP(AH$2,'Depreciation Schedules'!$A$3:$A$42,'Depreciation Schedules'!$D$3:$D$42)</f>
        <v>#N/A</v>
      </c>
      <c r="AI381" s="231" t="e">
        <f>LOOKUP(AI$2,'Depreciation Schedules'!$A$3:$A$42,'Depreciation Schedules'!$D$3:$D$42)</f>
        <v>#N/A</v>
      </c>
      <c r="AJ381" s="231" t="e">
        <f>LOOKUP(AJ$2,'Depreciation Schedules'!$A$3:$A$42,'Depreciation Schedules'!$D$3:$D$42)</f>
        <v>#N/A</v>
      </c>
      <c r="AK381" s="231" t="e">
        <f>LOOKUP(AK$2,'Depreciation Schedules'!$A$3:$A$42,'Depreciation Schedules'!$D$3:$D$42)</f>
        <v>#N/A</v>
      </c>
      <c r="AL381" s="231" t="e">
        <f>LOOKUP(AL$2,'Depreciation Schedules'!$A$3:$A$42,'Depreciation Schedules'!$D$3:$D$42)</f>
        <v>#N/A</v>
      </c>
      <c r="AM381" s="231" t="e">
        <f>LOOKUP(AM$2,'Depreciation Schedules'!$A$3:$A$42,'Depreciation Schedules'!$D$3:$D$42)</f>
        <v>#N/A</v>
      </c>
      <c r="AN381" s="231" t="e">
        <f>LOOKUP(AN$2,'Depreciation Schedules'!$A$3:$A$42,'Depreciation Schedules'!$D$3:$D$42)</f>
        <v>#N/A</v>
      </c>
      <c r="AO381" s="231" t="e">
        <f>LOOKUP(AO$2,'Depreciation Schedules'!$A$3:$A$42,'Depreciation Schedules'!$D$3:$D$42)</f>
        <v>#N/A</v>
      </c>
      <c r="AP381" s="231" t="e">
        <f>LOOKUP(AP$2,'Depreciation Schedules'!$A$3:$A$42,'Depreciation Schedules'!$D$3:$D$42)</f>
        <v>#N/A</v>
      </c>
    </row>
    <row r="382" spans="1:42" x14ac:dyDescent="0.2">
      <c r="A382" s="34" t="str">
        <f t="shared" si="175"/>
        <v>15-yr SL</v>
      </c>
      <c r="B382" s="230">
        <f t="array" ref="B382">SUM(IF(ISNUMBER(C382:AP382),C382:AP382))</f>
        <v>100.02000000000001</v>
      </c>
      <c r="C382" s="231">
        <f>LOOKUP(C$2,'Depreciation Schedules'!$A$3:$A$42,'Depreciation Schedules'!$E$3:$E$42)</f>
        <v>3.33</v>
      </c>
      <c r="D382" s="231">
        <f>LOOKUP(D$2,'Depreciation Schedules'!$A$3:$A$42,'Depreciation Schedules'!$E$3:$E$42)</f>
        <v>6.67</v>
      </c>
      <c r="E382" s="231">
        <f>LOOKUP(E$2,'Depreciation Schedules'!$A$3:$A$42,'Depreciation Schedules'!$E$3:$E$42)</f>
        <v>6.67</v>
      </c>
      <c r="F382" s="231">
        <f>LOOKUP(F$2,'Depreciation Schedules'!$A$3:$A$42,'Depreciation Schedules'!$E$3:$E$42)</f>
        <v>6.67</v>
      </c>
      <c r="G382" s="231">
        <f>LOOKUP(G$2,'Depreciation Schedules'!$A$3:$A$42,'Depreciation Schedules'!$E$3:$E$42)</f>
        <v>6.67</v>
      </c>
      <c r="H382" s="231">
        <f>LOOKUP(H$2,'Depreciation Schedules'!$A$3:$A$42,'Depreciation Schedules'!$E$3:$E$42)</f>
        <v>6.67</v>
      </c>
      <c r="I382" s="231">
        <f>LOOKUP(I$2,'Depreciation Schedules'!$A$3:$A$42,'Depreciation Schedules'!$E$3:$E$42)</f>
        <v>6.67</v>
      </c>
      <c r="J382" s="231">
        <f>LOOKUP(J$2,'Depreciation Schedules'!$A$3:$A$42,'Depreciation Schedules'!$E$3:$E$42)</f>
        <v>6.67</v>
      </c>
      <c r="K382" s="231">
        <f>LOOKUP(K$2,'Depreciation Schedules'!$A$3:$A$42,'Depreciation Schedules'!$E$3:$E$42)</f>
        <v>6.67</v>
      </c>
      <c r="L382" s="231">
        <f>LOOKUP(L$2,'Depreciation Schedules'!$A$3:$A$42,'Depreciation Schedules'!$E$3:$E$42)</f>
        <v>6.67</v>
      </c>
      <c r="M382" s="231">
        <f>LOOKUP(M$2,'Depreciation Schedules'!$A$3:$A$42,'Depreciation Schedules'!$E$3:$E$42)</f>
        <v>6.67</v>
      </c>
      <c r="N382" s="231">
        <f>LOOKUP(N$2,'Depreciation Schedules'!$A$3:$A$42,'Depreciation Schedules'!$E$3:$E$42)</f>
        <v>6.66</v>
      </c>
      <c r="O382" s="231">
        <f>LOOKUP(O$2,'Depreciation Schedules'!$A$3:$A$42,'Depreciation Schedules'!$E$3:$E$42)</f>
        <v>6.67</v>
      </c>
      <c r="P382" s="231">
        <f>LOOKUP(P$2,'Depreciation Schedules'!$A$3:$A$42,'Depreciation Schedules'!$E$3:$E$42)</f>
        <v>6.66</v>
      </c>
      <c r="Q382" s="231">
        <f>LOOKUP(Q$2,'Depreciation Schedules'!$A$3:$A$42,'Depreciation Schedules'!$E$3:$E$42)</f>
        <v>6.67</v>
      </c>
      <c r="R382" s="231">
        <f>LOOKUP(R$2,'Depreciation Schedules'!$A$3:$A$42,'Depreciation Schedules'!$E$3:$E$42)</f>
        <v>3.33</v>
      </c>
      <c r="S382" s="231">
        <f>LOOKUP(S$2,'Depreciation Schedules'!$A$3:$A$42,'Depreciation Schedules'!$E$3:$E$42)</f>
        <v>0</v>
      </c>
      <c r="T382" s="231">
        <f>LOOKUP(T$2,'Depreciation Schedules'!$A$3:$A$42,'Depreciation Schedules'!$E$3:$E$42)</f>
        <v>0</v>
      </c>
      <c r="U382" s="231">
        <f>LOOKUP(U$2,'Depreciation Schedules'!$A$3:$A$42,'Depreciation Schedules'!$E$3:$E$42)</f>
        <v>0</v>
      </c>
      <c r="V382" s="231">
        <f>LOOKUP(V$2,'Depreciation Schedules'!$A$3:$A$42,'Depreciation Schedules'!$E$3:$E$42)</f>
        <v>0</v>
      </c>
      <c r="W382" s="231">
        <f>LOOKUP(W$2,'Depreciation Schedules'!$A$3:$A$42,'Depreciation Schedules'!$E$3:$E$42)</f>
        <v>0</v>
      </c>
      <c r="X382" s="231">
        <f>LOOKUP(X$2,'Depreciation Schedules'!$A$3:$A$42,'Depreciation Schedules'!$E$3:$E$42)</f>
        <v>0</v>
      </c>
      <c r="Y382" s="231">
        <f>LOOKUP(Y$2,'Depreciation Schedules'!$A$3:$A$42,'Depreciation Schedules'!$E$3:$E$42)</f>
        <v>0</v>
      </c>
      <c r="Z382" s="231">
        <f>LOOKUP(Z$2,'Depreciation Schedules'!$A$3:$A$42,'Depreciation Schedules'!$E$3:$E$42)</f>
        <v>0</v>
      </c>
      <c r="AA382" s="231">
        <f>LOOKUP(AA$2,'Depreciation Schedules'!$A$3:$A$42,'Depreciation Schedules'!$E$3:$E$42)</f>
        <v>0</v>
      </c>
      <c r="AB382" s="231" t="e">
        <f>LOOKUP(AB$2,'Depreciation Schedules'!$A$3:$A$42,'Depreciation Schedules'!$E$3:$E$42)</f>
        <v>#N/A</v>
      </c>
      <c r="AC382" s="231" t="e">
        <f>LOOKUP(AC$2,'Depreciation Schedules'!$A$3:$A$42,'Depreciation Schedules'!$E$3:$E$42)</f>
        <v>#N/A</v>
      </c>
      <c r="AD382" s="231" t="e">
        <f>LOOKUP(AD$2,'Depreciation Schedules'!$A$3:$A$42,'Depreciation Schedules'!$E$3:$E$42)</f>
        <v>#N/A</v>
      </c>
      <c r="AE382" s="231" t="e">
        <f>LOOKUP(AE$2,'Depreciation Schedules'!$A$3:$A$42,'Depreciation Schedules'!$E$3:$E$42)</f>
        <v>#N/A</v>
      </c>
      <c r="AF382" s="231" t="e">
        <f>LOOKUP(AF$2,'Depreciation Schedules'!$A$3:$A$42,'Depreciation Schedules'!$E$3:$E$42)</f>
        <v>#N/A</v>
      </c>
      <c r="AG382" s="231" t="e">
        <f>LOOKUP(AG$2,'Depreciation Schedules'!$A$3:$A$42,'Depreciation Schedules'!$E$3:$E$42)</f>
        <v>#N/A</v>
      </c>
      <c r="AH382" s="231" t="e">
        <f>LOOKUP(AH$2,'Depreciation Schedules'!$A$3:$A$42,'Depreciation Schedules'!$E$3:$E$42)</f>
        <v>#N/A</v>
      </c>
      <c r="AI382" s="231" t="e">
        <f>LOOKUP(AI$2,'Depreciation Schedules'!$A$3:$A$42,'Depreciation Schedules'!$E$3:$E$42)</f>
        <v>#N/A</v>
      </c>
      <c r="AJ382" s="231" t="e">
        <f>LOOKUP(AJ$2,'Depreciation Schedules'!$A$3:$A$42,'Depreciation Schedules'!$E$3:$E$42)</f>
        <v>#N/A</v>
      </c>
      <c r="AK382" s="231" t="e">
        <f>LOOKUP(AK$2,'Depreciation Schedules'!$A$3:$A$42,'Depreciation Schedules'!$E$3:$E$42)</f>
        <v>#N/A</v>
      </c>
      <c r="AL382" s="231" t="e">
        <f>LOOKUP(AL$2,'Depreciation Schedules'!$A$3:$A$42,'Depreciation Schedules'!$E$3:$E$42)</f>
        <v>#N/A</v>
      </c>
      <c r="AM382" s="231" t="e">
        <f>LOOKUP(AM$2,'Depreciation Schedules'!$A$3:$A$42,'Depreciation Schedules'!$E$3:$E$42)</f>
        <v>#N/A</v>
      </c>
      <c r="AN382" s="231" t="e">
        <f>LOOKUP(AN$2,'Depreciation Schedules'!$A$3:$A$42,'Depreciation Schedules'!$E$3:$E$42)</f>
        <v>#N/A</v>
      </c>
      <c r="AO382" s="231" t="e">
        <f>LOOKUP(AO$2,'Depreciation Schedules'!$A$3:$A$42,'Depreciation Schedules'!$E$3:$E$42)</f>
        <v>#N/A</v>
      </c>
      <c r="AP382" s="231" t="e">
        <f>LOOKUP(AP$2,'Depreciation Schedules'!$A$3:$A$42,'Depreciation Schedules'!$E$3:$E$42)</f>
        <v>#N/A</v>
      </c>
    </row>
    <row r="383" spans="1:42" x14ac:dyDescent="0.2">
      <c r="A383" s="34" t="str">
        <f t="shared" si="175"/>
        <v>20-yr SL</v>
      </c>
      <c r="B383" s="230">
        <f t="array" ref="B383">SUM(IF(ISNUMBER(C383:AP383),C383:AP383))</f>
        <v>100</v>
      </c>
      <c r="C383" s="231">
        <f>LOOKUP(C$2,'Depreciation Schedules'!$A$3:$A$42,'Depreciation Schedules'!$F$3:$F$42)</f>
        <v>2.5</v>
      </c>
      <c r="D383" s="231">
        <f>LOOKUP(D$2,'Depreciation Schedules'!$A$3:$A$42,'Depreciation Schedules'!$F$3:$F$42)</f>
        <v>5</v>
      </c>
      <c r="E383" s="231">
        <f>LOOKUP(E$2,'Depreciation Schedules'!$A$3:$A$42,'Depreciation Schedules'!$F$3:$F$42)</f>
        <v>5</v>
      </c>
      <c r="F383" s="231">
        <f>LOOKUP(F$2,'Depreciation Schedules'!$A$3:$A$42,'Depreciation Schedules'!$F$3:$F$42)</f>
        <v>5</v>
      </c>
      <c r="G383" s="231">
        <f>LOOKUP(G$2,'Depreciation Schedules'!$A$3:$A$42,'Depreciation Schedules'!$F$3:$F$42)</f>
        <v>5</v>
      </c>
      <c r="H383" s="231">
        <f>LOOKUP(H$2,'Depreciation Schedules'!$A$3:$A$42,'Depreciation Schedules'!$F$3:$F$42)</f>
        <v>5</v>
      </c>
      <c r="I383" s="231">
        <f>LOOKUP(I$2,'Depreciation Schedules'!$A$3:$A$42,'Depreciation Schedules'!$F$3:$F$42)</f>
        <v>5</v>
      </c>
      <c r="J383" s="231">
        <f>LOOKUP(J$2,'Depreciation Schedules'!$A$3:$A$42,'Depreciation Schedules'!$F$3:$F$42)</f>
        <v>5</v>
      </c>
      <c r="K383" s="231">
        <f>LOOKUP(K$2,'Depreciation Schedules'!$A$3:$A$42,'Depreciation Schedules'!$F$3:$F$42)</f>
        <v>5</v>
      </c>
      <c r="L383" s="231">
        <f>LOOKUP(L$2,'Depreciation Schedules'!$A$3:$A$42,'Depreciation Schedules'!$F$3:$F$42)</f>
        <v>5</v>
      </c>
      <c r="M383" s="231">
        <f>LOOKUP(M$2,'Depreciation Schedules'!$A$3:$A$42,'Depreciation Schedules'!$F$3:$F$42)</f>
        <v>5</v>
      </c>
      <c r="N383" s="231">
        <f>LOOKUP(N$2,'Depreciation Schedules'!$A$3:$A$42,'Depreciation Schedules'!$F$3:$F$42)</f>
        <v>5</v>
      </c>
      <c r="O383" s="231">
        <f>LOOKUP(O$2,'Depreciation Schedules'!$A$3:$A$42,'Depreciation Schedules'!$F$3:$F$42)</f>
        <v>5</v>
      </c>
      <c r="P383" s="231">
        <f>LOOKUP(P$2,'Depreciation Schedules'!$A$3:$A$42,'Depreciation Schedules'!$F$3:$F$42)</f>
        <v>5</v>
      </c>
      <c r="Q383" s="231">
        <f>LOOKUP(Q$2,'Depreciation Schedules'!$A$3:$A$42,'Depreciation Schedules'!$F$3:$F$42)</f>
        <v>5</v>
      </c>
      <c r="R383" s="231">
        <f>LOOKUP(R$2,'Depreciation Schedules'!$A$3:$A$42,'Depreciation Schedules'!$F$3:$F$42)</f>
        <v>5</v>
      </c>
      <c r="S383" s="231">
        <f>LOOKUP(S$2,'Depreciation Schedules'!$A$3:$A$42,'Depreciation Schedules'!$F$3:$F$42)</f>
        <v>5</v>
      </c>
      <c r="T383" s="231">
        <f>LOOKUP(T$2,'Depreciation Schedules'!$A$3:$A$42,'Depreciation Schedules'!$F$3:$F$42)</f>
        <v>5</v>
      </c>
      <c r="U383" s="231">
        <f>LOOKUP(U$2,'Depreciation Schedules'!$A$3:$A$42,'Depreciation Schedules'!$F$3:$F$42)</f>
        <v>5</v>
      </c>
      <c r="V383" s="231">
        <f>LOOKUP(V$2,'Depreciation Schedules'!$A$3:$A$42,'Depreciation Schedules'!$F$3:$F$42)</f>
        <v>5</v>
      </c>
      <c r="W383" s="231">
        <f>LOOKUP(W$2,'Depreciation Schedules'!$A$3:$A$42,'Depreciation Schedules'!$F$3:$F$42)</f>
        <v>2.5</v>
      </c>
      <c r="X383" s="231">
        <f>LOOKUP(X$2,'Depreciation Schedules'!$A$3:$A$42,'Depreciation Schedules'!$F$3:$F$42)</f>
        <v>0</v>
      </c>
      <c r="Y383" s="231">
        <f>LOOKUP(Y$2,'Depreciation Schedules'!$A$3:$A$42,'Depreciation Schedules'!$F$3:$F$42)</f>
        <v>0</v>
      </c>
      <c r="Z383" s="231">
        <f>LOOKUP(Z$2,'Depreciation Schedules'!$A$3:$A$42,'Depreciation Schedules'!$F$3:$F$42)</f>
        <v>0</v>
      </c>
      <c r="AA383" s="231">
        <f>LOOKUP(AA$2,'Depreciation Schedules'!$A$3:$A$42,'Depreciation Schedules'!$F$3:$F$42)</f>
        <v>0</v>
      </c>
      <c r="AB383" s="231" t="e">
        <f>LOOKUP(AB$2,'Depreciation Schedules'!$A$3:$A$42,'Depreciation Schedules'!$F$3:$F$42)</f>
        <v>#N/A</v>
      </c>
      <c r="AC383" s="231" t="e">
        <f>LOOKUP(AC$2,'Depreciation Schedules'!$A$3:$A$42,'Depreciation Schedules'!$F$3:$F$42)</f>
        <v>#N/A</v>
      </c>
      <c r="AD383" s="231" t="e">
        <f>LOOKUP(AD$2,'Depreciation Schedules'!$A$3:$A$42,'Depreciation Schedules'!$F$3:$F$42)</f>
        <v>#N/A</v>
      </c>
      <c r="AE383" s="231" t="e">
        <f>LOOKUP(AE$2,'Depreciation Schedules'!$A$3:$A$42,'Depreciation Schedules'!$F$3:$F$42)</f>
        <v>#N/A</v>
      </c>
      <c r="AF383" s="231" t="e">
        <f>LOOKUP(AF$2,'Depreciation Schedules'!$A$3:$A$42,'Depreciation Schedules'!$F$3:$F$42)</f>
        <v>#N/A</v>
      </c>
      <c r="AG383" s="231" t="e">
        <f>LOOKUP(AG$2,'Depreciation Schedules'!$A$3:$A$42,'Depreciation Schedules'!$F$3:$F$42)</f>
        <v>#N/A</v>
      </c>
      <c r="AH383" s="231" t="e">
        <f>LOOKUP(AH$2,'Depreciation Schedules'!$A$3:$A$42,'Depreciation Schedules'!$F$3:$F$42)</f>
        <v>#N/A</v>
      </c>
      <c r="AI383" s="231" t="e">
        <f>LOOKUP(AI$2,'Depreciation Schedules'!$A$3:$A$42,'Depreciation Schedules'!$F$3:$F$42)</f>
        <v>#N/A</v>
      </c>
      <c r="AJ383" s="231" t="e">
        <f>LOOKUP(AJ$2,'Depreciation Schedules'!$A$3:$A$42,'Depreciation Schedules'!$F$3:$F$42)</f>
        <v>#N/A</v>
      </c>
      <c r="AK383" s="231" t="e">
        <f>LOOKUP(AK$2,'Depreciation Schedules'!$A$3:$A$42,'Depreciation Schedules'!$F$3:$F$42)</f>
        <v>#N/A</v>
      </c>
      <c r="AL383" s="231" t="e">
        <f>LOOKUP(AL$2,'Depreciation Schedules'!$A$3:$A$42,'Depreciation Schedules'!$F$3:$F$42)</f>
        <v>#N/A</v>
      </c>
      <c r="AM383" s="231" t="e">
        <f>LOOKUP(AM$2,'Depreciation Schedules'!$A$3:$A$42,'Depreciation Schedules'!$F$3:$F$42)</f>
        <v>#N/A</v>
      </c>
      <c r="AN383" s="231" t="e">
        <f>LOOKUP(AN$2,'Depreciation Schedules'!$A$3:$A$42,'Depreciation Schedules'!$F$3:$F$42)</f>
        <v>#N/A</v>
      </c>
      <c r="AO383" s="231" t="e">
        <f>LOOKUP(AO$2,'Depreciation Schedules'!$A$3:$A$42,'Depreciation Schedules'!$F$3:$F$42)</f>
        <v>#N/A</v>
      </c>
      <c r="AP383" s="231" t="e">
        <f>LOOKUP(AP$2,'Depreciation Schedules'!$A$3:$A$42,'Depreciation Schedules'!$F$3:$F$42)</f>
        <v>#N/A</v>
      </c>
    </row>
    <row r="384" spans="1:42" x14ac:dyDescent="0.2">
      <c r="A384" s="34" t="str">
        <f t="shared" si="175"/>
        <v>39-yr SL</v>
      </c>
      <c r="B384" s="234">
        <f t="array" ref="B384">SUM(IF(ISNUMBER(C384:AP384),C384:AP384))</f>
        <v>62.820512820512739</v>
      </c>
      <c r="C384" s="231">
        <f>LOOKUP(C$2,'Depreciation Schedules'!$A$3:$A$42,'Depreciation Schedules'!$G$3:$G$42)</f>
        <v>1.2820512820512799</v>
      </c>
      <c r="D384" s="231">
        <f>LOOKUP(D$2,'Depreciation Schedules'!$A$3:$A$42,'Depreciation Schedules'!$G$3:$G$42)</f>
        <v>2.5641025641025599</v>
      </c>
      <c r="E384" s="231">
        <f>LOOKUP(E$2,'Depreciation Schedules'!$A$3:$A$42,'Depreciation Schedules'!$G$3:$G$42)</f>
        <v>2.5641025641025599</v>
      </c>
      <c r="F384" s="231">
        <f>LOOKUP(F$2,'Depreciation Schedules'!$A$3:$A$42,'Depreciation Schedules'!$G$3:$G$42)</f>
        <v>2.5641025641025599</v>
      </c>
      <c r="G384" s="231">
        <f>LOOKUP(G$2,'Depreciation Schedules'!$A$3:$A$42,'Depreciation Schedules'!$G$3:$G$42)</f>
        <v>2.5641025641025599</v>
      </c>
      <c r="H384" s="231">
        <f>LOOKUP(H$2,'Depreciation Schedules'!$A$3:$A$42,'Depreciation Schedules'!$G$3:$G$42)</f>
        <v>2.5641025641025599</v>
      </c>
      <c r="I384" s="231">
        <f>LOOKUP(I$2,'Depreciation Schedules'!$A$3:$A$42,'Depreciation Schedules'!$G$3:$G$42)</f>
        <v>2.5641025641025599</v>
      </c>
      <c r="J384" s="231">
        <f>LOOKUP(J$2,'Depreciation Schedules'!$A$3:$A$42,'Depreciation Schedules'!$G$3:$G$42)</f>
        <v>2.5641025641025599</v>
      </c>
      <c r="K384" s="231">
        <f>LOOKUP(K$2,'Depreciation Schedules'!$A$3:$A$42,'Depreciation Schedules'!$G$3:$G$42)</f>
        <v>2.5641025641025599</v>
      </c>
      <c r="L384" s="231">
        <f>LOOKUP(L$2,'Depreciation Schedules'!$A$3:$A$42,'Depreciation Schedules'!$G$3:$G$42)</f>
        <v>2.5641025641025599</v>
      </c>
      <c r="M384" s="231">
        <f>LOOKUP(M$2,'Depreciation Schedules'!$A$3:$A$42,'Depreciation Schedules'!$G$3:$G$42)</f>
        <v>2.5641025641025599</v>
      </c>
      <c r="N384" s="231">
        <f>LOOKUP(N$2,'Depreciation Schedules'!$A$3:$A$42,'Depreciation Schedules'!$G$3:$G$42)</f>
        <v>2.5641025641025599</v>
      </c>
      <c r="O384" s="231">
        <f>LOOKUP(O$2,'Depreciation Schedules'!$A$3:$A$42,'Depreciation Schedules'!$G$3:$G$42)</f>
        <v>2.5641025641025599</v>
      </c>
      <c r="P384" s="231">
        <f>LOOKUP(P$2,'Depreciation Schedules'!$A$3:$A$42,'Depreciation Schedules'!$G$3:$G$42)</f>
        <v>2.5641025641025599</v>
      </c>
      <c r="Q384" s="231">
        <f>LOOKUP(Q$2,'Depreciation Schedules'!$A$3:$A$42,'Depreciation Schedules'!$G$3:$G$42)</f>
        <v>2.5641025641025599</v>
      </c>
      <c r="R384" s="231">
        <f>LOOKUP(R$2,'Depreciation Schedules'!$A$3:$A$42,'Depreciation Schedules'!$G$3:$G$42)</f>
        <v>2.5641025641025599</v>
      </c>
      <c r="S384" s="231">
        <f>LOOKUP(S$2,'Depreciation Schedules'!$A$3:$A$42,'Depreciation Schedules'!$G$3:$G$42)</f>
        <v>2.5641025641025599</v>
      </c>
      <c r="T384" s="231">
        <f>LOOKUP(T$2,'Depreciation Schedules'!$A$3:$A$42,'Depreciation Schedules'!$G$3:$G$42)</f>
        <v>2.5641025641025599</v>
      </c>
      <c r="U384" s="231">
        <f>LOOKUP(U$2,'Depreciation Schedules'!$A$3:$A$42,'Depreciation Schedules'!$G$3:$G$42)</f>
        <v>2.5641025641025599</v>
      </c>
      <c r="V384" s="231">
        <f>LOOKUP(V$2,'Depreciation Schedules'!$A$3:$A$42,'Depreciation Schedules'!$G$3:$G$42)</f>
        <v>2.5641025641025599</v>
      </c>
      <c r="W384" s="231">
        <f>LOOKUP(W$2,'Depreciation Schedules'!$A$3:$A$42,'Depreciation Schedules'!$G$3:$G$42)</f>
        <v>2.5641025641025599</v>
      </c>
      <c r="X384" s="231">
        <f>LOOKUP(X$2,'Depreciation Schedules'!$A$3:$A$42,'Depreciation Schedules'!$G$3:$G$42)</f>
        <v>2.5641025641025599</v>
      </c>
      <c r="Y384" s="231">
        <f>LOOKUP(Y$2,'Depreciation Schedules'!$A$3:$A$42,'Depreciation Schedules'!$G$3:$G$42)</f>
        <v>2.5641025641025599</v>
      </c>
      <c r="Z384" s="231">
        <f>LOOKUP(Z$2,'Depreciation Schedules'!$A$3:$A$42,'Depreciation Schedules'!$G$3:$G$42)</f>
        <v>2.5641025641025599</v>
      </c>
      <c r="AA384" s="231">
        <f>LOOKUP(AA$2,'Depreciation Schedules'!$A$3:$A$42,'Depreciation Schedules'!$G$3:$G$42)</f>
        <v>2.5641025641025599</v>
      </c>
      <c r="AB384" s="231" t="e">
        <f>LOOKUP(AB$2,'Depreciation Schedules'!$A$3:$A$42,'Depreciation Schedules'!$G$3:$G$42)</f>
        <v>#N/A</v>
      </c>
      <c r="AC384" s="231" t="e">
        <f>LOOKUP(AC$2,'Depreciation Schedules'!$A$3:$A$42,'Depreciation Schedules'!$G$3:$G$42)</f>
        <v>#N/A</v>
      </c>
      <c r="AD384" s="231" t="e">
        <f>LOOKUP(AD$2,'Depreciation Schedules'!$A$3:$A$42,'Depreciation Schedules'!$G$3:$G$42)</f>
        <v>#N/A</v>
      </c>
      <c r="AE384" s="231" t="e">
        <f>LOOKUP(AE$2,'Depreciation Schedules'!$A$3:$A$42,'Depreciation Schedules'!$G$3:$G$42)</f>
        <v>#N/A</v>
      </c>
      <c r="AF384" s="231" t="e">
        <f>LOOKUP(AF$2,'Depreciation Schedules'!$A$3:$A$42,'Depreciation Schedules'!$G$3:$G$42)</f>
        <v>#N/A</v>
      </c>
      <c r="AG384" s="231" t="e">
        <f>LOOKUP(AG$2,'Depreciation Schedules'!$A$3:$A$42,'Depreciation Schedules'!$G$3:$G$42)</f>
        <v>#N/A</v>
      </c>
      <c r="AH384" s="231" t="e">
        <f>LOOKUP(AH$2,'Depreciation Schedules'!$A$3:$A$42,'Depreciation Schedules'!$G$3:$G$42)</f>
        <v>#N/A</v>
      </c>
      <c r="AI384" s="231" t="e">
        <f>LOOKUP(AI$2,'Depreciation Schedules'!$A$3:$A$42,'Depreciation Schedules'!$G$3:$G$42)</f>
        <v>#N/A</v>
      </c>
      <c r="AJ384" s="231" t="e">
        <f>LOOKUP(AJ$2,'Depreciation Schedules'!$A$3:$A$42,'Depreciation Schedules'!$G$3:$G$42)</f>
        <v>#N/A</v>
      </c>
      <c r="AK384" s="231" t="e">
        <f>LOOKUP(AK$2,'Depreciation Schedules'!$A$3:$A$42,'Depreciation Schedules'!$G$3:$G$42)</f>
        <v>#N/A</v>
      </c>
      <c r="AL384" s="231" t="e">
        <f>LOOKUP(AL$2,'Depreciation Schedules'!$A$3:$A$42,'Depreciation Schedules'!$G$3:$G$42)</f>
        <v>#N/A</v>
      </c>
      <c r="AM384" s="231" t="e">
        <f>LOOKUP(AM$2,'Depreciation Schedules'!$A$3:$A$42,'Depreciation Schedules'!$G$3:$G$42)</f>
        <v>#N/A</v>
      </c>
      <c r="AN384" s="231" t="e">
        <f>LOOKUP(AN$2,'Depreciation Schedules'!$A$3:$A$42,'Depreciation Schedules'!$G$3:$G$42)</f>
        <v>#N/A</v>
      </c>
      <c r="AO384" s="231" t="e">
        <f>LOOKUP(AO$2,'Depreciation Schedules'!$A$3:$A$42,'Depreciation Schedules'!$G$3:$G$42)</f>
        <v>#N/A</v>
      </c>
      <c r="AP384" s="231" t="e">
        <f>LOOKUP(AP$2,'Depreciation Schedules'!$A$3:$A$42,'Depreciation Schedules'!$G$3:$G$42)</f>
        <v>#N/A</v>
      </c>
    </row>
    <row r="385" spans="1:42" x14ac:dyDescent="0.2">
      <c r="A385" s="42"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row>
    <row r="386" spans="1:42" x14ac:dyDescent="0.2">
      <c r="A386" s="34" t="str">
        <f>A379</f>
        <v>5-yr MACRS</v>
      </c>
      <c r="B386" s="243">
        <f t="array" ref="B386">SUM(IF(ISNUMBER(C386:AP386),C386:AP386))</f>
        <v>30617463.006318454</v>
      </c>
      <c r="C386" s="195">
        <f>C379/100*$Q$347</f>
        <v>6123492.6012636907</v>
      </c>
      <c r="D386" s="195">
        <f t="shared" ref="D386:AP386" si="176">D379/100*$Q$347</f>
        <v>9797588.1620219033</v>
      </c>
      <c r="E386" s="195">
        <f t="shared" si="176"/>
        <v>5878552.8972131424</v>
      </c>
      <c r="F386" s="195">
        <f t="shared" si="176"/>
        <v>3527131.7383278855</v>
      </c>
      <c r="G386" s="195">
        <f t="shared" si="176"/>
        <v>3527131.7383278855</v>
      </c>
      <c r="H386" s="195">
        <f t="shared" si="176"/>
        <v>1763565.8691639428</v>
      </c>
      <c r="I386" s="195">
        <f t="shared" si="176"/>
        <v>0</v>
      </c>
      <c r="J386" s="195">
        <f t="shared" si="176"/>
        <v>0</v>
      </c>
      <c r="K386" s="195">
        <f t="shared" si="176"/>
        <v>0</v>
      </c>
      <c r="L386" s="195">
        <f t="shared" si="176"/>
        <v>0</v>
      </c>
      <c r="M386" s="195">
        <f t="shared" si="176"/>
        <v>0</v>
      </c>
      <c r="N386" s="195">
        <f t="shared" si="176"/>
        <v>0</v>
      </c>
      <c r="O386" s="195">
        <f t="shared" si="176"/>
        <v>0</v>
      </c>
      <c r="P386" s="195">
        <f t="shared" si="176"/>
        <v>0</v>
      </c>
      <c r="Q386" s="195">
        <f t="shared" si="176"/>
        <v>0</v>
      </c>
      <c r="R386" s="195">
        <f t="shared" si="176"/>
        <v>0</v>
      </c>
      <c r="S386" s="195">
        <f t="shared" si="176"/>
        <v>0</v>
      </c>
      <c r="T386" s="195">
        <f t="shared" si="176"/>
        <v>0</v>
      </c>
      <c r="U386" s="195">
        <f t="shared" si="176"/>
        <v>0</v>
      </c>
      <c r="V386" s="195">
        <f t="shared" si="176"/>
        <v>0</v>
      </c>
      <c r="W386" s="195">
        <f t="shared" si="176"/>
        <v>0</v>
      </c>
      <c r="X386" s="195">
        <f t="shared" si="176"/>
        <v>0</v>
      </c>
      <c r="Y386" s="195">
        <f t="shared" si="176"/>
        <v>0</v>
      </c>
      <c r="Z386" s="195">
        <f t="shared" si="176"/>
        <v>0</v>
      </c>
      <c r="AA386" s="195">
        <f t="shared" si="176"/>
        <v>0</v>
      </c>
      <c r="AB386" s="195" t="e">
        <f t="shared" si="176"/>
        <v>#N/A</v>
      </c>
      <c r="AC386" s="195" t="e">
        <f t="shared" si="176"/>
        <v>#N/A</v>
      </c>
      <c r="AD386" s="195" t="e">
        <f t="shared" si="176"/>
        <v>#N/A</v>
      </c>
      <c r="AE386" s="195" t="e">
        <f t="shared" si="176"/>
        <v>#N/A</v>
      </c>
      <c r="AF386" s="195" t="e">
        <f t="shared" si="176"/>
        <v>#N/A</v>
      </c>
      <c r="AG386" s="195" t="e">
        <f t="shared" si="176"/>
        <v>#N/A</v>
      </c>
      <c r="AH386" s="195" t="e">
        <f t="shared" si="176"/>
        <v>#N/A</v>
      </c>
      <c r="AI386" s="195" t="e">
        <f t="shared" si="176"/>
        <v>#N/A</v>
      </c>
      <c r="AJ386" s="195" t="e">
        <f t="shared" si="176"/>
        <v>#N/A</v>
      </c>
      <c r="AK386" s="195" t="e">
        <f t="shared" si="176"/>
        <v>#N/A</v>
      </c>
      <c r="AL386" s="195" t="e">
        <f t="shared" si="176"/>
        <v>#N/A</v>
      </c>
      <c r="AM386" s="195" t="e">
        <f t="shared" si="176"/>
        <v>#N/A</v>
      </c>
      <c r="AN386" s="195" t="e">
        <f t="shared" si="176"/>
        <v>#N/A</v>
      </c>
      <c r="AO386" s="195" t="e">
        <f t="shared" si="176"/>
        <v>#N/A</v>
      </c>
      <c r="AP386" s="195" t="e">
        <f t="shared" si="176"/>
        <v>#N/A</v>
      </c>
    </row>
    <row r="387" spans="1:42" x14ac:dyDescent="0.2">
      <c r="A387" s="34" t="str">
        <f t="shared" ref="A387:A391" si="177">A380</f>
        <v>15-yr MACRS</v>
      </c>
      <c r="B387" s="243">
        <f t="array" ref="B387">SUM(IF(ISNUMBER(C387:AP387),C387:AP387))</f>
        <v>600282.37764740828</v>
      </c>
      <c r="C387" s="195">
        <f>C380/100*$Q$348</f>
        <v>30017.120594429856</v>
      </c>
      <c r="D387" s="195">
        <f t="shared" ref="D387:AP387" si="178">D380/100*$Q$348</f>
        <v>57032.529129416725</v>
      </c>
      <c r="E387" s="195">
        <f t="shared" si="178"/>
        <v>51329.276216475053</v>
      </c>
      <c r="F387" s="195">
        <f t="shared" si="178"/>
        <v>46226.365715421976</v>
      </c>
      <c r="G387" s="195">
        <f t="shared" si="178"/>
        <v>41603.729143879777</v>
      </c>
      <c r="H387" s="195">
        <f t="shared" si="178"/>
        <v>37401.332260659598</v>
      </c>
      <c r="I387" s="195">
        <f t="shared" si="178"/>
        <v>35420.202301427227</v>
      </c>
      <c r="J387" s="195">
        <f t="shared" si="178"/>
        <v>35420.202301427227</v>
      </c>
      <c r="K387" s="195">
        <f t="shared" si="178"/>
        <v>35480.236542616083</v>
      </c>
      <c r="L387" s="195">
        <f t="shared" si="178"/>
        <v>35420.202301427227</v>
      </c>
      <c r="M387" s="195">
        <f t="shared" si="178"/>
        <v>35480.236542616083</v>
      </c>
      <c r="N387" s="195">
        <f t="shared" si="178"/>
        <v>35420.202301427227</v>
      </c>
      <c r="O387" s="195">
        <f t="shared" si="178"/>
        <v>35480.236542616083</v>
      </c>
      <c r="P387" s="195">
        <f t="shared" si="178"/>
        <v>35420.202301427227</v>
      </c>
      <c r="Q387" s="195">
        <f t="shared" si="178"/>
        <v>35420.202301427227</v>
      </c>
      <c r="R387" s="195">
        <f t="shared" si="178"/>
        <v>17710.101150713614</v>
      </c>
      <c r="S387" s="195">
        <f t="shared" si="178"/>
        <v>0</v>
      </c>
      <c r="T387" s="195">
        <f t="shared" si="178"/>
        <v>0</v>
      </c>
      <c r="U387" s="195">
        <f t="shared" si="178"/>
        <v>0</v>
      </c>
      <c r="V387" s="195">
        <f t="shared" si="178"/>
        <v>0</v>
      </c>
      <c r="W387" s="195">
        <f t="shared" si="178"/>
        <v>0</v>
      </c>
      <c r="X387" s="195">
        <f t="shared" si="178"/>
        <v>0</v>
      </c>
      <c r="Y387" s="195">
        <f t="shared" si="178"/>
        <v>0</v>
      </c>
      <c r="Z387" s="195">
        <f t="shared" si="178"/>
        <v>0</v>
      </c>
      <c r="AA387" s="195">
        <f t="shared" si="178"/>
        <v>0</v>
      </c>
      <c r="AB387" s="195" t="e">
        <f t="shared" si="178"/>
        <v>#N/A</v>
      </c>
      <c r="AC387" s="195" t="e">
        <f t="shared" si="178"/>
        <v>#N/A</v>
      </c>
      <c r="AD387" s="195" t="e">
        <f t="shared" si="178"/>
        <v>#N/A</v>
      </c>
      <c r="AE387" s="195" t="e">
        <f t="shared" si="178"/>
        <v>#N/A</v>
      </c>
      <c r="AF387" s="195" t="e">
        <f t="shared" si="178"/>
        <v>#N/A</v>
      </c>
      <c r="AG387" s="195" t="e">
        <f t="shared" si="178"/>
        <v>#N/A</v>
      </c>
      <c r="AH387" s="195" t="e">
        <f t="shared" si="178"/>
        <v>#N/A</v>
      </c>
      <c r="AI387" s="195" t="e">
        <f t="shared" si="178"/>
        <v>#N/A</v>
      </c>
      <c r="AJ387" s="195" t="e">
        <f t="shared" si="178"/>
        <v>#N/A</v>
      </c>
      <c r="AK387" s="195" t="e">
        <f t="shared" si="178"/>
        <v>#N/A</v>
      </c>
      <c r="AL387" s="195" t="e">
        <f t="shared" si="178"/>
        <v>#N/A</v>
      </c>
      <c r="AM387" s="195" t="e">
        <f t="shared" si="178"/>
        <v>#N/A</v>
      </c>
      <c r="AN387" s="195" t="e">
        <f t="shared" si="178"/>
        <v>#N/A</v>
      </c>
      <c r="AO387" s="195" t="e">
        <f t="shared" si="178"/>
        <v>#N/A</v>
      </c>
      <c r="AP387" s="195" t="e">
        <f t="shared" si="178"/>
        <v>#N/A</v>
      </c>
    </row>
    <row r="388" spans="1:42" x14ac:dyDescent="0.2">
      <c r="A388" s="34" t="str">
        <f t="shared" si="177"/>
        <v>5-yr SL</v>
      </c>
      <c r="B388" s="243">
        <f t="array" ref="B388">SUM(IF(ISNUMBER(C388:AP388),C388:AP388))</f>
        <v>0</v>
      </c>
      <c r="C388" s="195">
        <f>C381/100*$Q$349</f>
        <v>0</v>
      </c>
      <c r="D388" s="195">
        <f t="shared" ref="D388:AP388" si="179">D381/100*$Q$349</f>
        <v>0</v>
      </c>
      <c r="E388" s="195">
        <f t="shared" si="179"/>
        <v>0</v>
      </c>
      <c r="F388" s="195">
        <f t="shared" si="179"/>
        <v>0</v>
      </c>
      <c r="G388" s="195">
        <f t="shared" si="179"/>
        <v>0</v>
      </c>
      <c r="H388" s="195">
        <f t="shared" si="179"/>
        <v>0</v>
      </c>
      <c r="I388" s="195">
        <f t="shared" si="179"/>
        <v>0</v>
      </c>
      <c r="J388" s="195">
        <f t="shared" si="179"/>
        <v>0</v>
      </c>
      <c r="K388" s="195">
        <f t="shared" si="179"/>
        <v>0</v>
      </c>
      <c r="L388" s="195">
        <f t="shared" si="179"/>
        <v>0</v>
      </c>
      <c r="M388" s="195">
        <f t="shared" si="179"/>
        <v>0</v>
      </c>
      <c r="N388" s="195">
        <f t="shared" si="179"/>
        <v>0</v>
      </c>
      <c r="O388" s="195">
        <f t="shared" si="179"/>
        <v>0</v>
      </c>
      <c r="P388" s="195">
        <f t="shared" si="179"/>
        <v>0</v>
      </c>
      <c r="Q388" s="195">
        <f t="shared" si="179"/>
        <v>0</v>
      </c>
      <c r="R388" s="195">
        <f t="shared" si="179"/>
        <v>0</v>
      </c>
      <c r="S388" s="195">
        <f t="shared" si="179"/>
        <v>0</v>
      </c>
      <c r="T388" s="195">
        <f t="shared" si="179"/>
        <v>0</v>
      </c>
      <c r="U388" s="195">
        <f t="shared" si="179"/>
        <v>0</v>
      </c>
      <c r="V388" s="195">
        <f t="shared" si="179"/>
        <v>0</v>
      </c>
      <c r="W388" s="195">
        <f t="shared" si="179"/>
        <v>0</v>
      </c>
      <c r="X388" s="195">
        <f t="shared" si="179"/>
        <v>0</v>
      </c>
      <c r="Y388" s="195">
        <f t="shared" si="179"/>
        <v>0</v>
      </c>
      <c r="Z388" s="195">
        <f t="shared" si="179"/>
        <v>0</v>
      </c>
      <c r="AA388" s="195">
        <f t="shared" si="179"/>
        <v>0</v>
      </c>
      <c r="AB388" s="195" t="e">
        <f t="shared" si="179"/>
        <v>#N/A</v>
      </c>
      <c r="AC388" s="195" t="e">
        <f t="shared" si="179"/>
        <v>#N/A</v>
      </c>
      <c r="AD388" s="195" t="e">
        <f t="shared" si="179"/>
        <v>#N/A</v>
      </c>
      <c r="AE388" s="195" t="e">
        <f t="shared" si="179"/>
        <v>#N/A</v>
      </c>
      <c r="AF388" s="195" t="e">
        <f t="shared" si="179"/>
        <v>#N/A</v>
      </c>
      <c r="AG388" s="195" t="e">
        <f t="shared" si="179"/>
        <v>#N/A</v>
      </c>
      <c r="AH388" s="195" t="e">
        <f t="shared" si="179"/>
        <v>#N/A</v>
      </c>
      <c r="AI388" s="195" t="e">
        <f t="shared" si="179"/>
        <v>#N/A</v>
      </c>
      <c r="AJ388" s="195" t="e">
        <f t="shared" si="179"/>
        <v>#N/A</v>
      </c>
      <c r="AK388" s="195" t="e">
        <f t="shared" si="179"/>
        <v>#N/A</v>
      </c>
      <c r="AL388" s="195" t="e">
        <f t="shared" si="179"/>
        <v>#N/A</v>
      </c>
      <c r="AM388" s="195" t="e">
        <f t="shared" si="179"/>
        <v>#N/A</v>
      </c>
      <c r="AN388" s="195" t="e">
        <f t="shared" si="179"/>
        <v>#N/A</v>
      </c>
      <c r="AO388" s="195" t="e">
        <f t="shared" si="179"/>
        <v>#N/A</v>
      </c>
      <c r="AP388" s="195" t="e">
        <f t="shared" si="179"/>
        <v>#N/A</v>
      </c>
    </row>
    <row r="389" spans="1:42" x14ac:dyDescent="0.2">
      <c r="A389" s="34" t="str">
        <f t="shared" si="177"/>
        <v>15-yr SL</v>
      </c>
      <c r="B389" s="243">
        <f t="array" ref="B389">SUM(IF(ISNUMBER(C389:AP389),C389:AP389))</f>
        <v>1000770.8006182915</v>
      </c>
      <c r="C389" s="195">
        <f>C382/100*$Q$350</f>
        <v>33319.003859817145</v>
      </c>
      <c r="D389" s="195">
        <f t="shared" ref="D389:AP389" si="180">D382/100*$Q$350</f>
        <v>66738.064788282369</v>
      </c>
      <c r="E389" s="195">
        <f t="shared" si="180"/>
        <v>66738.064788282369</v>
      </c>
      <c r="F389" s="195">
        <f t="shared" si="180"/>
        <v>66738.064788282369</v>
      </c>
      <c r="G389" s="195">
        <f t="shared" si="180"/>
        <v>66738.064788282369</v>
      </c>
      <c r="H389" s="195">
        <f t="shared" si="180"/>
        <v>66738.064788282369</v>
      </c>
      <c r="I389" s="195">
        <f t="shared" si="180"/>
        <v>66738.064788282369</v>
      </c>
      <c r="J389" s="195">
        <f t="shared" si="180"/>
        <v>66738.064788282369</v>
      </c>
      <c r="K389" s="195">
        <f t="shared" si="180"/>
        <v>66738.064788282369</v>
      </c>
      <c r="L389" s="195">
        <f t="shared" si="180"/>
        <v>66738.064788282369</v>
      </c>
      <c r="M389" s="195">
        <f t="shared" si="180"/>
        <v>66738.064788282369</v>
      </c>
      <c r="N389" s="195">
        <f t="shared" si="180"/>
        <v>66638.00771963429</v>
      </c>
      <c r="O389" s="195">
        <f t="shared" si="180"/>
        <v>66738.064788282369</v>
      </c>
      <c r="P389" s="195">
        <f t="shared" si="180"/>
        <v>66638.00771963429</v>
      </c>
      <c r="Q389" s="195">
        <f t="shared" si="180"/>
        <v>66738.064788282369</v>
      </c>
      <c r="R389" s="195">
        <f t="shared" si="180"/>
        <v>33319.003859817145</v>
      </c>
      <c r="S389" s="195">
        <f t="shared" si="180"/>
        <v>0</v>
      </c>
      <c r="T389" s="195">
        <f t="shared" si="180"/>
        <v>0</v>
      </c>
      <c r="U389" s="195">
        <f t="shared" si="180"/>
        <v>0</v>
      </c>
      <c r="V389" s="195">
        <f t="shared" si="180"/>
        <v>0</v>
      </c>
      <c r="W389" s="195">
        <f t="shared" si="180"/>
        <v>0</v>
      </c>
      <c r="X389" s="195">
        <f t="shared" si="180"/>
        <v>0</v>
      </c>
      <c r="Y389" s="195">
        <f t="shared" si="180"/>
        <v>0</v>
      </c>
      <c r="Z389" s="195">
        <f t="shared" si="180"/>
        <v>0</v>
      </c>
      <c r="AA389" s="195">
        <f t="shared" si="180"/>
        <v>0</v>
      </c>
      <c r="AB389" s="195" t="e">
        <f t="shared" si="180"/>
        <v>#N/A</v>
      </c>
      <c r="AC389" s="195" t="e">
        <f t="shared" si="180"/>
        <v>#N/A</v>
      </c>
      <c r="AD389" s="195" t="e">
        <f t="shared" si="180"/>
        <v>#N/A</v>
      </c>
      <c r="AE389" s="195" t="e">
        <f t="shared" si="180"/>
        <v>#N/A</v>
      </c>
      <c r="AF389" s="195" t="e">
        <f t="shared" si="180"/>
        <v>#N/A</v>
      </c>
      <c r="AG389" s="195" t="e">
        <f t="shared" si="180"/>
        <v>#N/A</v>
      </c>
      <c r="AH389" s="195" t="e">
        <f t="shared" si="180"/>
        <v>#N/A</v>
      </c>
      <c r="AI389" s="195" t="e">
        <f t="shared" si="180"/>
        <v>#N/A</v>
      </c>
      <c r="AJ389" s="195" t="e">
        <f t="shared" si="180"/>
        <v>#N/A</v>
      </c>
      <c r="AK389" s="195" t="e">
        <f t="shared" si="180"/>
        <v>#N/A</v>
      </c>
      <c r="AL389" s="195" t="e">
        <f t="shared" si="180"/>
        <v>#N/A</v>
      </c>
      <c r="AM389" s="195" t="e">
        <f t="shared" si="180"/>
        <v>#N/A</v>
      </c>
      <c r="AN389" s="195" t="e">
        <f t="shared" si="180"/>
        <v>#N/A</v>
      </c>
      <c r="AO389" s="195" t="e">
        <f t="shared" si="180"/>
        <v>#N/A</v>
      </c>
      <c r="AP389" s="195" t="e">
        <f t="shared" si="180"/>
        <v>#N/A</v>
      </c>
    </row>
    <row r="390" spans="1:42" x14ac:dyDescent="0.2">
      <c r="A390" s="34" t="str">
        <f t="shared" si="177"/>
        <v>20-yr SL</v>
      </c>
      <c r="B390" s="243">
        <f t="array" ref="B390">SUM(IF(ISNUMBER(C390:AP390),C390:AP390))</f>
        <v>1200684.8237771941</v>
      </c>
      <c r="C390" s="195">
        <f>C383/100*$Q$351</f>
        <v>30017.120594429856</v>
      </c>
      <c r="D390" s="195">
        <f t="shared" ref="D390:AP390" si="181">D383/100*$Q$351</f>
        <v>60034.241188859713</v>
      </c>
      <c r="E390" s="195">
        <f t="shared" si="181"/>
        <v>60034.241188859713</v>
      </c>
      <c r="F390" s="195">
        <f t="shared" si="181"/>
        <v>60034.241188859713</v>
      </c>
      <c r="G390" s="195">
        <f t="shared" si="181"/>
        <v>60034.241188859713</v>
      </c>
      <c r="H390" s="195">
        <f t="shared" si="181"/>
        <v>60034.241188859713</v>
      </c>
      <c r="I390" s="195">
        <f t="shared" si="181"/>
        <v>60034.241188859713</v>
      </c>
      <c r="J390" s="195">
        <f t="shared" si="181"/>
        <v>60034.241188859713</v>
      </c>
      <c r="K390" s="195">
        <f t="shared" si="181"/>
        <v>60034.241188859713</v>
      </c>
      <c r="L390" s="195">
        <f t="shared" si="181"/>
        <v>60034.241188859713</v>
      </c>
      <c r="M390" s="195">
        <f t="shared" si="181"/>
        <v>60034.241188859713</v>
      </c>
      <c r="N390" s="195">
        <f t="shared" si="181"/>
        <v>60034.241188859713</v>
      </c>
      <c r="O390" s="195">
        <f t="shared" si="181"/>
        <v>60034.241188859713</v>
      </c>
      <c r="P390" s="195">
        <f t="shared" si="181"/>
        <v>60034.241188859713</v>
      </c>
      <c r="Q390" s="195">
        <f t="shared" si="181"/>
        <v>60034.241188859713</v>
      </c>
      <c r="R390" s="195">
        <f t="shared" si="181"/>
        <v>60034.241188859713</v>
      </c>
      <c r="S390" s="195">
        <f t="shared" si="181"/>
        <v>60034.241188859713</v>
      </c>
      <c r="T390" s="195">
        <f t="shared" si="181"/>
        <v>60034.241188859713</v>
      </c>
      <c r="U390" s="195">
        <f t="shared" si="181"/>
        <v>60034.241188859713</v>
      </c>
      <c r="V390" s="195">
        <f t="shared" si="181"/>
        <v>60034.241188859713</v>
      </c>
      <c r="W390" s="195">
        <f t="shared" si="181"/>
        <v>30017.120594429856</v>
      </c>
      <c r="X390" s="195">
        <f t="shared" si="181"/>
        <v>0</v>
      </c>
      <c r="Y390" s="195">
        <f t="shared" si="181"/>
        <v>0</v>
      </c>
      <c r="Z390" s="195">
        <f t="shared" si="181"/>
        <v>0</v>
      </c>
      <c r="AA390" s="195">
        <f t="shared" si="181"/>
        <v>0</v>
      </c>
      <c r="AB390" s="195" t="e">
        <f t="shared" si="181"/>
        <v>#N/A</v>
      </c>
      <c r="AC390" s="195" t="e">
        <f t="shared" si="181"/>
        <v>#N/A</v>
      </c>
      <c r="AD390" s="195" t="e">
        <f t="shared" si="181"/>
        <v>#N/A</v>
      </c>
      <c r="AE390" s="195" t="e">
        <f t="shared" si="181"/>
        <v>#N/A</v>
      </c>
      <c r="AF390" s="195" t="e">
        <f t="shared" si="181"/>
        <v>#N/A</v>
      </c>
      <c r="AG390" s="195" t="e">
        <f t="shared" si="181"/>
        <v>#N/A</v>
      </c>
      <c r="AH390" s="195" t="e">
        <f t="shared" si="181"/>
        <v>#N/A</v>
      </c>
      <c r="AI390" s="195" t="e">
        <f t="shared" si="181"/>
        <v>#N/A</v>
      </c>
      <c r="AJ390" s="195" t="e">
        <f t="shared" si="181"/>
        <v>#N/A</v>
      </c>
      <c r="AK390" s="195" t="e">
        <f t="shared" si="181"/>
        <v>#N/A</v>
      </c>
      <c r="AL390" s="195" t="e">
        <f t="shared" si="181"/>
        <v>#N/A</v>
      </c>
      <c r="AM390" s="195" t="e">
        <f t="shared" si="181"/>
        <v>#N/A</v>
      </c>
      <c r="AN390" s="195" t="e">
        <f t="shared" si="181"/>
        <v>#N/A</v>
      </c>
      <c r="AO390" s="195" t="e">
        <f t="shared" si="181"/>
        <v>#N/A</v>
      </c>
      <c r="AP390" s="195" t="e">
        <f t="shared" si="181"/>
        <v>#N/A</v>
      </c>
    </row>
    <row r="391" spans="1:42" x14ac:dyDescent="0.2">
      <c r="A391" s="34" t="str">
        <f t="shared" si="177"/>
        <v>39-yr SL</v>
      </c>
      <c r="B391" s="243">
        <f t="array" ref="B391">SUM(IF(ISNUMBER(C391:AP391),C391:AP391))</f>
        <v>0</v>
      </c>
      <c r="C391" s="195">
        <f>C384/100*$Q$352</f>
        <v>0</v>
      </c>
      <c r="D391" s="195">
        <f t="shared" ref="D391:AP391" si="182">D384/100*$Q$352</f>
        <v>0</v>
      </c>
      <c r="E391" s="195">
        <f t="shared" si="182"/>
        <v>0</v>
      </c>
      <c r="F391" s="195">
        <f t="shared" si="182"/>
        <v>0</v>
      </c>
      <c r="G391" s="195">
        <f t="shared" si="182"/>
        <v>0</v>
      </c>
      <c r="H391" s="195">
        <f t="shared" si="182"/>
        <v>0</v>
      </c>
      <c r="I391" s="195">
        <f t="shared" si="182"/>
        <v>0</v>
      </c>
      <c r="J391" s="195">
        <f t="shared" si="182"/>
        <v>0</v>
      </c>
      <c r="K391" s="195">
        <f t="shared" si="182"/>
        <v>0</v>
      </c>
      <c r="L391" s="195">
        <f t="shared" si="182"/>
        <v>0</v>
      </c>
      <c r="M391" s="195">
        <f t="shared" si="182"/>
        <v>0</v>
      </c>
      <c r="N391" s="195">
        <f t="shared" si="182"/>
        <v>0</v>
      </c>
      <c r="O391" s="195">
        <f t="shared" si="182"/>
        <v>0</v>
      </c>
      <c r="P391" s="195">
        <f t="shared" si="182"/>
        <v>0</v>
      </c>
      <c r="Q391" s="195">
        <f t="shared" si="182"/>
        <v>0</v>
      </c>
      <c r="R391" s="195">
        <f t="shared" si="182"/>
        <v>0</v>
      </c>
      <c r="S391" s="195">
        <f t="shared" si="182"/>
        <v>0</v>
      </c>
      <c r="T391" s="195">
        <f t="shared" si="182"/>
        <v>0</v>
      </c>
      <c r="U391" s="195">
        <f t="shared" si="182"/>
        <v>0</v>
      </c>
      <c r="V391" s="195">
        <f t="shared" si="182"/>
        <v>0</v>
      </c>
      <c r="W391" s="195">
        <f t="shared" si="182"/>
        <v>0</v>
      </c>
      <c r="X391" s="195">
        <f t="shared" si="182"/>
        <v>0</v>
      </c>
      <c r="Y391" s="195">
        <f t="shared" si="182"/>
        <v>0</v>
      </c>
      <c r="Z391" s="195">
        <f t="shared" si="182"/>
        <v>0</v>
      </c>
      <c r="AA391" s="195">
        <f t="shared" si="182"/>
        <v>0</v>
      </c>
      <c r="AB391" s="195" t="e">
        <f t="shared" si="182"/>
        <v>#N/A</v>
      </c>
      <c r="AC391" s="195" t="e">
        <f t="shared" si="182"/>
        <v>#N/A</v>
      </c>
      <c r="AD391" s="195" t="e">
        <f t="shared" si="182"/>
        <v>#N/A</v>
      </c>
      <c r="AE391" s="195" t="e">
        <f t="shared" si="182"/>
        <v>#N/A</v>
      </c>
      <c r="AF391" s="195" t="e">
        <f t="shared" si="182"/>
        <v>#N/A</v>
      </c>
      <c r="AG391" s="195" t="e">
        <f t="shared" si="182"/>
        <v>#N/A</v>
      </c>
      <c r="AH391" s="195" t="e">
        <f t="shared" si="182"/>
        <v>#N/A</v>
      </c>
      <c r="AI391" s="195" t="e">
        <f t="shared" si="182"/>
        <v>#N/A</v>
      </c>
      <c r="AJ391" s="195" t="e">
        <f t="shared" si="182"/>
        <v>#N/A</v>
      </c>
      <c r="AK391" s="195" t="e">
        <f t="shared" si="182"/>
        <v>#N/A</v>
      </c>
      <c r="AL391" s="195" t="e">
        <f t="shared" si="182"/>
        <v>#N/A</v>
      </c>
      <c r="AM391" s="195" t="e">
        <f t="shared" si="182"/>
        <v>#N/A</v>
      </c>
      <c r="AN391" s="195" t="e">
        <f t="shared" si="182"/>
        <v>#N/A</v>
      </c>
      <c r="AO391" s="195" t="e">
        <f t="shared" si="182"/>
        <v>#N/A</v>
      </c>
      <c r="AP391" s="195" t="e">
        <f t="shared" si="182"/>
        <v>#N/A</v>
      </c>
    </row>
    <row r="392" spans="1:42" x14ac:dyDescent="0.2">
      <c r="A392" s="34" t="s">
        <v>104</v>
      </c>
      <c r="B392" s="243">
        <f t="array" ref="B392">SUM(IF(ISNUMBER(C392:AP392),C392:AP392))</f>
        <v>0</v>
      </c>
      <c r="C392" s="201">
        <f>P353</f>
        <v>0</v>
      </c>
      <c r="D392" s="201">
        <v>0</v>
      </c>
      <c r="E392" s="201">
        <v>0</v>
      </c>
      <c r="F392" s="201">
        <v>0</v>
      </c>
      <c r="G392" s="201">
        <v>0</v>
      </c>
      <c r="H392" s="201">
        <v>0</v>
      </c>
      <c r="I392" s="201">
        <v>0</v>
      </c>
      <c r="J392" s="201">
        <v>0</v>
      </c>
      <c r="K392" s="201">
        <v>0</v>
      </c>
      <c r="L392" s="201">
        <v>0</v>
      </c>
      <c r="M392" s="201">
        <v>0</v>
      </c>
      <c r="N392" s="201">
        <v>0</v>
      </c>
      <c r="O392" s="201">
        <v>0</v>
      </c>
      <c r="P392" s="201">
        <v>0</v>
      </c>
      <c r="Q392" s="201">
        <v>0</v>
      </c>
      <c r="R392" s="201">
        <v>0</v>
      </c>
      <c r="S392" s="201">
        <v>0</v>
      </c>
      <c r="T392" s="201">
        <v>0</v>
      </c>
      <c r="U392" s="201">
        <v>0</v>
      </c>
      <c r="V392" s="201">
        <v>0</v>
      </c>
      <c r="W392" s="201">
        <v>0</v>
      </c>
      <c r="X392" s="201">
        <v>0</v>
      </c>
      <c r="Y392" s="201">
        <v>0</v>
      </c>
      <c r="Z392" s="201">
        <v>0</v>
      </c>
      <c r="AA392" s="201">
        <v>0</v>
      </c>
      <c r="AB392" s="201">
        <v>0</v>
      </c>
      <c r="AC392" s="201">
        <v>0</v>
      </c>
      <c r="AD392" s="201">
        <v>0</v>
      </c>
      <c r="AE392" s="201">
        <v>0</v>
      </c>
      <c r="AF392" s="201">
        <v>0</v>
      </c>
      <c r="AG392" s="201">
        <v>0</v>
      </c>
      <c r="AH392" s="201">
        <v>0</v>
      </c>
      <c r="AI392" s="201">
        <v>0</v>
      </c>
      <c r="AJ392" s="201">
        <v>0</v>
      </c>
      <c r="AK392" s="201">
        <v>0</v>
      </c>
      <c r="AL392" s="201">
        <v>0</v>
      </c>
      <c r="AM392" s="201">
        <v>0</v>
      </c>
      <c r="AN392" s="201">
        <v>0</v>
      </c>
      <c r="AO392" s="201">
        <v>0</v>
      </c>
      <c r="AP392" s="201">
        <v>0</v>
      </c>
    </row>
    <row r="393" spans="1:42" x14ac:dyDescent="0.2">
      <c r="A393" s="33"/>
      <c r="B393" s="244">
        <f t="array" ref="B393">SUM(IF(ISNUMBER(C393:AP393),C393:AP393))</f>
        <v>33419201.008361362</v>
      </c>
      <c r="C393" s="195">
        <f>SUM(C386:C392)</f>
        <v>6216845.8463123674</v>
      </c>
      <c r="D393" s="195">
        <f t="shared" ref="D393:AP393" si="183">SUM(D386:D392)</f>
        <v>9981392.9971284624</v>
      </c>
      <c r="E393" s="195">
        <f t="shared" si="183"/>
        <v>6056654.4794067591</v>
      </c>
      <c r="F393" s="195">
        <f t="shared" si="183"/>
        <v>3700130.4100204497</v>
      </c>
      <c r="G393" s="195">
        <f t="shared" si="183"/>
        <v>3695507.7734489073</v>
      </c>
      <c r="H393" s="195">
        <f t="shared" si="183"/>
        <v>1927739.5074017446</v>
      </c>
      <c r="I393" s="195">
        <f t="shared" si="183"/>
        <v>162192.50827856932</v>
      </c>
      <c r="J393" s="195">
        <f t="shared" si="183"/>
        <v>162192.50827856932</v>
      </c>
      <c r="K393" s="195">
        <f t="shared" si="183"/>
        <v>162252.54251975816</v>
      </c>
      <c r="L393" s="195">
        <f t="shared" si="183"/>
        <v>162192.50827856932</v>
      </c>
      <c r="M393" s="195">
        <f t="shared" si="183"/>
        <v>162252.54251975816</v>
      </c>
      <c r="N393" s="195">
        <f t="shared" si="183"/>
        <v>162092.45120992122</v>
      </c>
      <c r="O393" s="195">
        <f t="shared" si="183"/>
        <v>162252.54251975816</v>
      </c>
      <c r="P393" s="195">
        <f t="shared" si="183"/>
        <v>162092.45120992122</v>
      </c>
      <c r="Q393" s="195">
        <f t="shared" si="183"/>
        <v>162192.50827856932</v>
      </c>
      <c r="R393" s="195">
        <f t="shared" si="183"/>
        <v>111063.34619939048</v>
      </c>
      <c r="S393" s="195">
        <f t="shared" si="183"/>
        <v>60034.241188859713</v>
      </c>
      <c r="T393" s="195">
        <f t="shared" si="183"/>
        <v>60034.241188859713</v>
      </c>
      <c r="U393" s="195">
        <f t="shared" si="183"/>
        <v>60034.241188859713</v>
      </c>
      <c r="V393" s="195">
        <f t="shared" si="183"/>
        <v>60034.241188859713</v>
      </c>
      <c r="W393" s="195">
        <f t="shared" si="183"/>
        <v>30017.120594429856</v>
      </c>
      <c r="X393" s="195">
        <f t="shared" si="183"/>
        <v>0</v>
      </c>
      <c r="Y393" s="195">
        <f t="shared" si="183"/>
        <v>0</v>
      </c>
      <c r="Z393" s="195">
        <f t="shared" si="183"/>
        <v>0</v>
      </c>
      <c r="AA393" s="195">
        <f t="shared" si="183"/>
        <v>0</v>
      </c>
      <c r="AB393" s="195" t="e">
        <f t="shared" si="183"/>
        <v>#N/A</v>
      </c>
      <c r="AC393" s="195" t="e">
        <f t="shared" si="183"/>
        <v>#N/A</v>
      </c>
      <c r="AD393" s="195" t="e">
        <f t="shared" si="183"/>
        <v>#N/A</v>
      </c>
      <c r="AE393" s="195" t="e">
        <f t="shared" si="183"/>
        <v>#N/A</v>
      </c>
      <c r="AF393" s="195" t="e">
        <f t="shared" si="183"/>
        <v>#N/A</v>
      </c>
      <c r="AG393" s="195" t="e">
        <f t="shared" si="183"/>
        <v>#N/A</v>
      </c>
      <c r="AH393" s="195" t="e">
        <f t="shared" si="183"/>
        <v>#N/A</v>
      </c>
      <c r="AI393" s="195" t="e">
        <f t="shared" si="183"/>
        <v>#N/A</v>
      </c>
      <c r="AJ393" s="195" t="e">
        <f t="shared" si="183"/>
        <v>#N/A</v>
      </c>
      <c r="AK393" s="195" t="e">
        <f t="shared" si="183"/>
        <v>#N/A</v>
      </c>
      <c r="AL393" s="195" t="e">
        <f t="shared" si="183"/>
        <v>#N/A</v>
      </c>
      <c r="AM393" s="195" t="e">
        <f t="shared" si="183"/>
        <v>#N/A</v>
      </c>
      <c r="AN393" s="195" t="e">
        <f t="shared" si="183"/>
        <v>#N/A</v>
      </c>
      <c r="AO393" s="195" t="e">
        <f t="shared" si="183"/>
        <v>#N/A</v>
      </c>
      <c r="AP393" s="195" t="e">
        <f t="shared" si="183"/>
        <v>#N/A</v>
      </c>
    </row>
    <row r="394" spans="1:42" x14ac:dyDescent="0.2">
      <c r="A394" s="3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row>
    <row r="395" spans="1:42" x14ac:dyDescent="0.2">
      <c r="A395" s="31" t="s">
        <v>90</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row>
    <row r="396" spans="1:42" x14ac:dyDescent="0.2">
      <c r="A396" s="33" t="s">
        <v>92</v>
      </c>
      <c r="B396" s="38" t="str">
        <f>equip_reserve_depr_fed</f>
        <v>5-yr MACRS</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row>
    <row r="397" spans="1:42" x14ac:dyDescent="0.2">
      <c r="A397" s="33" t="s">
        <v>93</v>
      </c>
      <c r="B397" s="239">
        <f t="shared" ref="B397:AP397" si="184">B2</f>
        <v>0</v>
      </c>
      <c r="C397" s="239">
        <f t="shared" si="184"/>
        <v>1</v>
      </c>
      <c r="D397" s="239">
        <f t="shared" si="184"/>
        <v>2</v>
      </c>
      <c r="E397" s="239">
        <f t="shared" si="184"/>
        <v>3</v>
      </c>
      <c r="F397" s="239">
        <f t="shared" si="184"/>
        <v>4</v>
      </c>
      <c r="G397" s="239">
        <f t="shared" si="184"/>
        <v>5</v>
      </c>
      <c r="H397" s="239">
        <f t="shared" si="184"/>
        <v>6</v>
      </c>
      <c r="I397" s="239">
        <f t="shared" si="184"/>
        <v>7</v>
      </c>
      <c r="J397" s="239">
        <f t="shared" si="184"/>
        <v>8</v>
      </c>
      <c r="K397" s="239">
        <f t="shared" si="184"/>
        <v>9</v>
      </c>
      <c r="L397" s="239">
        <f t="shared" si="184"/>
        <v>10</v>
      </c>
      <c r="M397" s="239">
        <f t="shared" si="184"/>
        <v>11</v>
      </c>
      <c r="N397" s="239">
        <f t="shared" si="184"/>
        <v>12</v>
      </c>
      <c r="O397" s="239">
        <f t="shared" si="184"/>
        <v>13</v>
      </c>
      <c r="P397" s="239">
        <f t="shared" si="184"/>
        <v>14</v>
      </c>
      <c r="Q397" s="239">
        <f t="shared" si="184"/>
        <v>15</v>
      </c>
      <c r="R397" s="239">
        <f t="shared" si="184"/>
        <v>16</v>
      </c>
      <c r="S397" s="239">
        <f t="shared" si="184"/>
        <v>17</v>
      </c>
      <c r="T397" s="239">
        <f t="shared" si="184"/>
        <v>18</v>
      </c>
      <c r="U397" s="239">
        <f t="shared" si="184"/>
        <v>19</v>
      </c>
      <c r="V397" s="239">
        <f t="shared" si="184"/>
        <v>20</v>
      </c>
      <c r="W397" s="239">
        <f t="shared" si="184"/>
        <v>21</v>
      </c>
      <c r="X397" s="239">
        <f t="shared" si="184"/>
        <v>22</v>
      </c>
      <c r="Y397" s="239">
        <f t="shared" si="184"/>
        <v>23</v>
      </c>
      <c r="Z397" s="239">
        <f t="shared" si="184"/>
        <v>24</v>
      </c>
      <c r="AA397" s="239">
        <f t="shared" si="184"/>
        <v>25</v>
      </c>
      <c r="AB397" s="239" t="str">
        <f t="shared" si="184"/>
        <v/>
      </c>
      <c r="AC397" s="239" t="str">
        <f t="shared" si="184"/>
        <v/>
      </c>
      <c r="AD397" s="239" t="str">
        <f t="shared" si="184"/>
        <v/>
      </c>
      <c r="AE397" s="239" t="str">
        <f t="shared" si="184"/>
        <v/>
      </c>
      <c r="AF397" s="239" t="str">
        <f t="shared" si="184"/>
        <v/>
      </c>
      <c r="AG397" s="239" t="str">
        <f t="shared" si="184"/>
        <v/>
      </c>
      <c r="AH397" s="239" t="str">
        <f t="shared" si="184"/>
        <v/>
      </c>
      <c r="AI397" s="239" t="str">
        <f t="shared" si="184"/>
        <v/>
      </c>
      <c r="AJ397" s="239" t="str">
        <f t="shared" si="184"/>
        <v/>
      </c>
      <c r="AK397" s="239" t="str">
        <f t="shared" si="184"/>
        <v/>
      </c>
      <c r="AL397" s="239" t="str">
        <f t="shared" si="184"/>
        <v/>
      </c>
      <c r="AM397" s="239" t="str">
        <f t="shared" si="184"/>
        <v/>
      </c>
      <c r="AN397" s="239" t="str">
        <f t="shared" si="184"/>
        <v/>
      </c>
      <c r="AO397" s="239" t="str">
        <f t="shared" si="184"/>
        <v/>
      </c>
      <c r="AP397" s="239" t="str">
        <f t="shared" si="184"/>
        <v/>
      </c>
    </row>
    <row r="398" spans="1:42" x14ac:dyDescent="0.2">
      <c r="A398" s="33" t="s">
        <v>94</v>
      </c>
      <c r="B398" s="238">
        <v>0</v>
      </c>
      <c r="C398" s="231">
        <f t="shared" ref="C398:AP398" si="185">IF($B$396=$A379,C379,0)+IF($B$396=$A380,C380,0)+IF($B$396=$A381,C381,0)+IF($B$396=$A382,C382,0)+IF($B$396=$A383,C383,0)+IF($B$396=$A384,C384,0)</f>
        <v>20</v>
      </c>
      <c r="D398" s="231">
        <f t="shared" si="185"/>
        <v>32</v>
      </c>
      <c r="E398" s="231">
        <f t="shared" si="185"/>
        <v>19.2</v>
      </c>
      <c r="F398" s="231">
        <f t="shared" si="185"/>
        <v>11.52</v>
      </c>
      <c r="G398" s="231">
        <f t="shared" si="185"/>
        <v>11.52</v>
      </c>
      <c r="H398" s="231">
        <f t="shared" si="185"/>
        <v>5.76</v>
      </c>
      <c r="I398" s="231">
        <f t="shared" si="185"/>
        <v>0</v>
      </c>
      <c r="J398" s="231">
        <f t="shared" si="185"/>
        <v>0</v>
      </c>
      <c r="K398" s="231">
        <f t="shared" si="185"/>
        <v>0</v>
      </c>
      <c r="L398" s="231">
        <f t="shared" si="185"/>
        <v>0</v>
      </c>
      <c r="M398" s="231">
        <f t="shared" si="185"/>
        <v>0</v>
      </c>
      <c r="N398" s="231">
        <f t="shared" si="185"/>
        <v>0</v>
      </c>
      <c r="O398" s="231">
        <f t="shared" si="185"/>
        <v>0</v>
      </c>
      <c r="P398" s="231">
        <f t="shared" si="185"/>
        <v>0</v>
      </c>
      <c r="Q398" s="231">
        <f t="shared" si="185"/>
        <v>0</v>
      </c>
      <c r="R398" s="231">
        <f t="shared" si="185"/>
        <v>0</v>
      </c>
      <c r="S398" s="231">
        <f t="shared" si="185"/>
        <v>0</v>
      </c>
      <c r="T398" s="231">
        <f t="shared" si="185"/>
        <v>0</v>
      </c>
      <c r="U398" s="231">
        <f t="shared" si="185"/>
        <v>0</v>
      </c>
      <c r="V398" s="231">
        <f t="shared" si="185"/>
        <v>0</v>
      </c>
      <c r="W398" s="231">
        <f t="shared" si="185"/>
        <v>0</v>
      </c>
      <c r="X398" s="231">
        <f t="shared" si="185"/>
        <v>0</v>
      </c>
      <c r="Y398" s="231">
        <f t="shared" si="185"/>
        <v>0</v>
      </c>
      <c r="Z398" s="231">
        <f t="shared" si="185"/>
        <v>0</v>
      </c>
      <c r="AA398" s="231">
        <f t="shared" si="185"/>
        <v>0</v>
      </c>
      <c r="AB398" s="231" t="e">
        <f t="shared" si="185"/>
        <v>#N/A</v>
      </c>
      <c r="AC398" s="231" t="e">
        <f t="shared" si="185"/>
        <v>#N/A</v>
      </c>
      <c r="AD398" s="231" t="e">
        <f t="shared" si="185"/>
        <v>#N/A</v>
      </c>
      <c r="AE398" s="231" t="e">
        <f t="shared" si="185"/>
        <v>#N/A</v>
      </c>
      <c r="AF398" s="231" t="e">
        <f t="shared" si="185"/>
        <v>#N/A</v>
      </c>
      <c r="AG398" s="231" t="e">
        <f t="shared" si="185"/>
        <v>#N/A</v>
      </c>
      <c r="AH398" s="231" t="e">
        <f t="shared" si="185"/>
        <v>#N/A</v>
      </c>
      <c r="AI398" s="231" t="e">
        <f t="shared" si="185"/>
        <v>#N/A</v>
      </c>
      <c r="AJ398" s="231" t="e">
        <f t="shared" si="185"/>
        <v>#N/A</v>
      </c>
      <c r="AK398" s="231" t="e">
        <f t="shared" si="185"/>
        <v>#N/A</v>
      </c>
      <c r="AL398" s="231" t="e">
        <f t="shared" si="185"/>
        <v>#N/A</v>
      </c>
      <c r="AM398" s="231" t="e">
        <f t="shared" si="185"/>
        <v>#N/A</v>
      </c>
      <c r="AN398" s="231" t="e">
        <f t="shared" si="185"/>
        <v>#N/A</v>
      </c>
      <c r="AO398" s="231" t="e">
        <f t="shared" si="185"/>
        <v>#N/A</v>
      </c>
      <c r="AP398" s="231" t="e">
        <f t="shared" si="185"/>
        <v>#N/A</v>
      </c>
    </row>
    <row r="399" spans="1:42" x14ac:dyDescent="0.2">
      <c r="A399" s="31"/>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115</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91</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17">
        <v>1</v>
      </c>
      <c r="C402" s="220">
        <f t="shared" ref="C402:AP402" si="186">C269</f>
        <v>0</v>
      </c>
      <c r="D402" s="220">
        <f t="shared" si="186"/>
        <v>0</v>
      </c>
      <c r="E402" s="220">
        <f t="shared" si="186"/>
        <v>0</v>
      </c>
      <c r="F402" s="220">
        <f t="shared" si="186"/>
        <v>0</v>
      </c>
      <c r="G402" s="220">
        <f t="shared" si="186"/>
        <v>0</v>
      </c>
      <c r="H402" s="220">
        <f t="shared" si="186"/>
        <v>0</v>
      </c>
      <c r="I402" s="220">
        <f t="shared" si="186"/>
        <v>0</v>
      </c>
      <c r="J402" s="220">
        <f t="shared" si="186"/>
        <v>0</v>
      </c>
      <c r="K402" s="220">
        <f t="shared" si="186"/>
        <v>0</v>
      </c>
      <c r="L402" s="220">
        <f t="shared" si="186"/>
        <v>0</v>
      </c>
      <c r="M402" s="220">
        <f t="shared" si="186"/>
        <v>0</v>
      </c>
      <c r="N402" s="220">
        <f t="shared" si="186"/>
        <v>1</v>
      </c>
      <c r="O402" s="220">
        <f t="shared" si="186"/>
        <v>2</v>
      </c>
      <c r="P402" s="220">
        <f t="shared" si="186"/>
        <v>3</v>
      </c>
      <c r="Q402" s="220">
        <f t="shared" si="186"/>
        <v>4</v>
      </c>
      <c r="R402" s="220">
        <f t="shared" si="186"/>
        <v>5</v>
      </c>
      <c r="S402" s="220">
        <f t="shared" si="186"/>
        <v>6</v>
      </c>
      <c r="T402" s="220">
        <f t="shared" si="186"/>
        <v>7</v>
      </c>
      <c r="U402" s="220">
        <f t="shared" si="186"/>
        <v>8</v>
      </c>
      <c r="V402" s="220">
        <f t="shared" si="186"/>
        <v>9</v>
      </c>
      <c r="W402" s="220">
        <f t="shared" si="186"/>
        <v>10</v>
      </c>
      <c r="X402" s="220">
        <f t="shared" si="186"/>
        <v>11</v>
      </c>
      <c r="Y402" s="220">
        <f t="shared" si="186"/>
        <v>12</v>
      </c>
      <c r="Z402" s="220">
        <f t="shared" si="186"/>
        <v>13</v>
      </c>
      <c r="AA402" s="220">
        <f t="shared" si="186"/>
        <v>14</v>
      </c>
      <c r="AB402" s="220">
        <f t="shared" si="186"/>
        <v>0</v>
      </c>
      <c r="AC402" s="220">
        <f t="shared" si="186"/>
        <v>0</v>
      </c>
      <c r="AD402" s="220">
        <f t="shared" si="186"/>
        <v>0</v>
      </c>
      <c r="AE402" s="220">
        <f t="shared" si="186"/>
        <v>0</v>
      </c>
      <c r="AF402" s="220">
        <f t="shared" si="186"/>
        <v>0</v>
      </c>
      <c r="AG402" s="220">
        <f t="shared" si="186"/>
        <v>0</v>
      </c>
      <c r="AH402" s="220">
        <f t="shared" si="186"/>
        <v>0</v>
      </c>
      <c r="AI402" s="220">
        <f t="shared" si="186"/>
        <v>0</v>
      </c>
      <c r="AJ402" s="220">
        <f t="shared" si="186"/>
        <v>0</v>
      </c>
      <c r="AK402" s="220">
        <f t="shared" si="186"/>
        <v>0</v>
      </c>
      <c r="AL402" s="220">
        <f t="shared" si="186"/>
        <v>0</v>
      </c>
      <c r="AM402" s="220">
        <f t="shared" si="186"/>
        <v>0</v>
      </c>
      <c r="AN402" s="220">
        <f t="shared" si="186"/>
        <v>0</v>
      </c>
      <c r="AO402" s="220">
        <f t="shared" si="186"/>
        <v>0</v>
      </c>
      <c r="AP402" s="220">
        <f t="shared" si="186"/>
        <v>0</v>
      </c>
    </row>
    <row r="403" spans="1:42" x14ac:dyDescent="0.2">
      <c r="A403" s="17">
        <f>A402+1</f>
        <v>2</v>
      </c>
      <c r="C403" s="220">
        <f t="shared" ref="C403:AP403" si="187">C270</f>
        <v>0</v>
      </c>
      <c r="D403" s="220">
        <f t="shared" si="187"/>
        <v>0</v>
      </c>
      <c r="E403" s="220">
        <f t="shared" si="187"/>
        <v>0</v>
      </c>
      <c r="F403" s="220">
        <f t="shared" si="187"/>
        <v>0</v>
      </c>
      <c r="G403" s="220">
        <f t="shared" si="187"/>
        <v>0</v>
      </c>
      <c r="H403" s="220">
        <f t="shared" si="187"/>
        <v>0</v>
      </c>
      <c r="I403" s="220">
        <f t="shared" si="187"/>
        <v>0</v>
      </c>
      <c r="J403" s="220">
        <f t="shared" si="187"/>
        <v>0</v>
      </c>
      <c r="K403" s="220">
        <f t="shared" si="187"/>
        <v>0</v>
      </c>
      <c r="L403" s="220">
        <f t="shared" si="187"/>
        <v>0</v>
      </c>
      <c r="M403" s="220">
        <f t="shared" si="187"/>
        <v>0</v>
      </c>
      <c r="N403" s="220">
        <f t="shared" si="187"/>
        <v>0</v>
      </c>
      <c r="O403" s="220">
        <f t="shared" si="187"/>
        <v>0</v>
      </c>
      <c r="P403" s="220">
        <f t="shared" si="187"/>
        <v>0</v>
      </c>
      <c r="Q403" s="220">
        <f t="shared" si="187"/>
        <v>0</v>
      </c>
      <c r="R403" s="220">
        <f t="shared" si="187"/>
        <v>0</v>
      </c>
      <c r="S403" s="220">
        <f t="shared" si="187"/>
        <v>0</v>
      </c>
      <c r="T403" s="220">
        <f t="shared" si="187"/>
        <v>0</v>
      </c>
      <c r="U403" s="220">
        <f t="shared" si="187"/>
        <v>0</v>
      </c>
      <c r="V403" s="220">
        <f t="shared" si="187"/>
        <v>0</v>
      </c>
      <c r="W403" s="220">
        <f t="shared" si="187"/>
        <v>0</v>
      </c>
      <c r="X403" s="220">
        <f t="shared" si="187"/>
        <v>0</v>
      </c>
      <c r="Y403" s="220">
        <f t="shared" si="187"/>
        <v>0</v>
      </c>
      <c r="Z403" s="220">
        <f t="shared" si="187"/>
        <v>1</v>
      </c>
      <c r="AA403" s="220">
        <f t="shared" si="187"/>
        <v>2</v>
      </c>
      <c r="AB403" s="220">
        <f t="shared" si="187"/>
        <v>0</v>
      </c>
      <c r="AC403" s="220">
        <f t="shared" si="187"/>
        <v>0</v>
      </c>
      <c r="AD403" s="220">
        <f t="shared" si="187"/>
        <v>0</v>
      </c>
      <c r="AE403" s="220">
        <f t="shared" si="187"/>
        <v>0</v>
      </c>
      <c r="AF403" s="220">
        <f t="shared" si="187"/>
        <v>0</v>
      </c>
      <c r="AG403" s="220">
        <f t="shared" si="187"/>
        <v>0</v>
      </c>
      <c r="AH403" s="220">
        <f t="shared" si="187"/>
        <v>0</v>
      </c>
      <c r="AI403" s="220">
        <f t="shared" si="187"/>
        <v>0</v>
      </c>
      <c r="AJ403" s="220">
        <f t="shared" si="187"/>
        <v>0</v>
      </c>
      <c r="AK403" s="220">
        <f t="shared" si="187"/>
        <v>0</v>
      </c>
      <c r="AL403" s="220">
        <f t="shared" si="187"/>
        <v>0</v>
      </c>
      <c r="AM403" s="220">
        <f t="shared" si="187"/>
        <v>0</v>
      </c>
      <c r="AN403" s="220">
        <f t="shared" si="187"/>
        <v>0</v>
      </c>
      <c r="AO403" s="220">
        <f t="shared" si="187"/>
        <v>0</v>
      </c>
      <c r="AP403" s="220">
        <f t="shared" si="187"/>
        <v>0</v>
      </c>
    </row>
    <row r="404" spans="1:42" x14ac:dyDescent="0.2">
      <c r="A404" s="17">
        <f t="shared" ref="A404:A409" si="188">A403+1</f>
        <v>3</v>
      </c>
      <c r="C404" s="220">
        <f t="shared" ref="C404:AP404" si="189">C271</f>
        <v>0</v>
      </c>
      <c r="D404" s="220">
        <f t="shared" si="189"/>
        <v>0</v>
      </c>
      <c r="E404" s="220">
        <f t="shared" si="189"/>
        <v>0</v>
      </c>
      <c r="F404" s="220">
        <f t="shared" si="189"/>
        <v>0</v>
      </c>
      <c r="G404" s="220">
        <f t="shared" si="189"/>
        <v>0</v>
      </c>
      <c r="H404" s="220">
        <f t="shared" si="189"/>
        <v>0</v>
      </c>
      <c r="I404" s="220">
        <f t="shared" si="189"/>
        <v>0</v>
      </c>
      <c r="J404" s="220">
        <f t="shared" si="189"/>
        <v>0</v>
      </c>
      <c r="K404" s="220">
        <f t="shared" si="189"/>
        <v>0</v>
      </c>
      <c r="L404" s="220">
        <f t="shared" si="189"/>
        <v>0</v>
      </c>
      <c r="M404" s="220">
        <f t="shared" si="189"/>
        <v>0</v>
      </c>
      <c r="N404" s="220">
        <f t="shared" si="189"/>
        <v>0</v>
      </c>
      <c r="O404" s="220">
        <f t="shared" si="189"/>
        <v>0</v>
      </c>
      <c r="P404" s="220">
        <f t="shared" si="189"/>
        <v>0</v>
      </c>
      <c r="Q404" s="220">
        <f t="shared" si="189"/>
        <v>0</v>
      </c>
      <c r="R404" s="220">
        <f t="shared" si="189"/>
        <v>0</v>
      </c>
      <c r="S404" s="220">
        <f t="shared" si="189"/>
        <v>0</v>
      </c>
      <c r="T404" s="220">
        <f t="shared" si="189"/>
        <v>0</v>
      </c>
      <c r="U404" s="220">
        <f t="shared" si="189"/>
        <v>0</v>
      </c>
      <c r="V404" s="220">
        <f t="shared" si="189"/>
        <v>0</v>
      </c>
      <c r="W404" s="220">
        <f t="shared" si="189"/>
        <v>0</v>
      </c>
      <c r="X404" s="220">
        <f t="shared" si="189"/>
        <v>0</v>
      </c>
      <c r="Y404" s="220">
        <f t="shared" si="189"/>
        <v>0</v>
      </c>
      <c r="Z404" s="220">
        <f t="shared" si="189"/>
        <v>0</v>
      </c>
      <c r="AA404" s="220">
        <f t="shared" si="189"/>
        <v>0</v>
      </c>
      <c r="AB404" s="220">
        <f t="shared" si="189"/>
        <v>0</v>
      </c>
      <c r="AC404" s="220">
        <f t="shared" si="189"/>
        <v>0</v>
      </c>
      <c r="AD404" s="220">
        <f t="shared" si="189"/>
        <v>0</v>
      </c>
      <c r="AE404" s="220">
        <f t="shared" si="189"/>
        <v>0</v>
      </c>
      <c r="AF404" s="220">
        <f t="shared" si="189"/>
        <v>0</v>
      </c>
      <c r="AG404" s="220">
        <f t="shared" si="189"/>
        <v>0</v>
      </c>
      <c r="AH404" s="220">
        <f t="shared" si="189"/>
        <v>0</v>
      </c>
      <c r="AI404" s="220">
        <f t="shared" si="189"/>
        <v>0</v>
      </c>
      <c r="AJ404" s="220">
        <f t="shared" si="189"/>
        <v>0</v>
      </c>
      <c r="AK404" s="220">
        <f t="shared" si="189"/>
        <v>0</v>
      </c>
      <c r="AL404" s="220">
        <f t="shared" si="189"/>
        <v>0</v>
      </c>
      <c r="AM404" s="220">
        <f t="shared" si="189"/>
        <v>0</v>
      </c>
      <c r="AN404" s="220">
        <f t="shared" si="189"/>
        <v>0</v>
      </c>
      <c r="AO404" s="220">
        <f t="shared" si="189"/>
        <v>0</v>
      </c>
      <c r="AP404" s="220">
        <f t="shared" si="189"/>
        <v>0</v>
      </c>
    </row>
    <row r="405" spans="1:42" x14ac:dyDescent="0.2">
      <c r="A405" s="17">
        <f t="shared" si="188"/>
        <v>4</v>
      </c>
      <c r="C405" s="220">
        <f t="shared" ref="C405:AP405" si="190">C272</f>
        <v>0</v>
      </c>
      <c r="D405" s="220">
        <f t="shared" si="190"/>
        <v>0</v>
      </c>
      <c r="E405" s="220">
        <f t="shared" si="190"/>
        <v>0</v>
      </c>
      <c r="F405" s="220">
        <f t="shared" si="190"/>
        <v>0</v>
      </c>
      <c r="G405" s="220">
        <f t="shared" si="190"/>
        <v>0</v>
      </c>
      <c r="H405" s="220">
        <f t="shared" si="190"/>
        <v>0</v>
      </c>
      <c r="I405" s="220">
        <f t="shared" si="190"/>
        <v>0</v>
      </c>
      <c r="J405" s="220">
        <f t="shared" si="190"/>
        <v>0</v>
      </c>
      <c r="K405" s="220">
        <f t="shared" si="190"/>
        <v>0</v>
      </c>
      <c r="L405" s="220">
        <f t="shared" si="190"/>
        <v>0</v>
      </c>
      <c r="M405" s="220">
        <f t="shared" si="190"/>
        <v>0</v>
      </c>
      <c r="N405" s="220">
        <f t="shared" si="190"/>
        <v>0</v>
      </c>
      <c r="O405" s="220">
        <f t="shared" si="190"/>
        <v>0</v>
      </c>
      <c r="P405" s="220">
        <f t="shared" si="190"/>
        <v>0</v>
      </c>
      <c r="Q405" s="220">
        <f t="shared" si="190"/>
        <v>0</v>
      </c>
      <c r="R405" s="220">
        <f t="shared" si="190"/>
        <v>0</v>
      </c>
      <c r="S405" s="220">
        <f t="shared" si="190"/>
        <v>0</v>
      </c>
      <c r="T405" s="220">
        <f t="shared" si="190"/>
        <v>0</v>
      </c>
      <c r="U405" s="220">
        <f t="shared" si="190"/>
        <v>0</v>
      </c>
      <c r="V405" s="220">
        <f t="shared" si="190"/>
        <v>0</v>
      </c>
      <c r="W405" s="220">
        <f t="shared" si="190"/>
        <v>0</v>
      </c>
      <c r="X405" s="220">
        <f t="shared" si="190"/>
        <v>0</v>
      </c>
      <c r="Y405" s="220">
        <f t="shared" si="190"/>
        <v>0</v>
      </c>
      <c r="Z405" s="220">
        <f t="shared" si="190"/>
        <v>0</v>
      </c>
      <c r="AA405" s="220">
        <f t="shared" si="190"/>
        <v>0</v>
      </c>
      <c r="AB405" s="220">
        <f t="shared" si="190"/>
        <v>0</v>
      </c>
      <c r="AC405" s="220">
        <f t="shared" si="190"/>
        <v>0</v>
      </c>
      <c r="AD405" s="220">
        <f t="shared" si="190"/>
        <v>0</v>
      </c>
      <c r="AE405" s="220">
        <f t="shared" si="190"/>
        <v>0</v>
      </c>
      <c r="AF405" s="220">
        <f t="shared" si="190"/>
        <v>0</v>
      </c>
      <c r="AG405" s="220">
        <f t="shared" si="190"/>
        <v>0</v>
      </c>
      <c r="AH405" s="220">
        <f t="shared" si="190"/>
        <v>0</v>
      </c>
      <c r="AI405" s="220">
        <f t="shared" si="190"/>
        <v>0</v>
      </c>
      <c r="AJ405" s="220">
        <f t="shared" si="190"/>
        <v>0</v>
      </c>
      <c r="AK405" s="220">
        <f t="shared" si="190"/>
        <v>0</v>
      </c>
      <c r="AL405" s="220">
        <f t="shared" si="190"/>
        <v>0</v>
      </c>
      <c r="AM405" s="220">
        <f t="shared" si="190"/>
        <v>0</v>
      </c>
      <c r="AN405" s="220">
        <f t="shared" si="190"/>
        <v>0</v>
      </c>
      <c r="AO405" s="220">
        <f t="shared" si="190"/>
        <v>0</v>
      </c>
      <c r="AP405" s="220">
        <f t="shared" si="190"/>
        <v>0</v>
      </c>
    </row>
    <row r="406" spans="1:42" x14ac:dyDescent="0.2">
      <c r="A406" s="17">
        <f t="shared" si="188"/>
        <v>5</v>
      </c>
      <c r="C406" s="220">
        <f t="shared" ref="C406:AP406" si="191">C273</f>
        <v>0</v>
      </c>
      <c r="D406" s="220">
        <f t="shared" si="191"/>
        <v>0</v>
      </c>
      <c r="E406" s="220">
        <f t="shared" si="191"/>
        <v>0</v>
      </c>
      <c r="F406" s="220">
        <f t="shared" si="191"/>
        <v>0</v>
      </c>
      <c r="G406" s="220">
        <f t="shared" si="191"/>
        <v>0</v>
      </c>
      <c r="H406" s="220">
        <f t="shared" si="191"/>
        <v>0</v>
      </c>
      <c r="I406" s="220">
        <f t="shared" si="191"/>
        <v>0</v>
      </c>
      <c r="J406" s="220">
        <f t="shared" si="191"/>
        <v>0</v>
      </c>
      <c r="K406" s="220">
        <f t="shared" si="191"/>
        <v>0</v>
      </c>
      <c r="L406" s="220">
        <f t="shared" si="191"/>
        <v>0</v>
      </c>
      <c r="M406" s="220">
        <f t="shared" si="191"/>
        <v>0</v>
      </c>
      <c r="N406" s="220">
        <f t="shared" si="191"/>
        <v>0</v>
      </c>
      <c r="O406" s="220">
        <f t="shared" si="191"/>
        <v>0</v>
      </c>
      <c r="P406" s="220">
        <f t="shared" si="191"/>
        <v>0</v>
      </c>
      <c r="Q406" s="220">
        <f t="shared" si="191"/>
        <v>0</v>
      </c>
      <c r="R406" s="220">
        <f t="shared" si="191"/>
        <v>0</v>
      </c>
      <c r="S406" s="220">
        <f t="shared" si="191"/>
        <v>0</v>
      </c>
      <c r="T406" s="220">
        <f t="shared" si="191"/>
        <v>0</v>
      </c>
      <c r="U406" s="220">
        <f t="shared" si="191"/>
        <v>0</v>
      </c>
      <c r="V406" s="220">
        <f t="shared" si="191"/>
        <v>0</v>
      </c>
      <c r="W406" s="220">
        <f t="shared" si="191"/>
        <v>0</v>
      </c>
      <c r="X406" s="220">
        <f t="shared" si="191"/>
        <v>0</v>
      </c>
      <c r="Y406" s="220">
        <f t="shared" si="191"/>
        <v>0</v>
      </c>
      <c r="Z406" s="220">
        <f t="shared" si="191"/>
        <v>0</v>
      </c>
      <c r="AA406" s="220">
        <f t="shared" si="191"/>
        <v>0</v>
      </c>
      <c r="AB406" s="220">
        <f t="shared" si="191"/>
        <v>0</v>
      </c>
      <c r="AC406" s="220">
        <f t="shared" si="191"/>
        <v>0</v>
      </c>
      <c r="AD406" s="220">
        <f t="shared" si="191"/>
        <v>0</v>
      </c>
      <c r="AE406" s="220">
        <f t="shared" si="191"/>
        <v>0</v>
      </c>
      <c r="AF406" s="220">
        <f t="shared" si="191"/>
        <v>0</v>
      </c>
      <c r="AG406" s="220">
        <f t="shared" si="191"/>
        <v>0</v>
      </c>
      <c r="AH406" s="220">
        <f t="shared" si="191"/>
        <v>0</v>
      </c>
      <c r="AI406" s="220">
        <f t="shared" si="191"/>
        <v>0</v>
      </c>
      <c r="AJ406" s="220">
        <f t="shared" si="191"/>
        <v>0</v>
      </c>
      <c r="AK406" s="220">
        <f t="shared" si="191"/>
        <v>0</v>
      </c>
      <c r="AL406" s="220">
        <f t="shared" si="191"/>
        <v>0</v>
      </c>
      <c r="AM406" s="220">
        <f t="shared" si="191"/>
        <v>0</v>
      </c>
      <c r="AN406" s="220">
        <f t="shared" si="191"/>
        <v>0</v>
      </c>
      <c r="AO406" s="220">
        <f t="shared" si="191"/>
        <v>0</v>
      </c>
      <c r="AP406" s="220">
        <f t="shared" si="191"/>
        <v>0</v>
      </c>
    </row>
    <row r="407" spans="1:42" x14ac:dyDescent="0.2">
      <c r="A407" s="17">
        <f t="shared" si="188"/>
        <v>6</v>
      </c>
      <c r="C407" s="220">
        <f t="shared" ref="C407:AP407" si="192">C274</f>
        <v>0</v>
      </c>
      <c r="D407" s="220">
        <f t="shared" si="192"/>
        <v>0</v>
      </c>
      <c r="E407" s="220">
        <f t="shared" si="192"/>
        <v>0</v>
      </c>
      <c r="F407" s="220">
        <f t="shared" si="192"/>
        <v>0</v>
      </c>
      <c r="G407" s="220">
        <f t="shared" si="192"/>
        <v>0</v>
      </c>
      <c r="H407" s="220">
        <f t="shared" si="192"/>
        <v>0</v>
      </c>
      <c r="I407" s="220">
        <f t="shared" si="192"/>
        <v>0</v>
      </c>
      <c r="J407" s="220">
        <f t="shared" si="192"/>
        <v>0</v>
      </c>
      <c r="K407" s="220">
        <f t="shared" si="192"/>
        <v>0</v>
      </c>
      <c r="L407" s="220">
        <f t="shared" si="192"/>
        <v>0</v>
      </c>
      <c r="M407" s="220">
        <f t="shared" si="192"/>
        <v>0</v>
      </c>
      <c r="N407" s="220">
        <f t="shared" si="192"/>
        <v>0</v>
      </c>
      <c r="O407" s="220">
        <f t="shared" si="192"/>
        <v>0</v>
      </c>
      <c r="P407" s="220">
        <f t="shared" si="192"/>
        <v>0</v>
      </c>
      <c r="Q407" s="220">
        <f t="shared" si="192"/>
        <v>0</v>
      </c>
      <c r="R407" s="220">
        <f t="shared" si="192"/>
        <v>0</v>
      </c>
      <c r="S407" s="220">
        <f t="shared" si="192"/>
        <v>0</v>
      </c>
      <c r="T407" s="220">
        <f t="shared" si="192"/>
        <v>0</v>
      </c>
      <c r="U407" s="220">
        <f t="shared" si="192"/>
        <v>0</v>
      </c>
      <c r="V407" s="220">
        <f t="shared" si="192"/>
        <v>0</v>
      </c>
      <c r="W407" s="220">
        <f t="shared" si="192"/>
        <v>0</v>
      </c>
      <c r="X407" s="220">
        <f t="shared" si="192"/>
        <v>0</v>
      </c>
      <c r="Y407" s="220">
        <f t="shared" si="192"/>
        <v>0</v>
      </c>
      <c r="Z407" s="220">
        <f t="shared" si="192"/>
        <v>0</v>
      </c>
      <c r="AA407" s="220">
        <f t="shared" si="192"/>
        <v>0</v>
      </c>
      <c r="AB407" s="220">
        <f t="shared" si="192"/>
        <v>0</v>
      </c>
      <c r="AC407" s="220">
        <f t="shared" si="192"/>
        <v>0</v>
      </c>
      <c r="AD407" s="220">
        <f t="shared" si="192"/>
        <v>0</v>
      </c>
      <c r="AE407" s="220">
        <f t="shared" si="192"/>
        <v>0</v>
      </c>
      <c r="AF407" s="220">
        <f t="shared" si="192"/>
        <v>0</v>
      </c>
      <c r="AG407" s="220">
        <f t="shared" si="192"/>
        <v>0</v>
      </c>
      <c r="AH407" s="220">
        <f t="shared" si="192"/>
        <v>0</v>
      </c>
      <c r="AI407" s="220">
        <f t="shared" si="192"/>
        <v>0</v>
      </c>
      <c r="AJ407" s="220">
        <f t="shared" si="192"/>
        <v>0</v>
      </c>
      <c r="AK407" s="220">
        <f t="shared" si="192"/>
        <v>0</v>
      </c>
      <c r="AL407" s="220">
        <f t="shared" si="192"/>
        <v>0</v>
      </c>
      <c r="AM407" s="220">
        <f t="shared" si="192"/>
        <v>0</v>
      </c>
      <c r="AN407" s="220">
        <f t="shared" si="192"/>
        <v>0</v>
      </c>
      <c r="AO407" s="220">
        <f t="shared" si="192"/>
        <v>0</v>
      </c>
      <c r="AP407" s="220">
        <f t="shared" si="192"/>
        <v>0</v>
      </c>
    </row>
    <row r="408" spans="1:42" x14ac:dyDescent="0.2">
      <c r="A408" s="17">
        <f t="shared" si="188"/>
        <v>7</v>
      </c>
      <c r="C408" s="220">
        <f t="shared" ref="C408:AP408" si="193">C275</f>
        <v>0</v>
      </c>
      <c r="D408" s="220">
        <f t="shared" si="193"/>
        <v>0</v>
      </c>
      <c r="E408" s="220">
        <f t="shared" si="193"/>
        <v>0</v>
      </c>
      <c r="F408" s="220">
        <f t="shared" si="193"/>
        <v>0</v>
      </c>
      <c r="G408" s="220">
        <f t="shared" si="193"/>
        <v>0</v>
      </c>
      <c r="H408" s="220">
        <f t="shared" si="193"/>
        <v>0</v>
      </c>
      <c r="I408" s="220">
        <f t="shared" si="193"/>
        <v>0</v>
      </c>
      <c r="J408" s="220">
        <f t="shared" si="193"/>
        <v>0</v>
      </c>
      <c r="K408" s="220">
        <f t="shared" si="193"/>
        <v>0</v>
      </c>
      <c r="L408" s="220">
        <f t="shared" si="193"/>
        <v>0</v>
      </c>
      <c r="M408" s="220">
        <f t="shared" si="193"/>
        <v>0</v>
      </c>
      <c r="N408" s="220">
        <f t="shared" si="193"/>
        <v>0</v>
      </c>
      <c r="O408" s="220">
        <f t="shared" si="193"/>
        <v>0</v>
      </c>
      <c r="P408" s="220">
        <f t="shared" si="193"/>
        <v>0</v>
      </c>
      <c r="Q408" s="220">
        <f t="shared" si="193"/>
        <v>0</v>
      </c>
      <c r="R408" s="220">
        <f t="shared" si="193"/>
        <v>0</v>
      </c>
      <c r="S408" s="220">
        <f t="shared" si="193"/>
        <v>0</v>
      </c>
      <c r="T408" s="220">
        <f t="shared" si="193"/>
        <v>0</v>
      </c>
      <c r="U408" s="220">
        <f t="shared" si="193"/>
        <v>0</v>
      </c>
      <c r="V408" s="220">
        <f t="shared" si="193"/>
        <v>0</v>
      </c>
      <c r="W408" s="220">
        <f t="shared" si="193"/>
        <v>0</v>
      </c>
      <c r="X408" s="220">
        <f t="shared" si="193"/>
        <v>0</v>
      </c>
      <c r="Y408" s="220">
        <f t="shared" si="193"/>
        <v>0</v>
      </c>
      <c r="Z408" s="220">
        <f t="shared" si="193"/>
        <v>0</v>
      </c>
      <c r="AA408" s="220">
        <f t="shared" si="193"/>
        <v>0</v>
      </c>
      <c r="AB408" s="220">
        <f t="shared" si="193"/>
        <v>0</v>
      </c>
      <c r="AC408" s="220">
        <f t="shared" si="193"/>
        <v>0</v>
      </c>
      <c r="AD408" s="220">
        <f t="shared" si="193"/>
        <v>0</v>
      </c>
      <c r="AE408" s="220">
        <f t="shared" si="193"/>
        <v>0</v>
      </c>
      <c r="AF408" s="220">
        <f t="shared" si="193"/>
        <v>0</v>
      </c>
      <c r="AG408" s="220">
        <f t="shared" si="193"/>
        <v>0</v>
      </c>
      <c r="AH408" s="220">
        <f t="shared" si="193"/>
        <v>0</v>
      </c>
      <c r="AI408" s="220">
        <f t="shared" si="193"/>
        <v>0</v>
      </c>
      <c r="AJ408" s="220">
        <f t="shared" si="193"/>
        <v>0</v>
      </c>
      <c r="AK408" s="220">
        <f t="shared" si="193"/>
        <v>0</v>
      </c>
      <c r="AL408" s="220">
        <f t="shared" si="193"/>
        <v>0</v>
      </c>
      <c r="AM408" s="220">
        <f t="shared" si="193"/>
        <v>0</v>
      </c>
      <c r="AN408" s="220">
        <f t="shared" si="193"/>
        <v>0</v>
      </c>
      <c r="AO408" s="220">
        <f t="shared" si="193"/>
        <v>0</v>
      </c>
      <c r="AP408" s="220">
        <f t="shared" si="193"/>
        <v>0</v>
      </c>
    </row>
    <row r="409" spans="1:42" x14ac:dyDescent="0.2">
      <c r="A409" s="17">
        <f t="shared" si="188"/>
        <v>8</v>
      </c>
      <c r="C409" s="220">
        <f t="shared" ref="C409:AP409" si="194">C276</f>
        <v>0</v>
      </c>
      <c r="D409" s="220">
        <f t="shared" si="194"/>
        <v>0</v>
      </c>
      <c r="E409" s="220">
        <f t="shared" si="194"/>
        <v>0</v>
      </c>
      <c r="F409" s="220">
        <f t="shared" si="194"/>
        <v>0</v>
      </c>
      <c r="G409" s="220">
        <f t="shared" si="194"/>
        <v>0</v>
      </c>
      <c r="H409" s="220">
        <f t="shared" si="194"/>
        <v>0</v>
      </c>
      <c r="I409" s="220">
        <f t="shared" si="194"/>
        <v>0</v>
      </c>
      <c r="J409" s="220">
        <f t="shared" si="194"/>
        <v>0</v>
      </c>
      <c r="K409" s="220">
        <f t="shared" si="194"/>
        <v>0</v>
      </c>
      <c r="L409" s="220">
        <f t="shared" si="194"/>
        <v>0</v>
      </c>
      <c r="M409" s="220">
        <f t="shared" si="194"/>
        <v>0</v>
      </c>
      <c r="N409" s="220">
        <f t="shared" si="194"/>
        <v>0</v>
      </c>
      <c r="O409" s="220">
        <f t="shared" si="194"/>
        <v>0</v>
      </c>
      <c r="P409" s="220">
        <f t="shared" si="194"/>
        <v>0</v>
      </c>
      <c r="Q409" s="220">
        <f t="shared" si="194"/>
        <v>0</v>
      </c>
      <c r="R409" s="220">
        <f t="shared" si="194"/>
        <v>0</v>
      </c>
      <c r="S409" s="220">
        <f t="shared" si="194"/>
        <v>0</v>
      </c>
      <c r="T409" s="220">
        <f t="shared" si="194"/>
        <v>0</v>
      </c>
      <c r="U409" s="220">
        <f t="shared" si="194"/>
        <v>0</v>
      </c>
      <c r="V409" s="220">
        <f t="shared" si="194"/>
        <v>0</v>
      </c>
      <c r="W409" s="220">
        <f t="shared" si="194"/>
        <v>0</v>
      </c>
      <c r="X409" s="220">
        <f t="shared" si="194"/>
        <v>0</v>
      </c>
      <c r="Y409" s="220">
        <f t="shared" si="194"/>
        <v>0</v>
      </c>
      <c r="Z409" s="220">
        <f t="shared" si="194"/>
        <v>0</v>
      </c>
      <c r="AA409" s="220">
        <f t="shared" si="194"/>
        <v>0</v>
      </c>
      <c r="AB409" s="220">
        <f t="shared" si="194"/>
        <v>0</v>
      </c>
      <c r="AC409" s="220">
        <f t="shared" si="194"/>
        <v>0</v>
      </c>
      <c r="AD409" s="220">
        <f t="shared" si="194"/>
        <v>0</v>
      </c>
      <c r="AE409" s="220">
        <f t="shared" si="194"/>
        <v>0</v>
      </c>
      <c r="AF409" s="220">
        <f t="shared" si="194"/>
        <v>0</v>
      </c>
      <c r="AG409" s="220">
        <f t="shared" si="194"/>
        <v>0</v>
      </c>
      <c r="AH409" s="220">
        <f t="shared" si="194"/>
        <v>0</v>
      </c>
      <c r="AI409" s="220">
        <f t="shared" si="194"/>
        <v>0</v>
      </c>
      <c r="AJ409" s="220">
        <f t="shared" si="194"/>
        <v>0</v>
      </c>
      <c r="AK409" s="220">
        <f t="shared" si="194"/>
        <v>0</v>
      </c>
      <c r="AL409" s="220">
        <f t="shared" si="194"/>
        <v>0</v>
      </c>
      <c r="AM409" s="220">
        <f t="shared" si="194"/>
        <v>0</v>
      </c>
      <c r="AN409" s="220">
        <f t="shared" si="194"/>
        <v>0</v>
      </c>
      <c r="AO409" s="220">
        <f t="shared" si="194"/>
        <v>0</v>
      </c>
      <c r="AP409" s="220">
        <f t="shared" si="194"/>
        <v>0</v>
      </c>
    </row>
    <row r="410" spans="1:42" x14ac:dyDescent="0.2">
      <c r="A410" s="17">
        <f>A409+1</f>
        <v>9</v>
      </c>
      <c r="C410" s="220">
        <f t="shared" ref="C410:AP410" si="195">C277</f>
        <v>0</v>
      </c>
      <c r="D410" s="220">
        <f t="shared" si="195"/>
        <v>0</v>
      </c>
      <c r="E410" s="220">
        <f t="shared" si="195"/>
        <v>0</v>
      </c>
      <c r="F410" s="220">
        <f t="shared" si="195"/>
        <v>0</v>
      </c>
      <c r="G410" s="220">
        <f t="shared" si="195"/>
        <v>0</v>
      </c>
      <c r="H410" s="220">
        <f t="shared" si="195"/>
        <v>0</v>
      </c>
      <c r="I410" s="220">
        <f t="shared" si="195"/>
        <v>0</v>
      </c>
      <c r="J410" s="220">
        <f t="shared" si="195"/>
        <v>0</v>
      </c>
      <c r="K410" s="220">
        <f t="shared" si="195"/>
        <v>0</v>
      </c>
      <c r="L410" s="220">
        <f t="shared" si="195"/>
        <v>0</v>
      </c>
      <c r="M410" s="220">
        <f t="shared" si="195"/>
        <v>0</v>
      </c>
      <c r="N410" s="220">
        <f t="shared" si="195"/>
        <v>0</v>
      </c>
      <c r="O410" s="220">
        <f t="shared" si="195"/>
        <v>0</v>
      </c>
      <c r="P410" s="220">
        <f t="shared" si="195"/>
        <v>0</v>
      </c>
      <c r="Q410" s="220">
        <f t="shared" si="195"/>
        <v>0</v>
      </c>
      <c r="R410" s="220">
        <f t="shared" si="195"/>
        <v>0</v>
      </c>
      <c r="S410" s="220">
        <f t="shared" si="195"/>
        <v>0</v>
      </c>
      <c r="T410" s="220">
        <f t="shared" si="195"/>
        <v>0</v>
      </c>
      <c r="U410" s="220">
        <f t="shared" si="195"/>
        <v>0</v>
      </c>
      <c r="V410" s="220">
        <f t="shared" si="195"/>
        <v>0</v>
      </c>
      <c r="W410" s="220">
        <f t="shared" si="195"/>
        <v>0</v>
      </c>
      <c r="X410" s="220">
        <f t="shared" si="195"/>
        <v>0</v>
      </c>
      <c r="Y410" s="220">
        <f t="shared" si="195"/>
        <v>0</v>
      </c>
      <c r="Z410" s="220">
        <f t="shared" si="195"/>
        <v>0</v>
      </c>
      <c r="AA410" s="220">
        <f t="shared" si="195"/>
        <v>0</v>
      </c>
      <c r="AB410" s="220">
        <f t="shared" si="195"/>
        <v>0</v>
      </c>
      <c r="AC410" s="220">
        <f t="shared" si="195"/>
        <v>0</v>
      </c>
      <c r="AD410" s="220">
        <f t="shared" si="195"/>
        <v>0</v>
      </c>
      <c r="AE410" s="220">
        <f t="shared" si="195"/>
        <v>0</v>
      </c>
      <c r="AF410" s="220">
        <f t="shared" si="195"/>
        <v>0</v>
      </c>
      <c r="AG410" s="220">
        <f t="shared" si="195"/>
        <v>0</v>
      </c>
      <c r="AH410" s="220">
        <f t="shared" si="195"/>
        <v>0</v>
      </c>
      <c r="AI410" s="220">
        <f t="shared" si="195"/>
        <v>0</v>
      </c>
      <c r="AJ410" s="220">
        <f t="shared" si="195"/>
        <v>0</v>
      </c>
      <c r="AK410" s="220">
        <f t="shared" si="195"/>
        <v>0</v>
      </c>
      <c r="AL410" s="220">
        <f t="shared" si="195"/>
        <v>0</v>
      </c>
      <c r="AM410" s="220">
        <f t="shared" si="195"/>
        <v>0</v>
      </c>
      <c r="AN410" s="220">
        <f t="shared" si="195"/>
        <v>0</v>
      </c>
      <c r="AO410" s="220">
        <f t="shared" si="195"/>
        <v>0</v>
      </c>
      <c r="AP410" s="220">
        <f t="shared" si="195"/>
        <v>0</v>
      </c>
    </row>
    <row r="411" spans="1:42" x14ac:dyDescent="0.2">
      <c r="A411" s="17">
        <f t="shared" ref="A411" si="196">A410+1</f>
        <v>10</v>
      </c>
      <c r="C411" s="220">
        <f t="shared" ref="C411:AP411" si="197">C278</f>
        <v>0</v>
      </c>
      <c r="D411" s="220">
        <f t="shared" si="197"/>
        <v>0</v>
      </c>
      <c r="E411" s="220">
        <f t="shared" si="197"/>
        <v>0</v>
      </c>
      <c r="F411" s="220">
        <f t="shared" si="197"/>
        <v>0</v>
      </c>
      <c r="G411" s="220">
        <f t="shared" si="197"/>
        <v>0</v>
      </c>
      <c r="H411" s="220">
        <f t="shared" si="197"/>
        <v>0</v>
      </c>
      <c r="I411" s="220">
        <f t="shared" si="197"/>
        <v>0</v>
      </c>
      <c r="J411" s="220">
        <f t="shared" si="197"/>
        <v>0</v>
      </c>
      <c r="K411" s="220">
        <f t="shared" si="197"/>
        <v>0</v>
      </c>
      <c r="L411" s="220">
        <f t="shared" si="197"/>
        <v>0</v>
      </c>
      <c r="M411" s="220">
        <f t="shared" si="197"/>
        <v>0</v>
      </c>
      <c r="N411" s="220">
        <f t="shared" si="197"/>
        <v>0</v>
      </c>
      <c r="O411" s="220">
        <f t="shared" si="197"/>
        <v>0</v>
      </c>
      <c r="P411" s="220">
        <f t="shared" si="197"/>
        <v>0</v>
      </c>
      <c r="Q411" s="220">
        <f t="shared" si="197"/>
        <v>0</v>
      </c>
      <c r="R411" s="220">
        <f t="shared" si="197"/>
        <v>0</v>
      </c>
      <c r="S411" s="220">
        <f t="shared" si="197"/>
        <v>0</v>
      </c>
      <c r="T411" s="220">
        <f t="shared" si="197"/>
        <v>0</v>
      </c>
      <c r="U411" s="220">
        <f t="shared" si="197"/>
        <v>0</v>
      </c>
      <c r="V411" s="220">
        <f t="shared" si="197"/>
        <v>0</v>
      </c>
      <c r="W411" s="220">
        <f t="shared" si="197"/>
        <v>0</v>
      </c>
      <c r="X411" s="220">
        <f t="shared" si="197"/>
        <v>0</v>
      </c>
      <c r="Y411" s="220">
        <f t="shared" si="197"/>
        <v>0</v>
      </c>
      <c r="Z411" s="220">
        <f t="shared" si="197"/>
        <v>0</v>
      </c>
      <c r="AA411" s="220">
        <f t="shared" si="197"/>
        <v>0</v>
      </c>
      <c r="AB411" s="220">
        <f t="shared" si="197"/>
        <v>0</v>
      </c>
      <c r="AC411" s="220">
        <f t="shared" si="197"/>
        <v>0</v>
      </c>
      <c r="AD411" s="220">
        <f t="shared" si="197"/>
        <v>0</v>
      </c>
      <c r="AE411" s="220">
        <f t="shared" si="197"/>
        <v>0</v>
      </c>
      <c r="AF411" s="220">
        <f t="shared" si="197"/>
        <v>0</v>
      </c>
      <c r="AG411" s="220">
        <f t="shared" si="197"/>
        <v>0</v>
      </c>
      <c r="AH411" s="220">
        <f t="shared" si="197"/>
        <v>0</v>
      </c>
      <c r="AI411" s="220">
        <f t="shared" si="197"/>
        <v>0</v>
      </c>
      <c r="AJ411" s="220">
        <f t="shared" si="197"/>
        <v>0</v>
      </c>
      <c r="AK411" s="220">
        <f t="shared" si="197"/>
        <v>0</v>
      </c>
      <c r="AL411" s="220">
        <f t="shared" si="197"/>
        <v>0</v>
      </c>
      <c r="AM411" s="220">
        <f t="shared" si="197"/>
        <v>0</v>
      </c>
      <c r="AN411" s="220">
        <f t="shared" si="197"/>
        <v>0</v>
      </c>
      <c r="AO411" s="220">
        <f t="shared" si="197"/>
        <v>0</v>
      </c>
      <c r="AP411" s="220">
        <f t="shared" si="197"/>
        <v>0</v>
      </c>
    </row>
    <row r="412" spans="1:42" x14ac:dyDescent="0.2">
      <c r="A412" s="33"/>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row>
    <row r="413" spans="1:42" x14ac:dyDescent="0.2">
      <c r="A413" s="33" t="s">
        <v>95</v>
      </c>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row>
    <row r="414" spans="1:42" x14ac:dyDescent="0.2">
      <c r="A414" s="17">
        <v>1</v>
      </c>
      <c r="B414" s="240">
        <f t="shared" ref="B414:B423" si="198">SUM(C414:AP414)</f>
        <v>6559908.4543432081</v>
      </c>
      <c r="C414" s="242">
        <f t="shared" ref="C414:AP414" si="199">LOOKUP(C402,$B$397:$AP$397,$B$398:$AP$398)*$B578/100</f>
        <v>0</v>
      </c>
      <c r="D414" s="242">
        <f t="shared" si="199"/>
        <v>0</v>
      </c>
      <c r="E414" s="242">
        <f t="shared" si="199"/>
        <v>0</v>
      </c>
      <c r="F414" s="242">
        <f t="shared" si="199"/>
        <v>0</v>
      </c>
      <c r="G414" s="242">
        <f t="shared" si="199"/>
        <v>0</v>
      </c>
      <c r="H414" s="242">
        <f t="shared" si="199"/>
        <v>0</v>
      </c>
      <c r="I414" s="242">
        <f t="shared" si="199"/>
        <v>0</v>
      </c>
      <c r="J414" s="242">
        <f t="shared" si="199"/>
        <v>0</v>
      </c>
      <c r="K414" s="242">
        <f t="shared" si="199"/>
        <v>0</v>
      </c>
      <c r="L414" s="242">
        <f t="shared" si="199"/>
        <v>0</v>
      </c>
      <c r="M414" s="242">
        <f t="shared" si="199"/>
        <v>0</v>
      </c>
      <c r="N414" s="242">
        <f t="shared" si="199"/>
        <v>1311981.6908686417</v>
      </c>
      <c r="O414" s="242">
        <f t="shared" si="199"/>
        <v>2099170.705389827</v>
      </c>
      <c r="P414" s="242">
        <f t="shared" si="199"/>
        <v>1259502.423233896</v>
      </c>
      <c r="Q414" s="242">
        <f t="shared" si="199"/>
        <v>755701.45394033764</v>
      </c>
      <c r="R414" s="242">
        <f t="shared" si="199"/>
        <v>755701.45394033764</v>
      </c>
      <c r="S414" s="242">
        <f t="shared" si="199"/>
        <v>377850.72697016882</v>
      </c>
      <c r="T414" s="242">
        <f t="shared" si="199"/>
        <v>0</v>
      </c>
      <c r="U414" s="242">
        <f t="shared" si="199"/>
        <v>0</v>
      </c>
      <c r="V414" s="242">
        <f t="shared" si="199"/>
        <v>0</v>
      </c>
      <c r="W414" s="242">
        <f t="shared" si="199"/>
        <v>0</v>
      </c>
      <c r="X414" s="242">
        <f t="shared" si="199"/>
        <v>0</v>
      </c>
      <c r="Y414" s="242">
        <f t="shared" si="199"/>
        <v>0</v>
      </c>
      <c r="Z414" s="242">
        <f t="shared" si="199"/>
        <v>0</v>
      </c>
      <c r="AA414" s="242">
        <f t="shared" si="199"/>
        <v>0</v>
      </c>
      <c r="AB414" s="242">
        <f t="shared" si="199"/>
        <v>0</v>
      </c>
      <c r="AC414" s="242">
        <f t="shared" si="199"/>
        <v>0</v>
      </c>
      <c r="AD414" s="242">
        <f t="shared" si="199"/>
        <v>0</v>
      </c>
      <c r="AE414" s="242">
        <f t="shared" si="199"/>
        <v>0</v>
      </c>
      <c r="AF414" s="242">
        <f t="shared" si="199"/>
        <v>0</v>
      </c>
      <c r="AG414" s="242">
        <f t="shared" si="199"/>
        <v>0</v>
      </c>
      <c r="AH414" s="242">
        <f t="shared" si="199"/>
        <v>0</v>
      </c>
      <c r="AI414" s="242">
        <f t="shared" si="199"/>
        <v>0</v>
      </c>
      <c r="AJ414" s="242">
        <f t="shared" si="199"/>
        <v>0</v>
      </c>
      <c r="AK414" s="242">
        <f t="shared" si="199"/>
        <v>0</v>
      </c>
      <c r="AL414" s="242">
        <f t="shared" si="199"/>
        <v>0</v>
      </c>
      <c r="AM414" s="242">
        <f t="shared" si="199"/>
        <v>0</v>
      </c>
      <c r="AN414" s="242">
        <f t="shared" si="199"/>
        <v>0</v>
      </c>
      <c r="AO414" s="242">
        <f t="shared" si="199"/>
        <v>0</v>
      </c>
      <c r="AP414" s="242">
        <f t="shared" si="199"/>
        <v>0</v>
      </c>
    </row>
    <row r="415" spans="1:42" x14ac:dyDescent="0.2">
      <c r="A415" s="17">
        <f>A414+1</f>
        <v>2</v>
      </c>
      <c r="B415" s="240">
        <f t="shared" si="198"/>
        <v>4587620.7355289925</v>
      </c>
      <c r="C415" s="242">
        <f t="shared" ref="C415:AP415" si="200">LOOKUP(C403,$B$397:$AP$397,$B$398:$AP$398)*$B579/100</f>
        <v>0</v>
      </c>
      <c r="D415" s="242">
        <f t="shared" si="200"/>
        <v>0</v>
      </c>
      <c r="E415" s="242">
        <f t="shared" si="200"/>
        <v>0</v>
      </c>
      <c r="F415" s="242">
        <f t="shared" si="200"/>
        <v>0</v>
      </c>
      <c r="G415" s="242">
        <f t="shared" si="200"/>
        <v>0</v>
      </c>
      <c r="H415" s="242">
        <f t="shared" si="200"/>
        <v>0</v>
      </c>
      <c r="I415" s="242">
        <f t="shared" si="200"/>
        <v>0</v>
      </c>
      <c r="J415" s="242">
        <f t="shared" si="200"/>
        <v>0</v>
      </c>
      <c r="K415" s="242">
        <f t="shared" si="200"/>
        <v>0</v>
      </c>
      <c r="L415" s="242">
        <f t="shared" si="200"/>
        <v>0</v>
      </c>
      <c r="M415" s="242">
        <f t="shared" si="200"/>
        <v>0</v>
      </c>
      <c r="N415" s="242">
        <f t="shared" si="200"/>
        <v>0</v>
      </c>
      <c r="O415" s="242">
        <f t="shared" si="200"/>
        <v>0</v>
      </c>
      <c r="P415" s="242">
        <f t="shared" si="200"/>
        <v>0</v>
      </c>
      <c r="Q415" s="242">
        <f t="shared" si="200"/>
        <v>0</v>
      </c>
      <c r="R415" s="242">
        <f t="shared" si="200"/>
        <v>0</v>
      </c>
      <c r="S415" s="242">
        <f t="shared" si="200"/>
        <v>0</v>
      </c>
      <c r="T415" s="242">
        <f t="shared" si="200"/>
        <v>0</v>
      </c>
      <c r="U415" s="242">
        <f t="shared" si="200"/>
        <v>0</v>
      </c>
      <c r="V415" s="242">
        <f t="shared" si="200"/>
        <v>0</v>
      </c>
      <c r="W415" s="242">
        <f t="shared" si="200"/>
        <v>0</v>
      </c>
      <c r="X415" s="242">
        <f t="shared" si="200"/>
        <v>0</v>
      </c>
      <c r="Y415" s="242">
        <f t="shared" si="200"/>
        <v>0</v>
      </c>
      <c r="Z415" s="242">
        <f t="shared" si="200"/>
        <v>1764469.5136649972</v>
      </c>
      <c r="AA415" s="242">
        <f t="shared" si="200"/>
        <v>2823151.2218639958</v>
      </c>
      <c r="AB415" s="242">
        <f t="shared" si="200"/>
        <v>0</v>
      </c>
      <c r="AC415" s="242">
        <f t="shared" si="200"/>
        <v>0</v>
      </c>
      <c r="AD415" s="242">
        <f t="shared" si="200"/>
        <v>0</v>
      </c>
      <c r="AE415" s="242">
        <f t="shared" si="200"/>
        <v>0</v>
      </c>
      <c r="AF415" s="242">
        <f t="shared" si="200"/>
        <v>0</v>
      </c>
      <c r="AG415" s="242">
        <f t="shared" si="200"/>
        <v>0</v>
      </c>
      <c r="AH415" s="242">
        <f t="shared" si="200"/>
        <v>0</v>
      </c>
      <c r="AI415" s="242">
        <f t="shared" si="200"/>
        <v>0</v>
      </c>
      <c r="AJ415" s="242">
        <f t="shared" si="200"/>
        <v>0</v>
      </c>
      <c r="AK415" s="242">
        <f t="shared" si="200"/>
        <v>0</v>
      </c>
      <c r="AL415" s="242">
        <f t="shared" si="200"/>
        <v>0</v>
      </c>
      <c r="AM415" s="242">
        <f t="shared" si="200"/>
        <v>0</v>
      </c>
      <c r="AN415" s="242">
        <f t="shared" si="200"/>
        <v>0</v>
      </c>
      <c r="AO415" s="242">
        <f t="shared" si="200"/>
        <v>0</v>
      </c>
      <c r="AP415" s="242">
        <f t="shared" si="200"/>
        <v>0</v>
      </c>
    </row>
    <row r="416" spans="1:42" x14ac:dyDescent="0.2">
      <c r="A416" s="17">
        <f t="shared" ref="A416:A421" si="201">A415+1</f>
        <v>3</v>
      </c>
      <c r="B416" s="240">
        <f t="shared" si="198"/>
        <v>0</v>
      </c>
      <c r="C416" s="242">
        <f t="shared" ref="C416:AP416" si="202">LOOKUP(C404,$B$397:$AP$397,$B$398:$AP$398)*$B580/100</f>
        <v>0</v>
      </c>
      <c r="D416" s="242">
        <f t="shared" si="202"/>
        <v>0</v>
      </c>
      <c r="E416" s="242">
        <f t="shared" si="202"/>
        <v>0</v>
      </c>
      <c r="F416" s="242">
        <f t="shared" si="202"/>
        <v>0</v>
      </c>
      <c r="G416" s="242">
        <f t="shared" si="202"/>
        <v>0</v>
      </c>
      <c r="H416" s="242">
        <f t="shared" si="202"/>
        <v>0</v>
      </c>
      <c r="I416" s="242">
        <f t="shared" si="202"/>
        <v>0</v>
      </c>
      <c r="J416" s="242">
        <f t="shared" si="202"/>
        <v>0</v>
      </c>
      <c r="K416" s="242">
        <f t="shared" si="202"/>
        <v>0</v>
      </c>
      <c r="L416" s="242">
        <f t="shared" si="202"/>
        <v>0</v>
      </c>
      <c r="M416" s="242">
        <f t="shared" si="202"/>
        <v>0</v>
      </c>
      <c r="N416" s="242">
        <f t="shared" si="202"/>
        <v>0</v>
      </c>
      <c r="O416" s="242">
        <f t="shared" si="202"/>
        <v>0</v>
      </c>
      <c r="P416" s="242">
        <f t="shared" si="202"/>
        <v>0</v>
      </c>
      <c r="Q416" s="242">
        <f t="shared" si="202"/>
        <v>0</v>
      </c>
      <c r="R416" s="242">
        <f t="shared" si="202"/>
        <v>0</v>
      </c>
      <c r="S416" s="242">
        <f t="shared" si="202"/>
        <v>0</v>
      </c>
      <c r="T416" s="242">
        <f t="shared" si="202"/>
        <v>0</v>
      </c>
      <c r="U416" s="242">
        <f t="shared" si="202"/>
        <v>0</v>
      </c>
      <c r="V416" s="242">
        <f t="shared" si="202"/>
        <v>0</v>
      </c>
      <c r="W416" s="242">
        <f t="shared" si="202"/>
        <v>0</v>
      </c>
      <c r="X416" s="242">
        <f t="shared" si="202"/>
        <v>0</v>
      </c>
      <c r="Y416" s="242">
        <f t="shared" si="202"/>
        <v>0</v>
      </c>
      <c r="Z416" s="242">
        <f t="shared" si="202"/>
        <v>0</v>
      </c>
      <c r="AA416" s="242">
        <f t="shared" si="202"/>
        <v>0</v>
      </c>
      <c r="AB416" s="242">
        <f t="shared" si="202"/>
        <v>0</v>
      </c>
      <c r="AC416" s="242">
        <f t="shared" si="202"/>
        <v>0</v>
      </c>
      <c r="AD416" s="242">
        <f t="shared" si="202"/>
        <v>0</v>
      </c>
      <c r="AE416" s="242">
        <f t="shared" si="202"/>
        <v>0</v>
      </c>
      <c r="AF416" s="242">
        <f t="shared" si="202"/>
        <v>0</v>
      </c>
      <c r="AG416" s="242">
        <f t="shared" si="202"/>
        <v>0</v>
      </c>
      <c r="AH416" s="242">
        <f t="shared" si="202"/>
        <v>0</v>
      </c>
      <c r="AI416" s="242">
        <f t="shared" si="202"/>
        <v>0</v>
      </c>
      <c r="AJ416" s="242">
        <f t="shared" si="202"/>
        <v>0</v>
      </c>
      <c r="AK416" s="242">
        <f t="shared" si="202"/>
        <v>0</v>
      </c>
      <c r="AL416" s="242">
        <f t="shared" si="202"/>
        <v>0</v>
      </c>
      <c r="AM416" s="242">
        <f t="shared" si="202"/>
        <v>0</v>
      </c>
      <c r="AN416" s="242">
        <f t="shared" si="202"/>
        <v>0</v>
      </c>
      <c r="AO416" s="242">
        <f t="shared" si="202"/>
        <v>0</v>
      </c>
      <c r="AP416" s="242">
        <f t="shared" si="202"/>
        <v>0</v>
      </c>
    </row>
    <row r="417" spans="1:42" x14ac:dyDescent="0.2">
      <c r="A417" s="17">
        <f t="shared" si="201"/>
        <v>4</v>
      </c>
      <c r="B417" s="240">
        <f t="shared" si="198"/>
        <v>0</v>
      </c>
      <c r="C417" s="242">
        <f t="shared" ref="C417:AP417" si="203">LOOKUP(C405,$B$397:$AP$397,$B$398:$AP$398)*$B581/100</f>
        <v>0</v>
      </c>
      <c r="D417" s="242">
        <f t="shared" si="203"/>
        <v>0</v>
      </c>
      <c r="E417" s="242">
        <f t="shared" si="203"/>
        <v>0</v>
      </c>
      <c r="F417" s="242">
        <f t="shared" si="203"/>
        <v>0</v>
      </c>
      <c r="G417" s="242">
        <f t="shared" si="203"/>
        <v>0</v>
      </c>
      <c r="H417" s="242">
        <f t="shared" si="203"/>
        <v>0</v>
      </c>
      <c r="I417" s="242">
        <f t="shared" si="203"/>
        <v>0</v>
      </c>
      <c r="J417" s="242">
        <f t="shared" si="203"/>
        <v>0</v>
      </c>
      <c r="K417" s="242">
        <f t="shared" si="203"/>
        <v>0</v>
      </c>
      <c r="L417" s="242">
        <f t="shared" si="203"/>
        <v>0</v>
      </c>
      <c r="M417" s="242">
        <f t="shared" si="203"/>
        <v>0</v>
      </c>
      <c r="N417" s="242">
        <f t="shared" si="203"/>
        <v>0</v>
      </c>
      <c r="O417" s="242">
        <f t="shared" si="203"/>
        <v>0</v>
      </c>
      <c r="P417" s="242">
        <f t="shared" si="203"/>
        <v>0</v>
      </c>
      <c r="Q417" s="242">
        <f t="shared" si="203"/>
        <v>0</v>
      </c>
      <c r="R417" s="242">
        <f t="shared" si="203"/>
        <v>0</v>
      </c>
      <c r="S417" s="242">
        <f t="shared" si="203"/>
        <v>0</v>
      </c>
      <c r="T417" s="242">
        <f t="shared" si="203"/>
        <v>0</v>
      </c>
      <c r="U417" s="242">
        <f t="shared" si="203"/>
        <v>0</v>
      </c>
      <c r="V417" s="242">
        <f t="shared" si="203"/>
        <v>0</v>
      </c>
      <c r="W417" s="242">
        <f t="shared" si="203"/>
        <v>0</v>
      </c>
      <c r="X417" s="242">
        <f t="shared" si="203"/>
        <v>0</v>
      </c>
      <c r="Y417" s="242">
        <f t="shared" si="203"/>
        <v>0</v>
      </c>
      <c r="Z417" s="242">
        <f t="shared" si="203"/>
        <v>0</v>
      </c>
      <c r="AA417" s="242">
        <f t="shared" si="203"/>
        <v>0</v>
      </c>
      <c r="AB417" s="242">
        <f t="shared" si="203"/>
        <v>0</v>
      </c>
      <c r="AC417" s="242">
        <f t="shared" si="203"/>
        <v>0</v>
      </c>
      <c r="AD417" s="242">
        <f t="shared" si="203"/>
        <v>0</v>
      </c>
      <c r="AE417" s="242">
        <f t="shared" si="203"/>
        <v>0</v>
      </c>
      <c r="AF417" s="242">
        <f t="shared" si="203"/>
        <v>0</v>
      </c>
      <c r="AG417" s="242">
        <f t="shared" si="203"/>
        <v>0</v>
      </c>
      <c r="AH417" s="242">
        <f t="shared" si="203"/>
        <v>0</v>
      </c>
      <c r="AI417" s="242">
        <f t="shared" si="203"/>
        <v>0</v>
      </c>
      <c r="AJ417" s="242">
        <f t="shared" si="203"/>
        <v>0</v>
      </c>
      <c r="AK417" s="242">
        <f t="shared" si="203"/>
        <v>0</v>
      </c>
      <c r="AL417" s="242">
        <f t="shared" si="203"/>
        <v>0</v>
      </c>
      <c r="AM417" s="242">
        <f t="shared" si="203"/>
        <v>0</v>
      </c>
      <c r="AN417" s="242">
        <f t="shared" si="203"/>
        <v>0</v>
      </c>
      <c r="AO417" s="242">
        <f t="shared" si="203"/>
        <v>0</v>
      </c>
      <c r="AP417" s="242">
        <f t="shared" si="203"/>
        <v>0</v>
      </c>
    </row>
    <row r="418" spans="1:42" x14ac:dyDescent="0.2">
      <c r="A418" s="17">
        <f t="shared" si="201"/>
        <v>5</v>
      </c>
      <c r="B418" s="240">
        <f t="shared" si="198"/>
        <v>0</v>
      </c>
      <c r="C418" s="242">
        <f t="shared" ref="C418:AP418" si="204">LOOKUP(C406,$B$397:$AP$397,$B$398:$AP$398)*$B582/100</f>
        <v>0</v>
      </c>
      <c r="D418" s="242">
        <f t="shared" si="204"/>
        <v>0</v>
      </c>
      <c r="E418" s="242">
        <f t="shared" si="204"/>
        <v>0</v>
      </c>
      <c r="F418" s="242">
        <f t="shared" si="204"/>
        <v>0</v>
      </c>
      <c r="G418" s="242">
        <f t="shared" si="204"/>
        <v>0</v>
      </c>
      <c r="H418" s="242">
        <f t="shared" si="204"/>
        <v>0</v>
      </c>
      <c r="I418" s="242">
        <f t="shared" si="204"/>
        <v>0</v>
      </c>
      <c r="J418" s="242">
        <f t="shared" si="204"/>
        <v>0</v>
      </c>
      <c r="K418" s="242">
        <f t="shared" si="204"/>
        <v>0</v>
      </c>
      <c r="L418" s="242">
        <f t="shared" si="204"/>
        <v>0</v>
      </c>
      <c r="M418" s="242">
        <f t="shared" si="204"/>
        <v>0</v>
      </c>
      <c r="N418" s="242">
        <f t="shared" si="204"/>
        <v>0</v>
      </c>
      <c r="O418" s="242">
        <f t="shared" si="204"/>
        <v>0</v>
      </c>
      <c r="P418" s="242">
        <f t="shared" si="204"/>
        <v>0</v>
      </c>
      <c r="Q418" s="242">
        <f t="shared" si="204"/>
        <v>0</v>
      </c>
      <c r="R418" s="242">
        <f t="shared" si="204"/>
        <v>0</v>
      </c>
      <c r="S418" s="242">
        <f t="shared" si="204"/>
        <v>0</v>
      </c>
      <c r="T418" s="242">
        <f t="shared" si="204"/>
        <v>0</v>
      </c>
      <c r="U418" s="242">
        <f t="shared" si="204"/>
        <v>0</v>
      </c>
      <c r="V418" s="242">
        <f t="shared" si="204"/>
        <v>0</v>
      </c>
      <c r="W418" s="242">
        <f t="shared" si="204"/>
        <v>0</v>
      </c>
      <c r="X418" s="242">
        <f t="shared" si="204"/>
        <v>0</v>
      </c>
      <c r="Y418" s="242">
        <f t="shared" si="204"/>
        <v>0</v>
      </c>
      <c r="Z418" s="242">
        <f t="shared" si="204"/>
        <v>0</v>
      </c>
      <c r="AA418" s="242">
        <f t="shared" si="204"/>
        <v>0</v>
      </c>
      <c r="AB418" s="242">
        <f t="shared" si="204"/>
        <v>0</v>
      </c>
      <c r="AC418" s="242">
        <f t="shared" si="204"/>
        <v>0</v>
      </c>
      <c r="AD418" s="242">
        <f t="shared" si="204"/>
        <v>0</v>
      </c>
      <c r="AE418" s="242">
        <f t="shared" si="204"/>
        <v>0</v>
      </c>
      <c r="AF418" s="242">
        <f t="shared" si="204"/>
        <v>0</v>
      </c>
      <c r="AG418" s="242">
        <f t="shared" si="204"/>
        <v>0</v>
      </c>
      <c r="AH418" s="242">
        <f t="shared" si="204"/>
        <v>0</v>
      </c>
      <c r="AI418" s="242">
        <f t="shared" si="204"/>
        <v>0</v>
      </c>
      <c r="AJ418" s="242">
        <f t="shared" si="204"/>
        <v>0</v>
      </c>
      <c r="AK418" s="242">
        <f t="shared" si="204"/>
        <v>0</v>
      </c>
      <c r="AL418" s="242">
        <f t="shared" si="204"/>
        <v>0</v>
      </c>
      <c r="AM418" s="242">
        <f t="shared" si="204"/>
        <v>0</v>
      </c>
      <c r="AN418" s="242">
        <f t="shared" si="204"/>
        <v>0</v>
      </c>
      <c r="AO418" s="242">
        <f t="shared" si="204"/>
        <v>0</v>
      </c>
      <c r="AP418" s="242">
        <f t="shared" si="204"/>
        <v>0</v>
      </c>
    </row>
    <row r="419" spans="1:42" x14ac:dyDescent="0.2">
      <c r="A419" s="17">
        <f t="shared" si="201"/>
        <v>6</v>
      </c>
      <c r="B419" s="240">
        <f t="shared" si="198"/>
        <v>0</v>
      </c>
      <c r="C419" s="242">
        <f t="shared" ref="C419:AP419" si="205">LOOKUP(C407,$B$397:$AP$397,$B$398:$AP$398)*$B583/100</f>
        <v>0</v>
      </c>
      <c r="D419" s="242">
        <f t="shared" si="205"/>
        <v>0</v>
      </c>
      <c r="E419" s="242">
        <f t="shared" si="205"/>
        <v>0</v>
      </c>
      <c r="F419" s="242">
        <f t="shared" si="205"/>
        <v>0</v>
      </c>
      <c r="G419" s="242">
        <f t="shared" si="205"/>
        <v>0</v>
      </c>
      <c r="H419" s="242">
        <f t="shared" si="205"/>
        <v>0</v>
      </c>
      <c r="I419" s="242">
        <f t="shared" si="205"/>
        <v>0</v>
      </c>
      <c r="J419" s="242">
        <f t="shared" si="205"/>
        <v>0</v>
      </c>
      <c r="K419" s="242">
        <f t="shared" si="205"/>
        <v>0</v>
      </c>
      <c r="L419" s="242">
        <f t="shared" si="205"/>
        <v>0</v>
      </c>
      <c r="M419" s="242">
        <f t="shared" si="205"/>
        <v>0</v>
      </c>
      <c r="N419" s="242">
        <f t="shared" si="205"/>
        <v>0</v>
      </c>
      <c r="O419" s="242">
        <f t="shared" si="205"/>
        <v>0</v>
      </c>
      <c r="P419" s="242">
        <f t="shared" si="205"/>
        <v>0</v>
      </c>
      <c r="Q419" s="242">
        <f t="shared" si="205"/>
        <v>0</v>
      </c>
      <c r="R419" s="242">
        <f t="shared" si="205"/>
        <v>0</v>
      </c>
      <c r="S419" s="242">
        <f t="shared" si="205"/>
        <v>0</v>
      </c>
      <c r="T419" s="242">
        <f t="shared" si="205"/>
        <v>0</v>
      </c>
      <c r="U419" s="242">
        <f t="shared" si="205"/>
        <v>0</v>
      </c>
      <c r="V419" s="242">
        <f t="shared" si="205"/>
        <v>0</v>
      </c>
      <c r="W419" s="242">
        <f t="shared" si="205"/>
        <v>0</v>
      </c>
      <c r="X419" s="242">
        <f t="shared" si="205"/>
        <v>0</v>
      </c>
      <c r="Y419" s="242">
        <f t="shared" si="205"/>
        <v>0</v>
      </c>
      <c r="Z419" s="242">
        <f t="shared" si="205"/>
        <v>0</v>
      </c>
      <c r="AA419" s="242">
        <f t="shared" si="205"/>
        <v>0</v>
      </c>
      <c r="AB419" s="242">
        <f t="shared" si="205"/>
        <v>0</v>
      </c>
      <c r="AC419" s="242">
        <f t="shared" si="205"/>
        <v>0</v>
      </c>
      <c r="AD419" s="242">
        <f t="shared" si="205"/>
        <v>0</v>
      </c>
      <c r="AE419" s="242">
        <f t="shared" si="205"/>
        <v>0</v>
      </c>
      <c r="AF419" s="242">
        <f t="shared" si="205"/>
        <v>0</v>
      </c>
      <c r="AG419" s="242">
        <f t="shared" si="205"/>
        <v>0</v>
      </c>
      <c r="AH419" s="242">
        <f t="shared" si="205"/>
        <v>0</v>
      </c>
      <c r="AI419" s="242">
        <f t="shared" si="205"/>
        <v>0</v>
      </c>
      <c r="AJ419" s="242">
        <f t="shared" si="205"/>
        <v>0</v>
      </c>
      <c r="AK419" s="242">
        <f t="shared" si="205"/>
        <v>0</v>
      </c>
      <c r="AL419" s="242">
        <f t="shared" si="205"/>
        <v>0</v>
      </c>
      <c r="AM419" s="242">
        <f t="shared" si="205"/>
        <v>0</v>
      </c>
      <c r="AN419" s="242">
        <f t="shared" si="205"/>
        <v>0</v>
      </c>
      <c r="AO419" s="242">
        <f t="shared" si="205"/>
        <v>0</v>
      </c>
      <c r="AP419" s="242">
        <f t="shared" si="205"/>
        <v>0</v>
      </c>
    </row>
    <row r="420" spans="1:42" x14ac:dyDescent="0.2">
      <c r="A420" s="17">
        <f t="shared" si="201"/>
        <v>7</v>
      </c>
      <c r="B420" s="240">
        <f t="shared" si="198"/>
        <v>0</v>
      </c>
      <c r="C420" s="242">
        <f t="shared" ref="C420:AP420" si="206">LOOKUP(C408,$B$397:$AP$397,$B$398:$AP$398)*$B584/100</f>
        <v>0</v>
      </c>
      <c r="D420" s="242">
        <f t="shared" si="206"/>
        <v>0</v>
      </c>
      <c r="E420" s="242">
        <f t="shared" si="206"/>
        <v>0</v>
      </c>
      <c r="F420" s="242">
        <f t="shared" si="206"/>
        <v>0</v>
      </c>
      <c r="G420" s="242">
        <f t="shared" si="206"/>
        <v>0</v>
      </c>
      <c r="H420" s="242">
        <f t="shared" si="206"/>
        <v>0</v>
      </c>
      <c r="I420" s="242">
        <f t="shared" si="206"/>
        <v>0</v>
      </c>
      <c r="J420" s="242">
        <f t="shared" si="206"/>
        <v>0</v>
      </c>
      <c r="K420" s="242">
        <f t="shared" si="206"/>
        <v>0</v>
      </c>
      <c r="L420" s="242">
        <f t="shared" si="206"/>
        <v>0</v>
      </c>
      <c r="M420" s="242">
        <f t="shared" si="206"/>
        <v>0</v>
      </c>
      <c r="N420" s="242">
        <f t="shared" si="206"/>
        <v>0</v>
      </c>
      <c r="O420" s="242">
        <f t="shared" si="206"/>
        <v>0</v>
      </c>
      <c r="P420" s="242">
        <f t="shared" si="206"/>
        <v>0</v>
      </c>
      <c r="Q420" s="242">
        <f t="shared" si="206"/>
        <v>0</v>
      </c>
      <c r="R420" s="242">
        <f t="shared" si="206"/>
        <v>0</v>
      </c>
      <c r="S420" s="242">
        <f t="shared" si="206"/>
        <v>0</v>
      </c>
      <c r="T420" s="242">
        <f t="shared" si="206"/>
        <v>0</v>
      </c>
      <c r="U420" s="242">
        <f t="shared" si="206"/>
        <v>0</v>
      </c>
      <c r="V420" s="242">
        <f t="shared" si="206"/>
        <v>0</v>
      </c>
      <c r="W420" s="242">
        <f t="shared" si="206"/>
        <v>0</v>
      </c>
      <c r="X420" s="242">
        <f t="shared" si="206"/>
        <v>0</v>
      </c>
      <c r="Y420" s="242">
        <f t="shared" si="206"/>
        <v>0</v>
      </c>
      <c r="Z420" s="242">
        <f t="shared" si="206"/>
        <v>0</v>
      </c>
      <c r="AA420" s="242">
        <f t="shared" si="206"/>
        <v>0</v>
      </c>
      <c r="AB420" s="242">
        <f t="shared" si="206"/>
        <v>0</v>
      </c>
      <c r="AC420" s="242">
        <f t="shared" si="206"/>
        <v>0</v>
      </c>
      <c r="AD420" s="242">
        <f t="shared" si="206"/>
        <v>0</v>
      </c>
      <c r="AE420" s="242">
        <f t="shared" si="206"/>
        <v>0</v>
      </c>
      <c r="AF420" s="242">
        <f t="shared" si="206"/>
        <v>0</v>
      </c>
      <c r="AG420" s="242">
        <f t="shared" si="206"/>
        <v>0</v>
      </c>
      <c r="AH420" s="242">
        <f t="shared" si="206"/>
        <v>0</v>
      </c>
      <c r="AI420" s="242">
        <f t="shared" si="206"/>
        <v>0</v>
      </c>
      <c r="AJ420" s="242">
        <f t="shared" si="206"/>
        <v>0</v>
      </c>
      <c r="AK420" s="242">
        <f t="shared" si="206"/>
        <v>0</v>
      </c>
      <c r="AL420" s="242">
        <f t="shared" si="206"/>
        <v>0</v>
      </c>
      <c r="AM420" s="242">
        <f t="shared" si="206"/>
        <v>0</v>
      </c>
      <c r="AN420" s="242">
        <f t="shared" si="206"/>
        <v>0</v>
      </c>
      <c r="AO420" s="242">
        <f t="shared" si="206"/>
        <v>0</v>
      </c>
      <c r="AP420" s="242">
        <f t="shared" si="206"/>
        <v>0</v>
      </c>
    </row>
    <row r="421" spans="1:42" x14ac:dyDescent="0.2">
      <c r="A421" s="17">
        <f t="shared" si="201"/>
        <v>8</v>
      </c>
      <c r="B421" s="240">
        <f t="shared" si="198"/>
        <v>0</v>
      </c>
      <c r="C421" s="242">
        <f t="shared" ref="C421:AP421" si="207">LOOKUP(C409,$B$397:$AP$397,$B$398:$AP$398)*$B585/100</f>
        <v>0</v>
      </c>
      <c r="D421" s="242">
        <f t="shared" si="207"/>
        <v>0</v>
      </c>
      <c r="E421" s="242">
        <f t="shared" si="207"/>
        <v>0</v>
      </c>
      <c r="F421" s="242">
        <f t="shared" si="207"/>
        <v>0</v>
      </c>
      <c r="G421" s="242">
        <f t="shared" si="207"/>
        <v>0</v>
      </c>
      <c r="H421" s="242">
        <f t="shared" si="207"/>
        <v>0</v>
      </c>
      <c r="I421" s="242">
        <f t="shared" si="207"/>
        <v>0</v>
      </c>
      <c r="J421" s="242">
        <f t="shared" si="207"/>
        <v>0</v>
      </c>
      <c r="K421" s="242">
        <f t="shared" si="207"/>
        <v>0</v>
      </c>
      <c r="L421" s="242">
        <f t="shared" si="207"/>
        <v>0</v>
      </c>
      <c r="M421" s="242">
        <f t="shared" si="207"/>
        <v>0</v>
      </c>
      <c r="N421" s="242">
        <f t="shared" si="207"/>
        <v>0</v>
      </c>
      <c r="O421" s="242">
        <f t="shared" si="207"/>
        <v>0</v>
      </c>
      <c r="P421" s="242">
        <f t="shared" si="207"/>
        <v>0</v>
      </c>
      <c r="Q421" s="242">
        <f t="shared" si="207"/>
        <v>0</v>
      </c>
      <c r="R421" s="242">
        <f t="shared" si="207"/>
        <v>0</v>
      </c>
      <c r="S421" s="242">
        <f t="shared" si="207"/>
        <v>0</v>
      </c>
      <c r="T421" s="242">
        <f t="shared" si="207"/>
        <v>0</v>
      </c>
      <c r="U421" s="242">
        <f t="shared" si="207"/>
        <v>0</v>
      </c>
      <c r="V421" s="242">
        <f t="shared" si="207"/>
        <v>0</v>
      </c>
      <c r="W421" s="242">
        <f t="shared" si="207"/>
        <v>0</v>
      </c>
      <c r="X421" s="242">
        <f t="shared" si="207"/>
        <v>0</v>
      </c>
      <c r="Y421" s="242">
        <f t="shared" si="207"/>
        <v>0</v>
      </c>
      <c r="Z421" s="242">
        <f t="shared" si="207"/>
        <v>0</v>
      </c>
      <c r="AA421" s="242">
        <f t="shared" si="207"/>
        <v>0</v>
      </c>
      <c r="AB421" s="242">
        <f t="shared" si="207"/>
        <v>0</v>
      </c>
      <c r="AC421" s="242">
        <f t="shared" si="207"/>
        <v>0</v>
      </c>
      <c r="AD421" s="242">
        <f t="shared" si="207"/>
        <v>0</v>
      </c>
      <c r="AE421" s="242">
        <f t="shared" si="207"/>
        <v>0</v>
      </c>
      <c r="AF421" s="242">
        <f t="shared" si="207"/>
        <v>0</v>
      </c>
      <c r="AG421" s="242">
        <f t="shared" si="207"/>
        <v>0</v>
      </c>
      <c r="AH421" s="242">
        <f t="shared" si="207"/>
        <v>0</v>
      </c>
      <c r="AI421" s="242">
        <f t="shared" si="207"/>
        <v>0</v>
      </c>
      <c r="AJ421" s="242">
        <f t="shared" si="207"/>
        <v>0</v>
      </c>
      <c r="AK421" s="242">
        <f t="shared" si="207"/>
        <v>0</v>
      </c>
      <c r="AL421" s="242">
        <f t="shared" si="207"/>
        <v>0</v>
      </c>
      <c r="AM421" s="242">
        <f t="shared" si="207"/>
        <v>0</v>
      </c>
      <c r="AN421" s="242">
        <f t="shared" si="207"/>
        <v>0</v>
      </c>
      <c r="AO421" s="242">
        <f t="shared" si="207"/>
        <v>0</v>
      </c>
      <c r="AP421" s="242">
        <f t="shared" si="207"/>
        <v>0</v>
      </c>
    </row>
    <row r="422" spans="1:42" x14ac:dyDescent="0.2">
      <c r="A422" s="17">
        <f>A421+1</f>
        <v>9</v>
      </c>
      <c r="B422" s="240">
        <f t="shared" si="198"/>
        <v>0</v>
      </c>
      <c r="C422" s="242">
        <f t="shared" ref="C422:AP422" si="208">LOOKUP(C410,$B$397:$AP$397,$B$398:$AP$398)*$B586/100</f>
        <v>0</v>
      </c>
      <c r="D422" s="242">
        <f t="shared" si="208"/>
        <v>0</v>
      </c>
      <c r="E422" s="242">
        <f t="shared" si="208"/>
        <v>0</v>
      </c>
      <c r="F422" s="242">
        <f t="shared" si="208"/>
        <v>0</v>
      </c>
      <c r="G422" s="242">
        <f t="shared" si="208"/>
        <v>0</v>
      </c>
      <c r="H422" s="242">
        <f t="shared" si="208"/>
        <v>0</v>
      </c>
      <c r="I422" s="242">
        <f t="shared" si="208"/>
        <v>0</v>
      </c>
      <c r="J422" s="242">
        <f t="shared" si="208"/>
        <v>0</v>
      </c>
      <c r="K422" s="242">
        <f t="shared" si="208"/>
        <v>0</v>
      </c>
      <c r="L422" s="242">
        <f t="shared" si="208"/>
        <v>0</v>
      </c>
      <c r="M422" s="242">
        <f t="shared" si="208"/>
        <v>0</v>
      </c>
      <c r="N422" s="242">
        <f t="shared" si="208"/>
        <v>0</v>
      </c>
      <c r="O422" s="242">
        <f t="shared" si="208"/>
        <v>0</v>
      </c>
      <c r="P422" s="242">
        <f t="shared" si="208"/>
        <v>0</v>
      </c>
      <c r="Q422" s="242">
        <f t="shared" si="208"/>
        <v>0</v>
      </c>
      <c r="R422" s="242">
        <f t="shared" si="208"/>
        <v>0</v>
      </c>
      <c r="S422" s="242">
        <f t="shared" si="208"/>
        <v>0</v>
      </c>
      <c r="T422" s="242">
        <f t="shared" si="208"/>
        <v>0</v>
      </c>
      <c r="U422" s="242">
        <f t="shared" si="208"/>
        <v>0</v>
      </c>
      <c r="V422" s="242">
        <f t="shared" si="208"/>
        <v>0</v>
      </c>
      <c r="W422" s="242">
        <f t="shared" si="208"/>
        <v>0</v>
      </c>
      <c r="X422" s="242">
        <f t="shared" si="208"/>
        <v>0</v>
      </c>
      <c r="Y422" s="242">
        <f t="shared" si="208"/>
        <v>0</v>
      </c>
      <c r="Z422" s="242">
        <f t="shared" si="208"/>
        <v>0</v>
      </c>
      <c r="AA422" s="242">
        <f t="shared" si="208"/>
        <v>0</v>
      </c>
      <c r="AB422" s="242">
        <f t="shared" si="208"/>
        <v>0</v>
      </c>
      <c r="AC422" s="242">
        <f t="shared" si="208"/>
        <v>0</v>
      </c>
      <c r="AD422" s="242">
        <f t="shared" si="208"/>
        <v>0</v>
      </c>
      <c r="AE422" s="242">
        <f t="shared" si="208"/>
        <v>0</v>
      </c>
      <c r="AF422" s="242">
        <f t="shared" si="208"/>
        <v>0</v>
      </c>
      <c r="AG422" s="242">
        <f t="shared" si="208"/>
        <v>0</v>
      </c>
      <c r="AH422" s="242">
        <f t="shared" si="208"/>
        <v>0</v>
      </c>
      <c r="AI422" s="242">
        <f t="shared" si="208"/>
        <v>0</v>
      </c>
      <c r="AJ422" s="242">
        <f t="shared" si="208"/>
        <v>0</v>
      </c>
      <c r="AK422" s="242">
        <f t="shared" si="208"/>
        <v>0</v>
      </c>
      <c r="AL422" s="242">
        <f t="shared" si="208"/>
        <v>0</v>
      </c>
      <c r="AM422" s="242">
        <f t="shared" si="208"/>
        <v>0</v>
      </c>
      <c r="AN422" s="242">
        <f t="shared" si="208"/>
        <v>0</v>
      </c>
      <c r="AO422" s="242">
        <f t="shared" si="208"/>
        <v>0</v>
      </c>
      <c r="AP422" s="242">
        <f t="shared" si="208"/>
        <v>0</v>
      </c>
    </row>
    <row r="423" spans="1:42" x14ac:dyDescent="0.2">
      <c r="A423" s="17">
        <f t="shared" ref="A423" si="209">A422+1</f>
        <v>10</v>
      </c>
      <c r="B423" s="240">
        <f t="shared" si="198"/>
        <v>0</v>
      </c>
      <c r="C423" s="242">
        <f t="shared" ref="C423:AP423" si="210">LOOKUP(C411,$B$397:$AP$397,$B$398:$AP$398)*$B587/100</f>
        <v>0</v>
      </c>
      <c r="D423" s="242">
        <f t="shared" si="210"/>
        <v>0</v>
      </c>
      <c r="E423" s="242">
        <f t="shared" si="210"/>
        <v>0</v>
      </c>
      <c r="F423" s="242">
        <f t="shared" si="210"/>
        <v>0</v>
      </c>
      <c r="G423" s="242">
        <f t="shared" si="210"/>
        <v>0</v>
      </c>
      <c r="H423" s="242">
        <f t="shared" si="210"/>
        <v>0</v>
      </c>
      <c r="I423" s="242">
        <f t="shared" si="210"/>
        <v>0</v>
      </c>
      <c r="J423" s="242">
        <f t="shared" si="210"/>
        <v>0</v>
      </c>
      <c r="K423" s="242">
        <f t="shared" si="210"/>
        <v>0</v>
      </c>
      <c r="L423" s="242">
        <f t="shared" si="210"/>
        <v>0</v>
      </c>
      <c r="M423" s="242">
        <f t="shared" si="210"/>
        <v>0</v>
      </c>
      <c r="N423" s="242">
        <f t="shared" si="210"/>
        <v>0</v>
      </c>
      <c r="O423" s="242">
        <f t="shared" si="210"/>
        <v>0</v>
      </c>
      <c r="P423" s="242">
        <f t="shared" si="210"/>
        <v>0</v>
      </c>
      <c r="Q423" s="242">
        <f t="shared" si="210"/>
        <v>0</v>
      </c>
      <c r="R423" s="242">
        <f t="shared" si="210"/>
        <v>0</v>
      </c>
      <c r="S423" s="242">
        <f t="shared" si="210"/>
        <v>0</v>
      </c>
      <c r="T423" s="242">
        <f t="shared" si="210"/>
        <v>0</v>
      </c>
      <c r="U423" s="242">
        <f t="shared" si="210"/>
        <v>0</v>
      </c>
      <c r="V423" s="242">
        <f t="shared" si="210"/>
        <v>0</v>
      </c>
      <c r="W423" s="242">
        <f t="shared" si="210"/>
        <v>0</v>
      </c>
      <c r="X423" s="242">
        <f t="shared" si="210"/>
        <v>0</v>
      </c>
      <c r="Y423" s="242">
        <f t="shared" si="210"/>
        <v>0</v>
      </c>
      <c r="Z423" s="242">
        <f t="shared" si="210"/>
        <v>0</v>
      </c>
      <c r="AA423" s="242">
        <f t="shared" si="210"/>
        <v>0</v>
      </c>
      <c r="AB423" s="242">
        <f t="shared" si="210"/>
        <v>0</v>
      </c>
      <c r="AC423" s="242">
        <f t="shared" si="210"/>
        <v>0</v>
      </c>
      <c r="AD423" s="242">
        <f t="shared" si="210"/>
        <v>0</v>
      </c>
      <c r="AE423" s="242">
        <f t="shared" si="210"/>
        <v>0</v>
      </c>
      <c r="AF423" s="242">
        <f t="shared" si="210"/>
        <v>0</v>
      </c>
      <c r="AG423" s="242">
        <f t="shared" si="210"/>
        <v>0</v>
      </c>
      <c r="AH423" s="242">
        <f t="shared" si="210"/>
        <v>0</v>
      </c>
      <c r="AI423" s="242">
        <f t="shared" si="210"/>
        <v>0</v>
      </c>
      <c r="AJ423" s="242">
        <f t="shared" si="210"/>
        <v>0</v>
      </c>
      <c r="AK423" s="242">
        <f t="shared" si="210"/>
        <v>0</v>
      </c>
      <c r="AL423" s="242">
        <f t="shared" si="210"/>
        <v>0</v>
      </c>
      <c r="AM423" s="242">
        <f t="shared" si="210"/>
        <v>0</v>
      </c>
      <c r="AN423" s="242">
        <f t="shared" si="210"/>
        <v>0</v>
      </c>
      <c r="AO423" s="242">
        <f t="shared" si="210"/>
        <v>0</v>
      </c>
      <c r="AP423" s="242">
        <f t="shared" si="210"/>
        <v>0</v>
      </c>
    </row>
    <row r="424" spans="1:42" s="17" customFormat="1" x14ac:dyDescent="0.2">
      <c r="A424" s="40" t="s">
        <v>13</v>
      </c>
      <c r="B424" s="20"/>
      <c r="C424" s="221">
        <f>SUM(C414:C423)</f>
        <v>0</v>
      </c>
      <c r="D424" s="221">
        <f t="shared" ref="D424:AP424" si="211">SUM(D414:D423)</f>
        <v>0</v>
      </c>
      <c r="E424" s="221">
        <f t="shared" si="211"/>
        <v>0</v>
      </c>
      <c r="F424" s="221">
        <f t="shared" si="211"/>
        <v>0</v>
      </c>
      <c r="G424" s="221">
        <f t="shared" si="211"/>
        <v>0</v>
      </c>
      <c r="H424" s="221">
        <f t="shared" si="211"/>
        <v>0</v>
      </c>
      <c r="I424" s="221">
        <f t="shared" si="211"/>
        <v>0</v>
      </c>
      <c r="J424" s="221">
        <f t="shared" si="211"/>
        <v>0</v>
      </c>
      <c r="K424" s="221">
        <f t="shared" si="211"/>
        <v>0</v>
      </c>
      <c r="L424" s="221">
        <f t="shared" si="211"/>
        <v>0</v>
      </c>
      <c r="M424" s="221">
        <f t="shared" si="211"/>
        <v>0</v>
      </c>
      <c r="N424" s="221">
        <f t="shared" si="211"/>
        <v>1311981.6908686417</v>
      </c>
      <c r="O424" s="221">
        <f t="shared" si="211"/>
        <v>2099170.705389827</v>
      </c>
      <c r="P424" s="221">
        <f t="shared" si="211"/>
        <v>1259502.423233896</v>
      </c>
      <c r="Q424" s="221">
        <f t="shared" si="211"/>
        <v>755701.45394033764</v>
      </c>
      <c r="R424" s="221">
        <f t="shared" si="211"/>
        <v>755701.45394033764</v>
      </c>
      <c r="S424" s="221">
        <f t="shared" si="211"/>
        <v>377850.72697016882</v>
      </c>
      <c r="T424" s="221">
        <f t="shared" si="211"/>
        <v>0</v>
      </c>
      <c r="U424" s="221">
        <f t="shared" si="211"/>
        <v>0</v>
      </c>
      <c r="V424" s="221">
        <f t="shared" si="211"/>
        <v>0</v>
      </c>
      <c r="W424" s="221">
        <f t="shared" si="211"/>
        <v>0</v>
      </c>
      <c r="X424" s="221">
        <f t="shared" si="211"/>
        <v>0</v>
      </c>
      <c r="Y424" s="221">
        <f t="shared" si="211"/>
        <v>0</v>
      </c>
      <c r="Z424" s="221">
        <f t="shared" si="211"/>
        <v>1764469.5136649972</v>
      </c>
      <c r="AA424" s="221">
        <f t="shared" si="211"/>
        <v>2823151.2218639958</v>
      </c>
      <c r="AB424" s="221">
        <f t="shared" si="211"/>
        <v>0</v>
      </c>
      <c r="AC424" s="221">
        <f t="shared" si="211"/>
        <v>0</v>
      </c>
      <c r="AD424" s="221">
        <f t="shared" si="211"/>
        <v>0</v>
      </c>
      <c r="AE424" s="221">
        <f t="shared" si="211"/>
        <v>0</v>
      </c>
      <c r="AF424" s="221">
        <f t="shared" si="211"/>
        <v>0</v>
      </c>
      <c r="AG424" s="221">
        <f t="shared" si="211"/>
        <v>0</v>
      </c>
      <c r="AH424" s="221">
        <f t="shared" si="211"/>
        <v>0</v>
      </c>
      <c r="AI424" s="221">
        <f t="shared" si="211"/>
        <v>0</v>
      </c>
      <c r="AJ424" s="221">
        <f t="shared" si="211"/>
        <v>0</v>
      </c>
      <c r="AK424" s="221">
        <f t="shared" si="211"/>
        <v>0</v>
      </c>
      <c r="AL424" s="221">
        <f t="shared" si="211"/>
        <v>0</v>
      </c>
      <c r="AM424" s="221">
        <f t="shared" si="211"/>
        <v>0</v>
      </c>
      <c r="AN424" s="221">
        <f t="shared" si="211"/>
        <v>0</v>
      </c>
      <c r="AO424" s="221">
        <f t="shared" si="211"/>
        <v>0</v>
      </c>
      <c r="AP424" s="221">
        <f t="shared" si="211"/>
        <v>0</v>
      </c>
    </row>
    <row r="425" spans="1:42" s="17" customFormat="1" x14ac:dyDescent="0.2">
      <c r="A425" s="40"/>
      <c r="B425" s="20"/>
      <c r="C425" s="221"/>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row>
    <row r="426" spans="1:42" x14ac:dyDescent="0.2">
      <c r="A426" s="31" t="s">
        <v>118</v>
      </c>
      <c r="C426" s="221"/>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row>
    <row r="427" spans="1:42" x14ac:dyDescent="0.2">
      <c r="A427" s="33" t="s">
        <v>91</v>
      </c>
      <c r="C427" s="221"/>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row>
    <row r="428" spans="1:42" x14ac:dyDescent="0.2">
      <c r="A428" s="17">
        <v>1</v>
      </c>
      <c r="C428" s="221">
        <f t="shared" ref="C428:AP428" si="212">C294</f>
        <v>0</v>
      </c>
      <c r="D428" s="220">
        <f t="shared" si="212"/>
        <v>0</v>
      </c>
      <c r="E428" s="220">
        <f t="shared" si="212"/>
        <v>0</v>
      </c>
      <c r="F428" s="220">
        <f t="shared" si="212"/>
        <v>0</v>
      </c>
      <c r="G428" s="220">
        <f t="shared" si="212"/>
        <v>0</v>
      </c>
      <c r="H428" s="220">
        <f t="shared" si="212"/>
        <v>0</v>
      </c>
      <c r="I428" s="220">
        <f t="shared" si="212"/>
        <v>0</v>
      </c>
      <c r="J428" s="220">
        <f t="shared" si="212"/>
        <v>0</v>
      </c>
      <c r="K428" s="220">
        <f t="shared" si="212"/>
        <v>0</v>
      </c>
      <c r="L428" s="220">
        <f t="shared" si="212"/>
        <v>0</v>
      </c>
      <c r="M428" s="220">
        <f t="shared" si="212"/>
        <v>0</v>
      </c>
      <c r="N428" s="220">
        <f t="shared" si="212"/>
        <v>0</v>
      </c>
      <c r="O428" s="220">
        <f t="shared" si="212"/>
        <v>0</v>
      </c>
      <c r="P428" s="220">
        <f t="shared" si="212"/>
        <v>0</v>
      </c>
      <c r="Q428" s="220">
        <f t="shared" si="212"/>
        <v>0</v>
      </c>
      <c r="R428" s="220">
        <f t="shared" si="212"/>
        <v>0</v>
      </c>
      <c r="S428" s="220">
        <f t="shared" si="212"/>
        <v>0</v>
      </c>
      <c r="T428" s="220">
        <f t="shared" si="212"/>
        <v>0</v>
      </c>
      <c r="U428" s="220">
        <f t="shared" si="212"/>
        <v>0</v>
      </c>
      <c r="V428" s="220">
        <f t="shared" si="212"/>
        <v>0</v>
      </c>
      <c r="W428" s="220">
        <f t="shared" si="212"/>
        <v>0</v>
      </c>
      <c r="X428" s="220">
        <f t="shared" si="212"/>
        <v>0</v>
      </c>
      <c r="Y428" s="220">
        <f t="shared" si="212"/>
        <v>0</v>
      </c>
      <c r="Z428" s="220">
        <f t="shared" si="212"/>
        <v>0</v>
      </c>
      <c r="AA428" s="220">
        <f t="shared" si="212"/>
        <v>0</v>
      </c>
      <c r="AB428" s="220">
        <f t="shared" si="212"/>
        <v>0</v>
      </c>
      <c r="AC428" s="220">
        <f t="shared" si="212"/>
        <v>0</v>
      </c>
      <c r="AD428" s="220">
        <f t="shared" si="212"/>
        <v>0</v>
      </c>
      <c r="AE428" s="220">
        <f t="shared" si="212"/>
        <v>0</v>
      </c>
      <c r="AF428" s="220">
        <f t="shared" si="212"/>
        <v>0</v>
      </c>
      <c r="AG428" s="220">
        <f t="shared" si="212"/>
        <v>0</v>
      </c>
      <c r="AH428" s="220">
        <f t="shared" si="212"/>
        <v>0</v>
      </c>
      <c r="AI428" s="220">
        <f t="shared" si="212"/>
        <v>0</v>
      </c>
      <c r="AJ428" s="220">
        <f t="shared" si="212"/>
        <v>0</v>
      </c>
      <c r="AK428" s="220">
        <f t="shared" si="212"/>
        <v>0</v>
      </c>
      <c r="AL428" s="220">
        <f t="shared" si="212"/>
        <v>0</v>
      </c>
      <c r="AM428" s="220">
        <f t="shared" si="212"/>
        <v>0</v>
      </c>
      <c r="AN428" s="220">
        <f t="shared" si="212"/>
        <v>0</v>
      </c>
      <c r="AO428" s="220">
        <f t="shared" si="212"/>
        <v>0</v>
      </c>
      <c r="AP428" s="220">
        <f t="shared" si="212"/>
        <v>0</v>
      </c>
    </row>
    <row r="429" spans="1:42" x14ac:dyDescent="0.2">
      <c r="A429" s="17">
        <f>A428+1</f>
        <v>2</v>
      </c>
      <c r="C429" s="221">
        <f t="shared" ref="C429:AP429" si="213">C295</f>
        <v>0</v>
      </c>
      <c r="D429" s="220">
        <f t="shared" si="213"/>
        <v>0</v>
      </c>
      <c r="E429" s="220">
        <f t="shared" si="213"/>
        <v>0</v>
      </c>
      <c r="F429" s="220">
        <f t="shared" si="213"/>
        <v>0</v>
      </c>
      <c r="G429" s="220">
        <f t="shared" si="213"/>
        <v>0</v>
      </c>
      <c r="H429" s="220">
        <f t="shared" si="213"/>
        <v>0</v>
      </c>
      <c r="I429" s="220">
        <f t="shared" si="213"/>
        <v>0</v>
      </c>
      <c r="J429" s="220">
        <f t="shared" si="213"/>
        <v>0</v>
      </c>
      <c r="K429" s="220">
        <f t="shared" si="213"/>
        <v>0</v>
      </c>
      <c r="L429" s="220">
        <f t="shared" si="213"/>
        <v>0</v>
      </c>
      <c r="M429" s="220">
        <f t="shared" si="213"/>
        <v>0</v>
      </c>
      <c r="N429" s="220">
        <f t="shared" si="213"/>
        <v>0</v>
      </c>
      <c r="O429" s="220">
        <f t="shared" si="213"/>
        <v>0</v>
      </c>
      <c r="P429" s="220">
        <f t="shared" si="213"/>
        <v>0</v>
      </c>
      <c r="Q429" s="220">
        <f t="shared" si="213"/>
        <v>0</v>
      </c>
      <c r="R429" s="220">
        <f t="shared" si="213"/>
        <v>0</v>
      </c>
      <c r="S429" s="220">
        <f t="shared" si="213"/>
        <v>0</v>
      </c>
      <c r="T429" s="220">
        <f t="shared" si="213"/>
        <v>0</v>
      </c>
      <c r="U429" s="220">
        <f t="shared" si="213"/>
        <v>0</v>
      </c>
      <c r="V429" s="220">
        <f t="shared" si="213"/>
        <v>0</v>
      </c>
      <c r="W429" s="220">
        <f t="shared" si="213"/>
        <v>0</v>
      </c>
      <c r="X429" s="220">
        <f t="shared" si="213"/>
        <v>0</v>
      </c>
      <c r="Y429" s="220">
        <f t="shared" si="213"/>
        <v>0</v>
      </c>
      <c r="Z429" s="220">
        <f t="shared" si="213"/>
        <v>0</v>
      </c>
      <c r="AA429" s="220">
        <f t="shared" si="213"/>
        <v>0</v>
      </c>
      <c r="AB429" s="220">
        <f t="shared" si="213"/>
        <v>0</v>
      </c>
      <c r="AC429" s="220">
        <f t="shared" si="213"/>
        <v>0</v>
      </c>
      <c r="AD429" s="220">
        <f t="shared" si="213"/>
        <v>0</v>
      </c>
      <c r="AE429" s="220">
        <f t="shared" si="213"/>
        <v>0</v>
      </c>
      <c r="AF429" s="220">
        <f t="shared" si="213"/>
        <v>0</v>
      </c>
      <c r="AG429" s="220">
        <f t="shared" si="213"/>
        <v>0</v>
      </c>
      <c r="AH429" s="220">
        <f t="shared" si="213"/>
        <v>0</v>
      </c>
      <c r="AI429" s="220">
        <f t="shared" si="213"/>
        <v>0</v>
      </c>
      <c r="AJ429" s="220">
        <f t="shared" si="213"/>
        <v>0</v>
      </c>
      <c r="AK429" s="220">
        <f t="shared" si="213"/>
        <v>0</v>
      </c>
      <c r="AL429" s="220">
        <f t="shared" si="213"/>
        <v>0</v>
      </c>
      <c r="AM429" s="220">
        <f t="shared" si="213"/>
        <v>0</v>
      </c>
      <c r="AN429" s="220">
        <f t="shared" si="213"/>
        <v>0</v>
      </c>
      <c r="AO429" s="220">
        <f t="shared" si="213"/>
        <v>0</v>
      </c>
      <c r="AP429" s="220">
        <f t="shared" si="213"/>
        <v>0</v>
      </c>
    </row>
    <row r="430" spans="1:42" x14ac:dyDescent="0.2">
      <c r="A430" s="17">
        <f t="shared" ref="A430:A435" si="214">A429+1</f>
        <v>3</v>
      </c>
      <c r="C430" s="221">
        <f t="shared" ref="C430:AP430" si="215">C296</f>
        <v>0</v>
      </c>
      <c r="D430" s="220">
        <f t="shared" si="215"/>
        <v>0</v>
      </c>
      <c r="E430" s="220">
        <f t="shared" si="215"/>
        <v>0</v>
      </c>
      <c r="F430" s="220">
        <f t="shared" si="215"/>
        <v>0</v>
      </c>
      <c r="G430" s="220">
        <f t="shared" si="215"/>
        <v>0</v>
      </c>
      <c r="H430" s="220">
        <f t="shared" si="215"/>
        <v>0</v>
      </c>
      <c r="I430" s="220">
        <f t="shared" si="215"/>
        <v>0</v>
      </c>
      <c r="J430" s="220">
        <f t="shared" si="215"/>
        <v>0</v>
      </c>
      <c r="K430" s="220">
        <f t="shared" si="215"/>
        <v>0</v>
      </c>
      <c r="L430" s="220">
        <f t="shared" si="215"/>
        <v>0</v>
      </c>
      <c r="M430" s="220">
        <f t="shared" si="215"/>
        <v>0</v>
      </c>
      <c r="N430" s="220">
        <f t="shared" si="215"/>
        <v>0</v>
      </c>
      <c r="O430" s="220">
        <f t="shared" si="215"/>
        <v>0</v>
      </c>
      <c r="P430" s="220">
        <f t="shared" si="215"/>
        <v>0</v>
      </c>
      <c r="Q430" s="220">
        <f t="shared" si="215"/>
        <v>0</v>
      </c>
      <c r="R430" s="220">
        <f t="shared" si="215"/>
        <v>0</v>
      </c>
      <c r="S430" s="220">
        <f t="shared" si="215"/>
        <v>0</v>
      </c>
      <c r="T430" s="220">
        <f t="shared" si="215"/>
        <v>0</v>
      </c>
      <c r="U430" s="220">
        <f t="shared" si="215"/>
        <v>0</v>
      </c>
      <c r="V430" s="220">
        <f t="shared" si="215"/>
        <v>0</v>
      </c>
      <c r="W430" s="220">
        <f t="shared" si="215"/>
        <v>0</v>
      </c>
      <c r="X430" s="220">
        <f t="shared" si="215"/>
        <v>0</v>
      </c>
      <c r="Y430" s="220">
        <f t="shared" si="215"/>
        <v>0</v>
      </c>
      <c r="Z430" s="220">
        <f t="shared" si="215"/>
        <v>0</v>
      </c>
      <c r="AA430" s="220">
        <f t="shared" si="215"/>
        <v>0</v>
      </c>
      <c r="AB430" s="220">
        <f t="shared" si="215"/>
        <v>0</v>
      </c>
      <c r="AC430" s="220">
        <f t="shared" si="215"/>
        <v>0</v>
      </c>
      <c r="AD430" s="220">
        <f t="shared" si="215"/>
        <v>0</v>
      </c>
      <c r="AE430" s="220">
        <f t="shared" si="215"/>
        <v>0</v>
      </c>
      <c r="AF430" s="220">
        <f t="shared" si="215"/>
        <v>0</v>
      </c>
      <c r="AG430" s="220">
        <f t="shared" si="215"/>
        <v>0</v>
      </c>
      <c r="AH430" s="220">
        <f t="shared" si="215"/>
        <v>0</v>
      </c>
      <c r="AI430" s="220">
        <f t="shared" si="215"/>
        <v>0</v>
      </c>
      <c r="AJ430" s="220">
        <f t="shared" si="215"/>
        <v>0</v>
      </c>
      <c r="AK430" s="220">
        <f t="shared" si="215"/>
        <v>0</v>
      </c>
      <c r="AL430" s="220">
        <f t="shared" si="215"/>
        <v>0</v>
      </c>
      <c r="AM430" s="220">
        <f t="shared" si="215"/>
        <v>0</v>
      </c>
      <c r="AN430" s="220">
        <f t="shared" si="215"/>
        <v>0</v>
      </c>
      <c r="AO430" s="220">
        <f t="shared" si="215"/>
        <v>0</v>
      </c>
      <c r="AP430" s="220">
        <f t="shared" si="215"/>
        <v>0</v>
      </c>
    </row>
    <row r="431" spans="1:42" x14ac:dyDescent="0.2">
      <c r="A431" s="17">
        <f t="shared" si="214"/>
        <v>4</v>
      </c>
      <c r="C431" s="221">
        <f t="shared" ref="C431:AP431" si="216">C297</f>
        <v>0</v>
      </c>
      <c r="D431" s="220">
        <f t="shared" si="216"/>
        <v>0</v>
      </c>
      <c r="E431" s="220">
        <f t="shared" si="216"/>
        <v>0</v>
      </c>
      <c r="F431" s="220">
        <f t="shared" si="216"/>
        <v>0</v>
      </c>
      <c r="G431" s="220">
        <f t="shared" si="216"/>
        <v>0</v>
      </c>
      <c r="H431" s="220">
        <f t="shared" si="216"/>
        <v>0</v>
      </c>
      <c r="I431" s="220">
        <f t="shared" si="216"/>
        <v>0</v>
      </c>
      <c r="J431" s="220">
        <f t="shared" si="216"/>
        <v>0</v>
      </c>
      <c r="K431" s="220">
        <f t="shared" si="216"/>
        <v>0</v>
      </c>
      <c r="L431" s="220">
        <f t="shared" si="216"/>
        <v>0</v>
      </c>
      <c r="M431" s="220">
        <f t="shared" si="216"/>
        <v>0</v>
      </c>
      <c r="N431" s="220">
        <f t="shared" si="216"/>
        <v>0</v>
      </c>
      <c r="O431" s="220">
        <f t="shared" si="216"/>
        <v>0</v>
      </c>
      <c r="P431" s="220">
        <f t="shared" si="216"/>
        <v>0</v>
      </c>
      <c r="Q431" s="220">
        <f t="shared" si="216"/>
        <v>0</v>
      </c>
      <c r="R431" s="220">
        <f t="shared" si="216"/>
        <v>0</v>
      </c>
      <c r="S431" s="220">
        <f t="shared" si="216"/>
        <v>0</v>
      </c>
      <c r="T431" s="220">
        <f t="shared" si="216"/>
        <v>0</v>
      </c>
      <c r="U431" s="220">
        <f t="shared" si="216"/>
        <v>0</v>
      </c>
      <c r="V431" s="220">
        <f t="shared" si="216"/>
        <v>0</v>
      </c>
      <c r="W431" s="220">
        <f t="shared" si="216"/>
        <v>0</v>
      </c>
      <c r="X431" s="220">
        <f t="shared" si="216"/>
        <v>0</v>
      </c>
      <c r="Y431" s="220">
        <f t="shared" si="216"/>
        <v>0</v>
      </c>
      <c r="Z431" s="220">
        <f t="shared" si="216"/>
        <v>0</v>
      </c>
      <c r="AA431" s="220">
        <f t="shared" si="216"/>
        <v>0</v>
      </c>
      <c r="AB431" s="220">
        <f t="shared" si="216"/>
        <v>0</v>
      </c>
      <c r="AC431" s="220">
        <f t="shared" si="216"/>
        <v>0</v>
      </c>
      <c r="AD431" s="220">
        <f t="shared" si="216"/>
        <v>0</v>
      </c>
      <c r="AE431" s="220">
        <f t="shared" si="216"/>
        <v>0</v>
      </c>
      <c r="AF431" s="220">
        <f t="shared" si="216"/>
        <v>0</v>
      </c>
      <c r="AG431" s="220">
        <f t="shared" si="216"/>
        <v>0</v>
      </c>
      <c r="AH431" s="220">
        <f t="shared" si="216"/>
        <v>0</v>
      </c>
      <c r="AI431" s="220">
        <f t="shared" si="216"/>
        <v>0</v>
      </c>
      <c r="AJ431" s="220">
        <f t="shared" si="216"/>
        <v>0</v>
      </c>
      <c r="AK431" s="220">
        <f t="shared" si="216"/>
        <v>0</v>
      </c>
      <c r="AL431" s="220">
        <f t="shared" si="216"/>
        <v>0</v>
      </c>
      <c r="AM431" s="220">
        <f t="shared" si="216"/>
        <v>0</v>
      </c>
      <c r="AN431" s="220">
        <f t="shared" si="216"/>
        <v>0</v>
      </c>
      <c r="AO431" s="220">
        <f t="shared" si="216"/>
        <v>0</v>
      </c>
      <c r="AP431" s="220">
        <f t="shared" si="216"/>
        <v>0</v>
      </c>
    </row>
    <row r="432" spans="1:42" x14ac:dyDescent="0.2">
      <c r="A432" s="17">
        <f t="shared" si="214"/>
        <v>5</v>
      </c>
      <c r="C432" s="221">
        <f t="shared" ref="C432:AP432" si="217">C298</f>
        <v>0</v>
      </c>
      <c r="D432" s="220">
        <f t="shared" si="217"/>
        <v>0</v>
      </c>
      <c r="E432" s="220">
        <f t="shared" si="217"/>
        <v>0</v>
      </c>
      <c r="F432" s="220">
        <f t="shared" si="217"/>
        <v>0</v>
      </c>
      <c r="G432" s="220">
        <f t="shared" si="217"/>
        <v>0</v>
      </c>
      <c r="H432" s="220">
        <f t="shared" si="217"/>
        <v>0</v>
      </c>
      <c r="I432" s="220">
        <f t="shared" si="217"/>
        <v>0</v>
      </c>
      <c r="J432" s="220">
        <f t="shared" si="217"/>
        <v>0</v>
      </c>
      <c r="K432" s="220">
        <f t="shared" si="217"/>
        <v>0</v>
      </c>
      <c r="L432" s="220">
        <f t="shared" si="217"/>
        <v>0</v>
      </c>
      <c r="M432" s="220">
        <f t="shared" si="217"/>
        <v>0</v>
      </c>
      <c r="N432" s="220">
        <f t="shared" si="217"/>
        <v>0</v>
      </c>
      <c r="O432" s="220">
        <f t="shared" si="217"/>
        <v>0</v>
      </c>
      <c r="P432" s="220">
        <f t="shared" si="217"/>
        <v>0</v>
      </c>
      <c r="Q432" s="220">
        <f t="shared" si="217"/>
        <v>0</v>
      </c>
      <c r="R432" s="220">
        <f t="shared" si="217"/>
        <v>0</v>
      </c>
      <c r="S432" s="220">
        <f t="shared" si="217"/>
        <v>0</v>
      </c>
      <c r="T432" s="220">
        <f t="shared" si="217"/>
        <v>0</v>
      </c>
      <c r="U432" s="220">
        <f t="shared" si="217"/>
        <v>0</v>
      </c>
      <c r="V432" s="220">
        <f t="shared" si="217"/>
        <v>0</v>
      </c>
      <c r="W432" s="220">
        <f t="shared" si="217"/>
        <v>0</v>
      </c>
      <c r="X432" s="220">
        <f t="shared" si="217"/>
        <v>0</v>
      </c>
      <c r="Y432" s="220">
        <f t="shared" si="217"/>
        <v>0</v>
      </c>
      <c r="Z432" s="220">
        <f t="shared" si="217"/>
        <v>0</v>
      </c>
      <c r="AA432" s="220">
        <f t="shared" si="217"/>
        <v>0</v>
      </c>
      <c r="AB432" s="220">
        <f t="shared" si="217"/>
        <v>0</v>
      </c>
      <c r="AC432" s="220">
        <f t="shared" si="217"/>
        <v>0</v>
      </c>
      <c r="AD432" s="220">
        <f t="shared" si="217"/>
        <v>0</v>
      </c>
      <c r="AE432" s="220">
        <f t="shared" si="217"/>
        <v>0</v>
      </c>
      <c r="AF432" s="220">
        <f t="shared" si="217"/>
        <v>0</v>
      </c>
      <c r="AG432" s="220">
        <f t="shared" si="217"/>
        <v>0</v>
      </c>
      <c r="AH432" s="220">
        <f t="shared" si="217"/>
        <v>0</v>
      </c>
      <c r="AI432" s="220">
        <f t="shared" si="217"/>
        <v>0</v>
      </c>
      <c r="AJ432" s="220">
        <f t="shared" si="217"/>
        <v>0</v>
      </c>
      <c r="AK432" s="220">
        <f t="shared" si="217"/>
        <v>0</v>
      </c>
      <c r="AL432" s="220">
        <f t="shared" si="217"/>
        <v>0</v>
      </c>
      <c r="AM432" s="220">
        <f t="shared" si="217"/>
        <v>0</v>
      </c>
      <c r="AN432" s="220">
        <f t="shared" si="217"/>
        <v>0</v>
      </c>
      <c r="AO432" s="220">
        <f t="shared" si="217"/>
        <v>0</v>
      </c>
      <c r="AP432" s="220">
        <f t="shared" si="217"/>
        <v>0</v>
      </c>
    </row>
    <row r="433" spans="1:42" x14ac:dyDescent="0.2">
      <c r="A433" s="17">
        <f t="shared" si="214"/>
        <v>6</v>
      </c>
      <c r="C433" s="221">
        <f t="shared" ref="C433:AP433" si="218">C299</f>
        <v>0</v>
      </c>
      <c r="D433" s="220">
        <f t="shared" si="218"/>
        <v>0</v>
      </c>
      <c r="E433" s="220">
        <f t="shared" si="218"/>
        <v>0</v>
      </c>
      <c r="F433" s="220">
        <f t="shared" si="218"/>
        <v>0</v>
      </c>
      <c r="G433" s="220">
        <f t="shared" si="218"/>
        <v>0</v>
      </c>
      <c r="H433" s="220">
        <f t="shared" si="218"/>
        <v>0</v>
      </c>
      <c r="I433" s="220">
        <f t="shared" si="218"/>
        <v>0</v>
      </c>
      <c r="J433" s="220">
        <f t="shared" si="218"/>
        <v>0</v>
      </c>
      <c r="K433" s="220">
        <f t="shared" si="218"/>
        <v>0</v>
      </c>
      <c r="L433" s="220">
        <f t="shared" si="218"/>
        <v>0</v>
      </c>
      <c r="M433" s="220">
        <f t="shared" si="218"/>
        <v>0</v>
      </c>
      <c r="N433" s="220">
        <f t="shared" si="218"/>
        <v>0</v>
      </c>
      <c r="O433" s="220">
        <f t="shared" si="218"/>
        <v>0</v>
      </c>
      <c r="P433" s="220">
        <f t="shared" si="218"/>
        <v>0</v>
      </c>
      <c r="Q433" s="220">
        <f t="shared" si="218"/>
        <v>0</v>
      </c>
      <c r="R433" s="220">
        <f t="shared" si="218"/>
        <v>0</v>
      </c>
      <c r="S433" s="220">
        <f t="shared" si="218"/>
        <v>0</v>
      </c>
      <c r="T433" s="220">
        <f t="shared" si="218"/>
        <v>0</v>
      </c>
      <c r="U433" s="220">
        <f t="shared" si="218"/>
        <v>0</v>
      </c>
      <c r="V433" s="220">
        <f t="shared" si="218"/>
        <v>0</v>
      </c>
      <c r="W433" s="220">
        <f t="shared" si="218"/>
        <v>0</v>
      </c>
      <c r="X433" s="220">
        <f t="shared" si="218"/>
        <v>0</v>
      </c>
      <c r="Y433" s="220">
        <f t="shared" si="218"/>
        <v>0</v>
      </c>
      <c r="Z433" s="220">
        <f t="shared" si="218"/>
        <v>0</v>
      </c>
      <c r="AA433" s="220">
        <f t="shared" si="218"/>
        <v>0</v>
      </c>
      <c r="AB433" s="220">
        <f t="shared" si="218"/>
        <v>0</v>
      </c>
      <c r="AC433" s="220">
        <f t="shared" si="218"/>
        <v>0</v>
      </c>
      <c r="AD433" s="220">
        <f t="shared" si="218"/>
        <v>0</v>
      </c>
      <c r="AE433" s="220">
        <f t="shared" si="218"/>
        <v>0</v>
      </c>
      <c r="AF433" s="220">
        <f t="shared" si="218"/>
        <v>0</v>
      </c>
      <c r="AG433" s="220">
        <f t="shared" si="218"/>
        <v>0</v>
      </c>
      <c r="AH433" s="220">
        <f t="shared" si="218"/>
        <v>0</v>
      </c>
      <c r="AI433" s="220">
        <f t="shared" si="218"/>
        <v>0</v>
      </c>
      <c r="AJ433" s="220">
        <f t="shared" si="218"/>
        <v>0</v>
      </c>
      <c r="AK433" s="220">
        <f t="shared" si="218"/>
        <v>0</v>
      </c>
      <c r="AL433" s="220">
        <f t="shared" si="218"/>
        <v>0</v>
      </c>
      <c r="AM433" s="220">
        <f t="shared" si="218"/>
        <v>0</v>
      </c>
      <c r="AN433" s="220">
        <f t="shared" si="218"/>
        <v>0</v>
      </c>
      <c r="AO433" s="220">
        <f t="shared" si="218"/>
        <v>0</v>
      </c>
      <c r="AP433" s="220">
        <f t="shared" si="218"/>
        <v>0</v>
      </c>
    </row>
    <row r="434" spans="1:42" x14ac:dyDescent="0.2">
      <c r="A434" s="17">
        <f t="shared" si="214"/>
        <v>7</v>
      </c>
      <c r="C434" s="221">
        <f t="shared" ref="C434:AP434" si="219">C300</f>
        <v>0</v>
      </c>
      <c r="D434" s="220">
        <f t="shared" si="219"/>
        <v>0</v>
      </c>
      <c r="E434" s="220">
        <f t="shared" si="219"/>
        <v>0</v>
      </c>
      <c r="F434" s="220">
        <f t="shared" si="219"/>
        <v>0</v>
      </c>
      <c r="G434" s="220">
        <f t="shared" si="219"/>
        <v>0</v>
      </c>
      <c r="H434" s="220">
        <f t="shared" si="219"/>
        <v>0</v>
      </c>
      <c r="I434" s="220">
        <f t="shared" si="219"/>
        <v>0</v>
      </c>
      <c r="J434" s="220">
        <f t="shared" si="219"/>
        <v>0</v>
      </c>
      <c r="K434" s="220">
        <f t="shared" si="219"/>
        <v>0</v>
      </c>
      <c r="L434" s="220">
        <f t="shared" si="219"/>
        <v>0</v>
      </c>
      <c r="M434" s="220">
        <f t="shared" si="219"/>
        <v>0</v>
      </c>
      <c r="N434" s="220">
        <f t="shared" si="219"/>
        <v>0</v>
      </c>
      <c r="O434" s="220">
        <f t="shared" si="219"/>
        <v>0</v>
      </c>
      <c r="P434" s="220">
        <f t="shared" si="219"/>
        <v>0</v>
      </c>
      <c r="Q434" s="220">
        <f t="shared" si="219"/>
        <v>0</v>
      </c>
      <c r="R434" s="220">
        <f t="shared" si="219"/>
        <v>0</v>
      </c>
      <c r="S434" s="220">
        <f t="shared" si="219"/>
        <v>0</v>
      </c>
      <c r="T434" s="220">
        <f t="shared" si="219"/>
        <v>0</v>
      </c>
      <c r="U434" s="220">
        <f t="shared" si="219"/>
        <v>0</v>
      </c>
      <c r="V434" s="220">
        <f t="shared" si="219"/>
        <v>0</v>
      </c>
      <c r="W434" s="220">
        <f t="shared" si="219"/>
        <v>0</v>
      </c>
      <c r="X434" s="220">
        <f t="shared" si="219"/>
        <v>0</v>
      </c>
      <c r="Y434" s="220">
        <f t="shared" si="219"/>
        <v>0</v>
      </c>
      <c r="Z434" s="220">
        <f t="shared" si="219"/>
        <v>0</v>
      </c>
      <c r="AA434" s="220">
        <f t="shared" si="219"/>
        <v>0</v>
      </c>
      <c r="AB434" s="220">
        <f t="shared" si="219"/>
        <v>0</v>
      </c>
      <c r="AC434" s="220">
        <f t="shared" si="219"/>
        <v>0</v>
      </c>
      <c r="AD434" s="220">
        <f t="shared" si="219"/>
        <v>0</v>
      </c>
      <c r="AE434" s="220">
        <f t="shared" si="219"/>
        <v>0</v>
      </c>
      <c r="AF434" s="220">
        <f t="shared" si="219"/>
        <v>0</v>
      </c>
      <c r="AG434" s="220">
        <f t="shared" si="219"/>
        <v>0</v>
      </c>
      <c r="AH434" s="220">
        <f t="shared" si="219"/>
        <v>0</v>
      </c>
      <c r="AI434" s="220">
        <f t="shared" si="219"/>
        <v>0</v>
      </c>
      <c r="AJ434" s="220">
        <f t="shared" si="219"/>
        <v>0</v>
      </c>
      <c r="AK434" s="220">
        <f t="shared" si="219"/>
        <v>0</v>
      </c>
      <c r="AL434" s="220">
        <f t="shared" si="219"/>
        <v>0</v>
      </c>
      <c r="AM434" s="220">
        <f t="shared" si="219"/>
        <v>0</v>
      </c>
      <c r="AN434" s="220">
        <f t="shared" si="219"/>
        <v>0</v>
      </c>
      <c r="AO434" s="220">
        <f t="shared" si="219"/>
        <v>0</v>
      </c>
      <c r="AP434" s="220">
        <f t="shared" si="219"/>
        <v>0</v>
      </c>
    </row>
    <row r="435" spans="1:42" x14ac:dyDescent="0.2">
      <c r="A435" s="17">
        <f t="shared" si="214"/>
        <v>8</v>
      </c>
      <c r="C435" s="221">
        <f t="shared" ref="C435:AP435" si="220">C301</f>
        <v>0</v>
      </c>
      <c r="D435" s="220">
        <f t="shared" si="220"/>
        <v>0</v>
      </c>
      <c r="E435" s="220">
        <f t="shared" si="220"/>
        <v>0</v>
      </c>
      <c r="F435" s="220">
        <f t="shared" si="220"/>
        <v>0</v>
      </c>
      <c r="G435" s="220">
        <f t="shared" si="220"/>
        <v>0</v>
      </c>
      <c r="H435" s="220">
        <f t="shared" si="220"/>
        <v>0</v>
      </c>
      <c r="I435" s="220">
        <f t="shared" si="220"/>
        <v>0</v>
      </c>
      <c r="J435" s="220">
        <f t="shared" si="220"/>
        <v>0</v>
      </c>
      <c r="K435" s="220">
        <f t="shared" si="220"/>
        <v>0</v>
      </c>
      <c r="L435" s="220">
        <f t="shared" si="220"/>
        <v>0</v>
      </c>
      <c r="M435" s="220">
        <f t="shared" si="220"/>
        <v>0</v>
      </c>
      <c r="N435" s="220">
        <f t="shared" si="220"/>
        <v>0</v>
      </c>
      <c r="O435" s="220">
        <f t="shared" si="220"/>
        <v>0</v>
      </c>
      <c r="P435" s="220">
        <f t="shared" si="220"/>
        <v>0</v>
      </c>
      <c r="Q435" s="220">
        <f t="shared" si="220"/>
        <v>0</v>
      </c>
      <c r="R435" s="220">
        <f t="shared" si="220"/>
        <v>0</v>
      </c>
      <c r="S435" s="220">
        <f t="shared" si="220"/>
        <v>0</v>
      </c>
      <c r="T435" s="220">
        <f t="shared" si="220"/>
        <v>0</v>
      </c>
      <c r="U435" s="220">
        <f t="shared" si="220"/>
        <v>0</v>
      </c>
      <c r="V435" s="220">
        <f t="shared" si="220"/>
        <v>0</v>
      </c>
      <c r="W435" s="220">
        <f t="shared" si="220"/>
        <v>0</v>
      </c>
      <c r="X435" s="220">
        <f t="shared" si="220"/>
        <v>0</v>
      </c>
      <c r="Y435" s="220">
        <f t="shared" si="220"/>
        <v>0</v>
      </c>
      <c r="Z435" s="220">
        <f t="shared" si="220"/>
        <v>0</v>
      </c>
      <c r="AA435" s="220">
        <f t="shared" si="220"/>
        <v>0</v>
      </c>
      <c r="AB435" s="220">
        <f t="shared" si="220"/>
        <v>0</v>
      </c>
      <c r="AC435" s="220">
        <f t="shared" si="220"/>
        <v>0</v>
      </c>
      <c r="AD435" s="220">
        <f t="shared" si="220"/>
        <v>0</v>
      </c>
      <c r="AE435" s="220">
        <f t="shared" si="220"/>
        <v>0</v>
      </c>
      <c r="AF435" s="220">
        <f t="shared" si="220"/>
        <v>0</v>
      </c>
      <c r="AG435" s="220">
        <f t="shared" si="220"/>
        <v>0</v>
      </c>
      <c r="AH435" s="220">
        <f t="shared" si="220"/>
        <v>0</v>
      </c>
      <c r="AI435" s="220">
        <f t="shared" si="220"/>
        <v>0</v>
      </c>
      <c r="AJ435" s="220">
        <f t="shared" si="220"/>
        <v>0</v>
      </c>
      <c r="AK435" s="220">
        <f t="shared" si="220"/>
        <v>0</v>
      </c>
      <c r="AL435" s="220">
        <f t="shared" si="220"/>
        <v>0</v>
      </c>
      <c r="AM435" s="220">
        <f t="shared" si="220"/>
        <v>0</v>
      </c>
      <c r="AN435" s="220">
        <f t="shared" si="220"/>
        <v>0</v>
      </c>
      <c r="AO435" s="220">
        <f t="shared" si="220"/>
        <v>0</v>
      </c>
      <c r="AP435" s="220">
        <f t="shared" si="220"/>
        <v>0</v>
      </c>
    </row>
    <row r="436" spans="1:42" x14ac:dyDescent="0.2">
      <c r="A436" s="17">
        <f>A435+1</f>
        <v>9</v>
      </c>
      <c r="C436" s="221">
        <f t="shared" ref="C436:AP436" si="221">C302</f>
        <v>0</v>
      </c>
      <c r="D436" s="220">
        <f t="shared" si="221"/>
        <v>0</v>
      </c>
      <c r="E436" s="220">
        <f t="shared" si="221"/>
        <v>0</v>
      </c>
      <c r="F436" s="220">
        <f t="shared" si="221"/>
        <v>0</v>
      </c>
      <c r="G436" s="220">
        <f t="shared" si="221"/>
        <v>0</v>
      </c>
      <c r="H436" s="220">
        <f t="shared" si="221"/>
        <v>0</v>
      </c>
      <c r="I436" s="220">
        <f t="shared" si="221"/>
        <v>0</v>
      </c>
      <c r="J436" s="220">
        <f t="shared" si="221"/>
        <v>0</v>
      </c>
      <c r="K436" s="220">
        <f t="shared" si="221"/>
        <v>0</v>
      </c>
      <c r="L436" s="220">
        <f t="shared" si="221"/>
        <v>0</v>
      </c>
      <c r="M436" s="220">
        <f t="shared" si="221"/>
        <v>0</v>
      </c>
      <c r="N436" s="220">
        <f t="shared" si="221"/>
        <v>0</v>
      </c>
      <c r="O436" s="220">
        <f t="shared" si="221"/>
        <v>0</v>
      </c>
      <c r="P436" s="220">
        <f t="shared" si="221"/>
        <v>0</v>
      </c>
      <c r="Q436" s="220">
        <f t="shared" si="221"/>
        <v>0</v>
      </c>
      <c r="R436" s="220">
        <f t="shared" si="221"/>
        <v>0</v>
      </c>
      <c r="S436" s="220">
        <f t="shared" si="221"/>
        <v>0</v>
      </c>
      <c r="T436" s="220">
        <f t="shared" si="221"/>
        <v>0</v>
      </c>
      <c r="U436" s="220">
        <f t="shared" si="221"/>
        <v>0</v>
      </c>
      <c r="V436" s="220">
        <f t="shared" si="221"/>
        <v>0</v>
      </c>
      <c r="W436" s="220">
        <f t="shared" si="221"/>
        <v>0</v>
      </c>
      <c r="X436" s="220">
        <f t="shared" si="221"/>
        <v>0</v>
      </c>
      <c r="Y436" s="220">
        <f t="shared" si="221"/>
        <v>0</v>
      </c>
      <c r="Z436" s="220">
        <f t="shared" si="221"/>
        <v>0</v>
      </c>
      <c r="AA436" s="220">
        <f t="shared" si="221"/>
        <v>0</v>
      </c>
      <c r="AB436" s="220">
        <f t="shared" si="221"/>
        <v>0</v>
      </c>
      <c r="AC436" s="220">
        <f t="shared" si="221"/>
        <v>0</v>
      </c>
      <c r="AD436" s="220">
        <f t="shared" si="221"/>
        <v>0</v>
      </c>
      <c r="AE436" s="220">
        <f t="shared" si="221"/>
        <v>0</v>
      </c>
      <c r="AF436" s="220">
        <f t="shared" si="221"/>
        <v>0</v>
      </c>
      <c r="AG436" s="220">
        <f t="shared" si="221"/>
        <v>0</v>
      </c>
      <c r="AH436" s="220">
        <f t="shared" si="221"/>
        <v>0</v>
      </c>
      <c r="AI436" s="220">
        <f t="shared" si="221"/>
        <v>0</v>
      </c>
      <c r="AJ436" s="220">
        <f t="shared" si="221"/>
        <v>0</v>
      </c>
      <c r="AK436" s="220">
        <f t="shared" si="221"/>
        <v>0</v>
      </c>
      <c r="AL436" s="220">
        <f t="shared" si="221"/>
        <v>0</v>
      </c>
      <c r="AM436" s="220">
        <f t="shared" si="221"/>
        <v>0</v>
      </c>
      <c r="AN436" s="220">
        <f t="shared" si="221"/>
        <v>0</v>
      </c>
      <c r="AO436" s="220">
        <f t="shared" si="221"/>
        <v>0</v>
      </c>
      <c r="AP436" s="220">
        <f t="shared" si="221"/>
        <v>0</v>
      </c>
    </row>
    <row r="437" spans="1:42" x14ac:dyDescent="0.2">
      <c r="A437" s="17">
        <f t="shared" ref="A437" si="222">A436+1</f>
        <v>10</v>
      </c>
      <c r="C437" s="221">
        <f t="shared" ref="C437:AP437" si="223">C303</f>
        <v>0</v>
      </c>
      <c r="D437" s="220">
        <f t="shared" si="223"/>
        <v>0</v>
      </c>
      <c r="E437" s="220">
        <f t="shared" si="223"/>
        <v>0</v>
      </c>
      <c r="F437" s="220">
        <f t="shared" si="223"/>
        <v>0</v>
      </c>
      <c r="G437" s="220">
        <f t="shared" si="223"/>
        <v>0</v>
      </c>
      <c r="H437" s="220">
        <f t="shared" si="223"/>
        <v>0</v>
      </c>
      <c r="I437" s="220">
        <f t="shared" si="223"/>
        <v>0</v>
      </c>
      <c r="J437" s="220">
        <f t="shared" si="223"/>
        <v>0</v>
      </c>
      <c r="K437" s="220">
        <f t="shared" si="223"/>
        <v>0</v>
      </c>
      <c r="L437" s="220">
        <f t="shared" si="223"/>
        <v>0</v>
      </c>
      <c r="M437" s="220">
        <f t="shared" si="223"/>
        <v>0</v>
      </c>
      <c r="N437" s="220">
        <f t="shared" si="223"/>
        <v>0</v>
      </c>
      <c r="O437" s="220">
        <f t="shared" si="223"/>
        <v>0</v>
      </c>
      <c r="P437" s="220">
        <f t="shared" si="223"/>
        <v>0</v>
      </c>
      <c r="Q437" s="220">
        <f t="shared" si="223"/>
        <v>0</v>
      </c>
      <c r="R437" s="220">
        <f t="shared" si="223"/>
        <v>0</v>
      </c>
      <c r="S437" s="220">
        <f t="shared" si="223"/>
        <v>0</v>
      </c>
      <c r="T437" s="220">
        <f t="shared" si="223"/>
        <v>0</v>
      </c>
      <c r="U437" s="220">
        <f t="shared" si="223"/>
        <v>0</v>
      </c>
      <c r="V437" s="220">
        <f t="shared" si="223"/>
        <v>0</v>
      </c>
      <c r="W437" s="220">
        <f t="shared" si="223"/>
        <v>0</v>
      </c>
      <c r="X437" s="220">
        <f t="shared" si="223"/>
        <v>0</v>
      </c>
      <c r="Y437" s="220">
        <f t="shared" si="223"/>
        <v>0</v>
      </c>
      <c r="Z437" s="220">
        <f t="shared" si="223"/>
        <v>0</v>
      </c>
      <c r="AA437" s="220">
        <f t="shared" si="223"/>
        <v>0</v>
      </c>
      <c r="AB437" s="220">
        <f t="shared" si="223"/>
        <v>0</v>
      </c>
      <c r="AC437" s="220">
        <f t="shared" si="223"/>
        <v>0</v>
      </c>
      <c r="AD437" s="220">
        <f t="shared" si="223"/>
        <v>0</v>
      </c>
      <c r="AE437" s="220">
        <f t="shared" si="223"/>
        <v>0</v>
      </c>
      <c r="AF437" s="220">
        <f t="shared" si="223"/>
        <v>0</v>
      </c>
      <c r="AG437" s="220">
        <f t="shared" si="223"/>
        <v>0</v>
      </c>
      <c r="AH437" s="220">
        <f t="shared" si="223"/>
        <v>0</v>
      </c>
      <c r="AI437" s="220">
        <f t="shared" si="223"/>
        <v>0</v>
      </c>
      <c r="AJ437" s="220">
        <f t="shared" si="223"/>
        <v>0</v>
      </c>
      <c r="AK437" s="220">
        <f t="shared" si="223"/>
        <v>0</v>
      </c>
      <c r="AL437" s="220">
        <f t="shared" si="223"/>
        <v>0</v>
      </c>
      <c r="AM437" s="220">
        <f t="shared" si="223"/>
        <v>0</v>
      </c>
      <c r="AN437" s="220">
        <f t="shared" si="223"/>
        <v>0</v>
      </c>
      <c r="AO437" s="220">
        <f t="shared" si="223"/>
        <v>0</v>
      </c>
      <c r="AP437" s="220">
        <f t="shared" si="223"/>
        <v>0</v>
      </c>
    </row>
    <row r="438" spans="1:42" x14ac:dyDescent="0.2">
      <c r="A438" s="33"/>
      <c r="C438" s="221"/>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row>
    <row r="439" spans="1:42" x14ac:dyDescent="0.2">
      <c r="A439" s="33" t="s">
        <v>95</v>
      </c>
      <c r="C439" s="221"/>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row>
    <row r="440" spans="1:42" x14ac:dyDescent="0.2">
      <c r="A440" s="17">
        <v>1</v>
      </c>
      <c r="B440" s="202">
        <f t="shared" ref="B440:B449" si="224">SUM(C440:AP440)</f>
        <v>0</v>
      </c>
      <c r="C440" s="221">
        <f t="shared" ref="C440:AP440" si="225">LOOKUP(C428,$B$397:$AP$397,$B$398:$AP$398)*$B610/100</f>
        <v>0</v>
      </c>
      <c r="D440" s="221">
        <f t="shared" si="225"/>
        <v>0</v>
      </c>
      <c r="E440" s="221">
        <f t="shared" si="225"/>
        <v>0</v>
      </c>
      <c r="F440" s="221">
        <f t="shared" si="225"/>
        <v>0</v>
      </c>
      <c r="G440" s="221">
        <f t="shared" si="225"/>
        <v>0</v>
      </c>
      <c r="H440" s="221">
        <f t="shared" si="225"/>
        <v>0</v>
      </c>
      <c r="I440" s="221">
        <f t="shared" si="225"/>
        <v>0</v>
      </c>
      <c r="J440" s="221">
        <f t="shared" si="225"/>
        <v>0</v>
      </c>
      <c r="K440" s="221">
        <f t="shared" si="225"/>
        <v>0</v>
      </c>
      <c r="L440" s="221">
        <f t="shared" si="225"/>
        <v>0</v>
      </c>
      <c r="M440" s="221">
        <f t="shared" si="225"/>
        <v>0</v>
      </c>
      <c r="N440" s="221">
        <f t="shared" si="225"/>
        <v>0</v>
      </c>
      <c r="O440" s="221">
        <f t="shared" si="225"/>
        <v>0</v>
      </c>
      <c r="P440" s="221">
        <f t="shared" si="225"/>
        <v>0</v>
      </c>
      <c r="Q440" s="221">
        <f t="shared" si="225"/>
        <v>0</v>
      </c>
      <c r="R440" s="221">
        <f t="shared" si="225"/>
        <v>0</v>
      </c>
      <c r="S440" s="221">
        <f t="shared" si="225"/>
        <v>0</v>
      </c>
      <c r="T440" s="221">
        <f t="shared" si="225"/>
        <v>0</v>
      </c>
      <c r="U440" s="221">
        <f t="shared" si="225"/>
        <v>0</v>
      </c>
      <c r="V440" s="221">
        <f t="shared" si="225"/>
        <v>0</v>
      </c>
      <c r="W440" s="221">
        <f t="shared" si="225"/>
        <v>0</v>
      </c>
      <c r="X440" s="221">
        <f t="shared" si="225"/>
        <v>0</v>
      </c>
      <c r="Y440" s="221">
        <f t="shared" si="225"/>
        <v>0</v>
      </c>
      <c r="Z440" s="221">
        <f t="shared" si="225"/>
        <v>0</v>
      </c>
      <c r="AA440" s="221">
        <f t="shared" si="225"/>
        <v>0</v>
      </c>
      <c r="AB440" s="221">
        <f t="shared" si="225"/>
        <v>0</v>
      </c>
      <c r="AC440" s="221">
        <f t="shared" si="225"/>
        <v>0</v>
      </c>
      <c r="AD440" s="221">
        <f t="shared" si="225"/>
        <v>0</v>
      </c>
      <c r="AE440" s="221">
        <f t="shared" si="225"/>
        <v>0</v>
      </c>
      <c r="AF440" s="221">
        <f t="shared" si="225"/>
        <v>0</v>
      </c>
      <c r="AG440" s="221">
        <f t="shared" si="225"/>
        <v>0</v>
      </c>
      <c r="AH440" s="221">
        <f t="shared" si="225"/>
        <v>0</v>
      </c>
      <c r="AI440" s="221">
        <f t="shared" si="225"/>
        <v>0</v>
      </c>
      <c r="AJ440" s="221">
        <f t="shared" si="225"/>
        <v>0</v>
      </c>
      <c r="AK440" s="221">
        <f t="shared" si="225"/>
        <v>0</v>
      </c>
      <c r="AL440" s="221">
        <f t="shared" si="225"/>
        <v>0</v>
      </c>
      <c r="AM440" s="221">
        <f t="shared" si="225"/>
        <v>0</v>
      </c>
      <c r="AN440" s="221">
        <f t="shared" si="225"/>
        <v>0</v>
      </c>
      <c r="AO440" s="221">
        <f t="shared" si="225"/>
        <v>0</v>
      </c>
      <c r="AP440" s="221">
        <f t="shared" si="225"/>
        <v>0</v>
      </c>
    </row>
    <row r="441" spans="1:42" x14ac:dyDescent="0.2">
      <c r="A441" s="17">
        <f>A440+1</f>
        <v>2</v>
      </c>
      <c r="B441" s="202">
        <f t="shared" si="224"/>
        <v>0</v>
      </c>
      <c r="C441" s="221">
        <f t="shared" ref="C441:AP441" si="226">LOOKUP(C429,$B$397:$AP$397,$B$398:$AP$398)*$B611/100</f>
        <v>0</v>
      </c>
      <c r="D441" s="221">
        <f t="shared" si="226"/>
        <v>0</v>
      </c>
      <c r="E441" s="221">
        <f t="shared" si="226"/>
        <v>0</v>
      </c>
      <c r="F441" s="221">
        <f t="shared" si="226"/>
        <v>0</v>
      </c>
      <c r="G441" s="221">
        <f t="shared" si="226"/>
        <v>0</v>
      </c>
      <c r="H441" s="221">
        <f t="shared" si="226"/>
        <v>0</v>
      </c>
      <c r="I441" s="221">
        <f t="shared" si="226"/>
        <v>0</v>
      </c>
      <c r="J441" s="221">
        <f t="shared" si="226"/>
        <v>0</v>
      </c>
      <c r="K441" s="221">
        <f t="shared" si="226"/>
        <v>0</v>
      </c>
      <c r="L441" s="221">
        <f t="shared" si="226"/>
        <v>0</v>
      </c>
      <c r="M441" s="221">
        <f t="shared" si="226"/>
        <v>0</v>
      </c>
      <c r="N441" s="221">
        <f t="shared" si="226"/>
        <v>0</v>
      </c>
      <c r="O441" s="221">
        <f t="shared" si="226"/>
        <v>0</v>
      </c>
      <c r="P441" s="221">
        <f t="shared" si="226"/>
        <v>0</v>
      </c>
      <c r="Q441" s="221">
        <f t="shared" si="226"/>
        <v>0</v>
      </c>
      <c r="R441" s="221">
        <f t="shared" si="226"/>
        <v>0</v>
      </c>
      <c r="S441" s="221">
        <f t="shared" si="226"/>
        <v>0</v>
      </c>
      <c r="T441" s="221">
        <f t="shared" si="226"/>
        <v>0</v>
      </c>
      <c r="U441" s="221">
        <f t="shared" si="226"/>
        <v>0</v>
      </c>
      <c r="V441" s="221">
        <f t="shared" si="226"/>
        <v>0</v>
      </c>
      <c r="W441" s="221">
        <f t="shared" si="226"/>
        <v>0</v>
      </c>
      <c r="X441" s="221">
        <f t="shared" si="226"/>
        <v>0</v>
      </c>
      <c r="Y441" s="221">
        <f t="shared" si="226"/>
        <v>0</v>
      </c>
      <c r="Z441" s="221">
        <f t="shared" si="226"/>
        <v>0</v>
      </c>
      <c r="AA441" s="221">
        <f t="shared" si="226"/>
        <v>0</v>
      </c>
      <c r="AB441" s="221">
        <f t="shared" si="226"/>
        <v>0</v>
      </c>
      <c r="AC441" s="221">
        <f t="shared" si="226"/>
        <v>0</v>
      </c>
      <c r="AD441" s="221">
        <f t="shared" si="226"/>
        <v>0</v>
      </c>
      <c r="AE441" s="221">
        <f t="shared" si="226"/>
        <v>0</v>
      </c>
      <c r="AF441" s="221">
        <f t="shared" si="226"/>
        <v>0</v>
      </c>
      <c r="AG441" s="221">
        <f t="shared" si="226"/>
        <v>0</v>
      </c>
      <c r="AH441" s="221">
        <f t="shared" si="226"/>
        <v>0</v>
      </c>
      <c r="AI441" s="221">
        <f t="shared" si="226"/>
        <v>0</v>
      </c>
      <c r="AJ441" s="221">
        <f t="shared" si="226"/>
        <v>0</v>
      </c>
      <c r="AK441" s="221">
        <f t="shared" si="226"/>
        <v>0</v>
      </c>
      <c r="AL441" s="221">
        <f t="shared" si="226"/>
        <v>0</v>
      </c>
      <c r="AM441" s="221">
        <f t="shared" si="226"/>
        <v>0</v>
      </c>
      <c r="AN441" s="221">
        <f t="shared" si="226"/>
        <v>0</v>
      </c>
      <c r="AO441" s="221">
        <f t="shared" si="226"/>
        <v>0</v>
      </c>
      <c r="AP441" s="221">
        <f t="shared" si="226"/>
        <v>0</v>
      </c>
    </row>
    <row r="442" spans="1:42" x14ac:dyDescent="0.2">
      <c r="A442" s="17">
        <f t="shared" ref="A442:A447" si="227">A441+1</f>
        <v>3</v>
      </c>
      <c r="B442" s="202">
        <f t="shared" si="224"/>
        <v>0</v>
      </c>
      <c r="C442" s="221">
        <f t="shared" ref="C442:AP442" si="228">LOOKUP(C430,$B$397:$AP$397,$B$398:$AP$398)*$B612/100</f>
        <v>0</v>
      </c>
      <c r="D442" s="221">
        <f t="shared" si="228"/>
        <v>0</v>
      </c>
      <c r="E442" s="221">
        <f t="shared" si="228"/>
        <v>0</v>
      </c>
      <c r="F442" s="221">
        <f t="shared" si="228"/>
        <v>0</v>
      </c>
      <c r="G442" s="221">
        <f t="shared" si="228"/>
        <v>0</v>
      </c>
      <c r="H442" s="221">
        <f t="shared" si="228"/>
        <v>0</v>
      </c>
      <c r="I442" s="221">
        <f t="shared" si="228"/>
        <v>0</v>
      </c>
      <c r="J442" s="221">
        <f t="shared" si="228"/>
        <v>0</v>
      </c>
      <c r="K442" s="221">
        <f t="shared" si="228"/>
        <v>0</v>
      </c>
      <c r="L442" s="221">
        <f t="shared" si="228"/>
        <v>0</v>
      </c>
      <c r="M442" s="221">
        <f t="shared" si="228"/>
        <v>0</v>
      </c>
      <c r="N442" s="221">
        <f t="shared" si="228"/>
        <v>0</v>
      </c>
      <c r="O442" s="221">
        <f t="shared" si="228"/>
        <v>0</v>
      </c>
      <c r="P442" s="221">
        <f t="shared" si="228"/>
        <v>0</v>
      </c>
      <c r="Q442" s="221">
        <f t="shared" si="228"/>
        <v>0</v>
      </c>
      <c r="R442" s="221">
        <f t="shared" si="228"/>
        <v>0</v>
      </c>
      <c r="S442" s="221">
        <f t="shared" si="228"/>
        <v>0</v>
      </c>
      <c r="T442" s="221">
        <f t="shared" si="228"/>
        <v>0</v>
      </c>
      <c r="U442" s="221">
        <f t="shared" si="228"/>
        <v>0</v>
      </c>
      <c r="V442" s="221">
        <f t="shared" si="228"/>
        <v>0</v>
      </c>
      <c r="W442" s="221">
        <f t="shared" si="228"/>
        <v>0</v>
      </c>
      <c r="X442" s="221">
        <f t="shared" si="228"/>
        <v>0</v>
      </c>
      <c r="Y442" s="221">
        <f t="shared" si="228"/>
        <v>0</v>
      </c>
      <c r="Z442" s="221">
        <f t="shared" si="228"/>
        <v>0</v>
      </c>
      <c r="AA442" s="221">
        <f t="shared" si="228"/>
        <v>0</v>
      </c>
      <c r="AB442" s="221">
        <f t="shared" si="228"/>
        <v>0</v>
      </c>
      <c r="AC442" s="221">
        <f t="shared" si="228"/>
        <v>0</v>
      </c>
      <c r="AD442" s="221">
        <f t="shared" si="228"/>
        <v>0</v>
      </c>
      <c r="AE442" s="221">
        <f t="shared" si="228"/>
        <v>0</v>
      </c>
      <c r="AF442" s="221">
        <f t="shared" si="228"/>
        <v>0</v>
      </c>
      <c r="AG442" s="221">
        <f t="shared" si="228"/>
        <v>0</v>
      </c>
      <c r="AH442" s="221">
        <f t="shared" si="228"/>
        <v>0</v>
      </c>
      <c r="AI442" s="221">
        <f t="shared" si="228"/>
        <v>0</v>
      </c>
      <c r="AJ442" s="221">
        <f t="shared" si="228"/>
        <v>0</v>
      </c>
      <c r="AK442" s="221">
        <f t="shared" si="228"/>
        <v>0</v>
      </c>
      <c r="AL442" s="221">
        <f t="shared" si="228"/>
        <v>0</v>
      </c>
      <c r="AM442" s="221">
        <f t="shared" si="228"/>
        <v>0</v>
      </c>
      <c r="AN442" s="221">
        <f t="shared" si="228"/>
        <v>0</v>
      </c>
      <c r="AO442" s="221">
        <f t="shared" si="228"/>
        <v>0</v>
      </c>
      <c r="AP442" s="221">
        <f t="shared" si="228"/>
        <v>0</v>
      </c>
    </row>
    <row r="443" spans="1:42" x14ac:dyDescent="0.2">
      <c r="A443" s="17">
        <f t="shared" si="227"/>
        <v>4</v>
      </c>
      <c r="B443" s="202">
        <f t="shared" si="224"/>
        <v>0</v>
      </c>
      <c r="C443" s="221">
        <f t="shared" ref="C443:AP443" si="229">LOOKUP(C431,$B$397:$AP$397,$B$398:$AP$398)*$B613/100</f>
        <v>0</v>
      </c>
      <c r="D443" s="221">
        <f t="shared" si="229"/>
        <v>0</v>
      </c>
      <c r="E443" s="221">
        <f t="shared" si="229"/>
        <v>0</v>
      </c>
      <c r="F443" s="221">
        <f t="shared" si="229"/>
        <v>0</v>
      </c>
      <c r="G443" s="221">
        <f t="shared" si="229"/>
        <v>0</v>
      </c>
      <c r="H443" s="221">
        <f t="shared" si="229"/>
        <v>0</v>
      </c>
      <c r="I443" s="221">
        <f t="shared" si="229"/>
        <v>0</v>
      </c>
      <c r="J443" s="221">
        <f t="shared" si="229"/>
        <v>0</v>
      </c>
      <c r="K443" s="221">
        <f t="shared" si="229"/>
        <v>0</v>
      </c>
      <c r="L443" s="221">
        <f t="shared" si="229"/>
        <v>0</v>
      </c>
      <c r="M443" s="221">
        <f t="shared" si="229"/>
        <v>0</v>
      </c>
      <c r="N443" s="221">
        <f t="shared" si="229"/>
        <v>0</v>
      </c>
      <c r="O443" s="221">
        <f t="shared" si="229"/>
        <v>0</v>
      </c>
      <c r="P443" s="221">
        <f t="shared" si="229"/>
        <v>0</v>
      </c>
      <c r="Q443" s="221">
        <f t="shared" si="229"/>
        <v>0</v>
      </c>
      <c r="R443" s="221">
        <f t="shared" si="229"/>
        <v>0</v>
      </c>
      <c r="S443" s="221">
        <f t="shared" si="229"/>
        <v>0</v>
      </c>
      <c r="T443" s="221">
        <f t="shared" si="229"/>
        <v>0</v>
      </c>
      <c r="U443" s="221">
        <f t="shared" si="229"/>
        <v>0</v>
      </c>
      <c r="V443" s="221">
        <f t="shared" si="229"/>
        <v>0</v>
      </c>
      <c r="W443" s="221">
        <f t="shared" si="229"/>
        <v>0</v>
      </c>
      <c r="X443" s="221">
        <f t="shared" si="229"/>
        <v>0</v>
      </c>
      <c r="Y443" s="221">
        <f t="shared" si="229"/>
        <v>0</v>
      </c>
      <c r="Z443" s="221">
        <f t="shared" si="229"/>
        <v>0</v>
      </c>
      <c r="AA443" s="221">
        <f t="shared" si="229"/>
        <v>0</v>
      </c>
      <c r="AB443" s="221">
        <f t="shared" si="229"/>
        <v>0</v>
      </c>
      <c r="AC443" s="221">
        <f t="shared" si="229"/>
        <v>0</v>
      </c>
      <c r="AD443" s="221">
        <f t="shared" si="229"/>
        <v>0</v>
      </c>
      <c r="AE443" s="221">
        <f t="shared" si="229"/>
        <v>0</v>
      </c>
      <c r="AF443" s="221">
        <f t="shared" si="229"/>
        <v>0</v>
      </c>
      <c r="AG443" s="221">
        <f t="shared" si="229"/>
        <v>0</v>
      </c>
      <c r="AH443" s="221">
        <f t="shared" si="229"/>
        <v>0</v>
      </c>
      <c r="AI443" s="221">
        <f t="shared" si="229"/>
        <v>0</v>
      </c>
      <c r="AJ443" s="221">
        <f t="shared" si="229"/>
        <v>0</v>
      </c>
      <c r="AK443" s="221">
        <f t="shared" si="229"/>
        <v>0</v>
      </c>
      <c r="AL443" s="221">
        <f t="shared" si="229"/>
        <v>0</v>
      </c>
      <c r="AM443" s="221">
        <f t="shared" si="229"/>
        <v>0</v>
      </c>
      <c r="AN443" s="221">
        <f t="shared" si="229"/>
        <v>0</v>
      </c>
      <c r="AO443" s="221">
        <f t="shared" si="229"/>
        <v>0</v>
      </c>
      <c r="AP443" s="221">
        <f t="shared" si="229"/>
        <v>0</v>
      </c>
    </row>
    <row r="444" spans="1:42" x14ac:dyDescent="0.2">
      <c r="A444" s="17">
        <f t="shared" si="227"/>
        <v>5</v>
      </c>
      <c r="B444" s="202">
        <f t="shared" si="224"/>
        <v>0</v>
      </c>
      <c r="C444" s="221">
        <f t="shared" ref="C444:AP444" si="230">LOOKUP(C432,$B$397:$AP$397,$B$398:$AP$398)*$B614/100</f>
        <v>0</v>
      </c>
      <c r="D444" s="221">
        <f t="shared" si="230"/>
        <v>0</v>
      </c>
      <c r="E444" s="221">
        <f t="shared" si="230"/>
        <v>0</v>
      </c>
      <c r="F444" s="221">
        <f t="shared" si="230"/>
        <v>0</v>
      </c>
      <c r="G444" s="221">
        <f t="shared" si="230"/>
        <v>0</v>
      </c>
      <c r="H444" s="221">
        <f t="shared" si="230"/>
        <v>0</v>
      </c>
      <c r="I444" s="221">
        <f t="shared" si="230"/>
        <v>0</v>
      </c>
      <c r="J444" s="221">
        <f t="shared" si="230"/>
        <v>0</v>
      </c>
      <c r="K444" s="221">
        <f t="shared" si="230"/>
        <v>0</v>
      </c>
      <c r="L444" s="221">
        <f t="shared" si="230"/>
        <v>0</v>
      </c>
      <c r="M444" s="221">
        <f t="shared" si="230"/>
        <v>0</v>
      </c>
      <c r="N444" s="221">
        <f t="shared" si="230"/>
        <v>0</v>
      </c>
      <c r="O444" s="221">
        <f t="shared" si="230"/>
        <v>0</v>
      </c>
      <c r="P444" s="221">
        <f t="shared" si="230"/>
        <v>0</v>
      </c>
      <c r="Q444" s="221">
        <f t="shared" si="230"/>
        <v>0</v>
      </c>
      <c r="R444" s="221">
        <f t="shared" si="230"/>
        <v>0</v>
      </c>
      <c r="S444" s="221">
        <f t="shared" si="230"/>
        <v>0</v>
      </c>
      <c r="T444" s="221">
        <f t="shared" si="230"/>
        <v>0</v>
      </c>
      <c r="U444" s="221">
        <f t="shared" si="230"/>
        <v>0</v>
      </c>
      <c r="V444" s="221">
        <f t="shared" si="230"/>
        <v>0</v>
      </c>
      <c r="W444" s="221">
        <f t="shared" si="230"/>
        <v>0</v>
      </c>
      <c r="X444" s="221">
        <f t="shared" si="230"/>
        <v>0</v>
      </c>
      <c r="Y444" s="221">
        <f t="shared" si="230"/>
        <v>0</v>
      </c>
      <c r="Z444" s="221">
        <f t="shared" si="230"/>
        <v>0</v>
      </c>
      <c r="AA444" s="221">
        <f t="shared" si="230"/>
        <v>0</v>
      </c>
      <c r="AB444" s="221">
        <f t="shared" si="230"/>
        <v>0</v>
      </c>
      <c r="AC444" s="221">
        <f t="shared" si="230"/>
        <v>0</v>
      </c>
      <c r="AD444" s="221">
        <f t="shared" si="230"/>
        <v>0</v>
      </c>
      <c r="AE444" s="221">
        <f t="shared" si="230"/>
        <v>0</v>
      </c>
      <c r="AF444" s="221">
        <f t="shared" si="230"/>
        <v>0</v>
      </c>
      <c r="AG444" s="221">
        <f t="shared" si="230"/>
        <v>0</v>
      </c>
      <c r="AH444" s="221">
        <f t="shared" si="230"/>
        <v>0</v>
      </c>
      <c r="AI444" s="221">
        <f t="shared" si="230"/>
        <v>0</v>
      </c>
      <c r="AJ444" s="221">
        <f t="shared" si="230"/>
        <v>0</v>
      </c>
      <c r="AK444" s="221">
        <f t="shared" si="230"/>
        <v>0</v>
      </c>
      <c r="AL444" s="221">
        <f t="shared" si="230"/>
        <v>0</v>
      </c>
      <c r="AM444" s="221">
        <f t="shared" si="230"/>
        <v>0</v>
      </c>
      <c r="AN444" s="221">
        <f t="shared" si="230"/>
        <v>0</v>
      </c>
      <c r="AO444" s="221">
        <f t="shared" si="230"/>
        <v>0</v>
      </c>
      <c r="AP444" s="221">
        <f t="shared" si="230"/>
        <v>0</v>
      </c>
    </row>
    <row r="445" spans="1:42" x14ac:dyDescent="0.2">
      <c r="A445" s="17">
        <f t="shared" si="227"/>
        <v>6</v>
      </c>
      <c r="B445" s="202">
        <f t="shared" si="224"/>
        <v>0</v>
      </c>
      <c r="C445" s="221">
        <f t="shared" ref="C445:AP445" si="231">LOOKUP(C433,$B$397:$AP$397,$B$398:$AP$398)*$B615/100</f>
        <v>0</v>
      </c>
      <c r="D445" s="221">
        <f t="shared" si="231"/>
        <v>0</v>
      </c>
      <c r="E445" s="221">
        <f t="shared" si="231"/>
        <v>0</v>
      </c>
      <c r="F445" s="221">
        <f t="shared" si="231"/>
        <v>0</v>
      </c>
      <c r="G445" s="221">
        <f t="shared" si="231"/>
        <v>0</v>
      </c>
      <c r="H445" s="221">
        <f t="shared" si="231"/>
        <v>0</v>
      </c>
      <c r="I445" s="221">
        <f t="shared" si="231"/>
        <v>0</v>
      </c>
      <c r="J445" s="221">
        <f t="shared" si="231"/>
        <v>0</v>
      </c>
      <c r="K445" s="221">
        <f t="shared" si="231"/>
        <v>0</v>
      </c>
      <c r="L445" s="221">
        <f t="shared" si="231"/>
        <v>0</v>
      </c>
      <c r="M445" s="221">
        <f t="shared" si="231"/>
        <v>0</v>
      </c>
      <c r="N445" s="221">
        <f t="shared" si="231"/>
        <v>0</v>
      </c>
      <c r="O445" s="221">
        <f t="shared" si="231"/>
        <v>0</v>
      </c>
      <c r="P445" s="221">
        <f t="shared" si="231"/>
        <v>0</v>
      </c>
      <c r="Q445" s="221">
        <f t="shared" si="231"/>
        <v>0</v>
      </c>
      <c r="R445" s="221">
        <f t="shared" si="231"/>
        <v>0</v>
      </c>
      <c r="S445" s="221">
        <f t="shared" si="231"/>
        <v>0</v>
      </c>
      <c r="T445" s="221">
        <f t="shared" si="231"/>
        <v>0</v>
      </c>
      <c r="U445" s="221">
        <f t="shared" si="231"/>
        <v>0</v>
      </c>
      <c r="V445" s="221">
        <f t="shared" si="231"/>
        <v>0</v>
      </c>
      <c r="W445" s="221">
        <f t="shared" si="231"/>
        <v>0</v>
      </c>
      <c r="X445" s="221">
        <f t="shared" si="231"/>
        <v>0</v>
      </c>
      <c r="Y445" s="221">
        <f t="shared" si="231"/>
        <v>0</v>
      </c>
      <c r="Z445" s="221">
        <f t="shared" si="231"/>
        <v>0</v>
      </c>
      <c r="AA445" s="221">
        <f t="shared" si="231"/>
        <v>0</v>
      </c>
      <c r="AB445" s="221">
        <f t="shared" si="231"/>
        <v>0</v>
      </c>
      <c r="AC445" s="221">
        <f t="shared" si="231"/>
        <v>0</v>
      </c>
      <c r="AD445" s="221">
        <f t="shared" si="231"/>
        <v>0</v>
      </c>
      <c r="AE445" s="221">
        <f t="shared" si="231"/>
        <v>0</v>
      </c>
      <c r="AF445" s="221">
        <f t="shared" si="231"/>
        <v>0</v>
      </c>
      <c r="AG445" s="221">
        <f t="shared" si="231"/>
        <v>0</v>
      </c>
      <c r="AH445" s="221">
        <f t="shared" si="231"/>
        <v>0</v>
      </c>
      <c r="AI445" s="221">
        <f t="shared" si="231"/>
        <v>0</v>
      </c>
      <c r="AJ445" s="221">
        <f t="shared" si="231"/>
        <v>0</v>
      </c>
      <c r="AK445" s="221">
        <f t="shared" si="231"/>
        <v>0</v>
      </c>
      <c r="AL445" s="221">
        <f t="shared" si="231"/>
        <v>0</v>
      </c>
      <c r="AM445" s="221">
        <f t="shared" si="231"/>
        <v>0</v>
      </c>
      <c r="AN445" s="221">
        <f t="shared" si="231"/>
        <v>0</v>
      </c>
      <c r="AO445" s="221">
        <f t="shared" si="231"/>
        <v>0</v>
      </c>
      <c r="AP445" s="221">
        <f t="shared" si="231"/>
        <v>0</v>
      </c>
    </row>
    <row r="446" spans="1:42" x14ac:dyDescent="0.2">
      <c r="A446" s="17">
        <f t="shared" si="227"/>
        <v>7</v>
      </c>
      <c r="B446" s="202">
        <f t="shared" si="224"/>
        <v>0</v>
      </c>
      <c r="C446" s="221">
        <f t="shared" ref="C446:AP446" si="232">LOOKUP(C434,$B$397:$AP$397,$B$398:$AP$398)*$B616/100</f>
        <v>0</v>
      </c>
      <c r="D446" s="221">
        <f t="shared" si="232"/>
        <v>0</v>
      </c>
      <c r="E446" s="221">
        <f t="shared" si="232"/>
        <v>0</v>
      </c>
      <c r="F446" s="221">
        <f t="shared" si="232"/>
        <v>0</v>
      </c>
      <c r="G446" s="221">
        <f t="shared" si="232"/>
        <v>0</v>
      </c>
      <c r="H446" s="221">
        <f t="shared" si="232"/>
        <v>0</v>
      </c>
      <c r="I446" s="221">
        <f t="shared" si="232"/>
        <v>0</v>
      </c>
      <c r="J446" s="221">
        <f t="shared" si="232"/>
        <v>0</v>
      </c>
      <c r="K446" s="221">
        <f t="shared" si="232"/>
        <v>0</v>
      </c>
      <c r="L446" s="221">
        <f t="shared" si="232"/>
        <v>0</v>
      </c>
      <c r="M446" s="221">
        <f t="shared" si="232"/>
        <v>0</v>
      </c>
      <c r="N446" s="221">
        <f t="shared" si="232"/>
        <v>0</v>
      </c>
      <c r="O446" s="221">
        <f t="shared" si="232"/>
        <v>0</v>
      </c>
      <c r="P446" s="221">
        <f t="shared" si="232"/>
        <v>0</v>
      </c>
      <c r="Q446" s="221">
        <f t="shared" si="232"/>
        <v>0</v>
      </c>
      <c r="R446" s="221">
        <f t="shared" si="232"/>
        <v>0</v>
      </c>
      <c r="S446" s="221">
        <f t="shared" si="232"/>
        <v>0</v>
      </c>
      <c r="T446" s="221">
        <f t="shared" si="232"/>
        <v>0</v>
      </c>
      <c r="U446" s="221">
        <f t="shared" si="232"/>
        <v>0</v>
      </c>
      <c r="V446" s="221">
        <f t="shared" si="232"/>
        <v>0</v>
      </c>
      <c r="W446" s="221">
        <f t="shared" si="232"/>
        <v>0</v>
      </c>
      <c r="X446" s="221">
        <f t="shared" si="232"/>
        <v>0</v>
      </c>
      <c r="Y446" s="221">
        <f t="shared" si="232"/>
        <v>0</v>
      </c>
      <c r="Z446" s="221">
        <f t="shared" si="232"/>
        <v>0</v>
      </c>
      <c r="AA446" s="221">
        <f t="shared" si="232"/>
        <v>0</v>
      </c>
      <c r="AB446" s="221">
        <f t="shared" si="232"/>
        <v>0</v>
      </c>
      <c r="AC446" s="221">
        <f t="shared" si="232"/>
        <v>0</v>
      </c>
      <c r="AD446" s="221">
        <f t="shared" si="232"/>
        <v>0</v>
      </c>
      <c r="AE446" s="221">
        <f t="shared" si="232"/>
        <v>0</v>
      </c>
      <c r="AF446" s="221">
        <f t="shared" si="232"/>
        <v>0</v>
      </c>
      <c r="AG446" s="221">
        <f t="shared" si="232"/>
        <v>0</v>
      </c>
      <c r="AH446" s="221">
        <f t="shared" si="232"/>
        <v>0</v>
      </c>
      <c r="AI446" s="221">
        <f t="shared" si="232"/>
        <v>0</v>
      </c>
      <c r="AJ446" s="221">
        <f t="shared" si="232"/>
        <v>0</v>
      </c>
      <c r="AK446" s="221">
        <f t="shared" si="232"/>
        <v>0</v>
      </c>
      <c r="AL446" s="221">
        <f t="shared" si="232"/>
        <v>0</v>
      </c>
      <c r="AM446" s="221">
        <f t="shared" si="232"/>
        <v>0</v>
      </c>
      <c r="AN446" s="221">
        <f t="shared" si="232"/>
        <v>0</v>
      </c>
      <c r="AO446" s="221">
        <f t="shared" si="232"/>
        <v>0</v>
      </c>
      <c r="AP446" s="221">
        <f t="shared" si="232"/>
        <v>0</v>
      </c>
    </row>
    <row r="447" spans="1:42" x14ac:dyDescent="0.2">
      <c r="A447" s="17">
        <f t="shared" si="227"/>
        <v>8</v>
      </c>
      <c r="B447" s="202">
        <f t="shared" si="224"/>
        <v>0</v>
      </c>
      <c r="C447" s="221">
        <f t="shared" ref="C447:AP447" si="233">LOOKUP(C435,$B$397:$AP$397,$B$398:$AP$398)*$B617/100</f>
        <v>0</v>
      </c>
      <c r="D447" s="221">
        <f t="shared" si="233"/>
        <v>0</v>
      </c>
      <c r="E447" s="221">
        <f t="shared" si="233"/>
        <v>0</v>
      </c>
      <c r="F447" s="221">
        <f t="shared" si="233"/>
        <v>0</v>
      </c>
      <c r="G447" s="221">
        <f t="shared" si="233"/>
        <v>0</v>
      </c>
      <c r="H447" s="221">
        <f t="shared" si="233"/>
        <v>0</v>
      </c>
      <c r="I447" s="221">
        <f t="shared" si="233"/>
        <v>0</v>
      </c>
      <c r="J447" s="221">
        <f t="shared" si="233"/>
        <v>0</v>
      </c>
      <c r="K447" s="221">
        <f t="shared" si="233"/>
        <v>0</v>
      </c>
      <c r="L447" s="221">
        <f t="shared" si="233"/>
        <v>0</v>
      </c>
      <c r="M447" s="221">
        <f t="shared" si="233"/>
        <v>0</v>
      </c>
      <c r="N447" s="221">
        <f t="shared" si="233"/>
        <v>0</v>
      </c>
      <c r="O447" s="221">
        <f t="shared" si="233"/>
        <v>0</v>
      </c>
      <c r="P447" s="221">
        <f t="shared" si="233"/>
        <v>0</v>
      </c>
      <c r="Q447" s="221">
        <f t="shared" si="233"/>
        <v>0</v>
      </c>
      <c r="R447" s="221">
        <f t="shared" si="233"/>
        <v>0</v>
      </c>
      <c r="S447" s="221">
        <f t="shared" si="233"/>
        <v>0</v>
      </c>
      <c r="T447" s="221">
        <f t="shared" si="233"/>
        <v>0</v>
      </c>
      <c r="U447" s="221">
        <f t="shared" si="233"/>
        <v>0</v>
      </c>
      <c r="V447" s="221">
        <f t="shared" si="233"/>
        <v>0</v>
      </c>
      <c r="W447" s="221">
        <f t="shared" si="233"/>
        <v>0</v>
      </c>
      <c r="X447" s="221">
        <f t="shared" si="233"/>
        <v>0</v>
      </c>
      <c r="Y447" s="221">
        <f t="shared" si="233"/>
        <v>0</v>
      </c>
      <c r="Z447" s="221">
        <f t="shared" si="233"/>
        <v>0</v>
      </c>
      <c r="AA447" s="221">
        <f t="shared" si="233"/>
        <v>0</v>
      </c>
      <c r="AB447" s="221">
        <f t="shared" si="233"/>
        <v>0</v>
      </c>
      <c r="AC447" s="221">
        <f t="shared" si="233"/>
        <v>0</v>
      </c>
      <c r="AD447" s="221">
        <f t="shared" si="233"/>
        <v>0</v>
      </c>
      <c r="AE447" s="221">
        <f t="shared" si="233"/>
        <v>0</v>
      </c>
      <c r="AF447" s="221">
        <f t="shared" si="233"/>
        <v>0</v>
      </c>
      <c r="AG447" s="221">
        <f t="shared" si="233"/>
        <v>0</v>
      </c>
      <c r="AH447" s="221">
        <f t="shared" si="233"/>
        <v>0</v>
      </c>
      <c r="AI447" s="221">
        <f t="shared" si="233"/>
        <v>0</v>
      </c>
      <c r="AJ447" s="221">
        <f t="shared" si="233"/>
        <v>0</v>
      </c>
      <c r="AK447" s="221">
        <f t="shared" si="233"/>
        <v>0</v>
      </c>
      <c r="AL447" s="221">
        <f t="shared" si="233"/>
        <v>0</v>
      </c>
      <c r="AM447" s="221">
        <f t="shared" si="233"/>
        <v>0</v>
      </c>
      <c r="AN447" s="221">
        <f t="shared" si="233"/>
        <v>0</v>
      </c>
      <c r="AO447" s="221">
        <f t="shared" si="233"/>
        <v>0</v>
      </c>
      <c r="AP447" s="221">
        <f t="shared" si="233"/>
        <v>0</v>
      </c>
    </row>
    <row r="448" spans="1:42" x14ac:dyDescent="0.2">
      <c r="A448" s="17">
        <f>A447+1</f>
        <v>9</v>
      </c>
      <c r="B448" s="202">
        <f t="shared" si="224"/>
        <v>0</v>
      </c>
      <c r="C448" s="221">
        <f t="shared" ref="C448:AP448" si="234">LOOKUP(C436,$B$397:$AP$397,$B$398:$AP$398)*$B618/100</f>
        <v>0</v>
      </c>
      <c r="D448" s="221">
        <f t="shared" si="234"/>
        <v>0</v>
      </c>
      <c r="E448" s="221">
        <f t="shared" si="234"/>
        <v>0</v>
      </c>
      <c r="F448" s="221">
        <f t="shared" si="234"/>
        <v>0</v>
      </c>
      <c r="G448" s="221">
        <f t="shared" si="234"/>
        <v>0</v>
      </c>
      <c r="H448" s="221">
        <f t="shared" si="234"/>
        <v>0</v>
      </c>
      <c r="I448" s="221">
        <f t="shared" si="234"/>
        <v>0</v>
      </c>
      <c r="J448" s="221">
        <f t="shared" si="234"/>
        <v>0</v>
      </c>
      <c r="K448" s="221">
        <f t="shared" si="234"/>
        <v>0</v>
      </c>
      <c r="L448" s="221">
        <f t="shared" si="234"/>
        <v>0</v>
      </c>
      <c r="M448" s="221">
        <f t="shared" si="234"/>
        <v>0</v>
      </c>
      <c r="N448" s="221">
        <f t="shared" si="234"/>
        <v>0</v>
      </c>
      <c r="O448" s="221">
        <f t="shared" si="234"/>
        <v>0</v>
      </c>
      <c r="P448" s="221">
        <f t="shared" si="234"/>
        <v>0</v>
      </c>
      <c r="Q448" s="221">
        <f t="shared" si="234"/>
        <v>0</v>
      </c>
      <c r="R448" s="221">
        <f t="shared" si="234"/>
        <v>0</v>
      </c>
      <c r="S448" s="221">
        <f t="shared" si="234"/>
        <v>0</v>
      </c>
      <c r="T448" s="221">
        <f t="shared" si="234"/>
        <v>0</v>
      </c>
      <c r="U448" s="221">
        <f t="shared" si="234"/>
        <v>0</v>
      </c>
      <c r="V448" s="221">
        <f t="shared" si="234"/>
        <v>0</v>
      </c>
      <c r="W448" s="221">
        <f t="shared" si="234"/>
        <v>0</v>
      </c>
      <c r="X448" s="221">
        <f t="shared" si="234"/>
        <v>0</v>
      </c>
      <c r="Y448" s="221">
        <f t="shared" si="234"/>
        <v>0</v>
      </c>
      <c r="Z448" s="221">
        <f t="shared" si="234"/>
        <v>0</v>
      </c>
      <c r="AA448" s="221">
        <f t="shared" si="234"/>
        <v>0</v>
      </c>
      <c r="AB448" s="221">
        <f t="shared" si="234"/>
        <v>0</v>
      </c>
      <c r="AC448" s="221">
        <f t="shared" si="234"/>
        <v>0</v>
      </c>
      <c r="AD448" s="221">
        <f t="shared" si="234"/>
        <v>0</v>
      </c>
      <c r="AE448" s="221">
        <f t="shared" si="234"/>
        <v>0</v>
      </c>
      <c r="AF448" s="221">
        <f t="shared" si="234"/>
        <v>0</v>
      </c>
      <c r="AG448" s="221">
        <f t="shared" si="234"/>
        <v>0</v>
      </c>
      <c r="AH448" s="221">
        <f t="shared" si="234"/>
        <v>0</v>
      </c>
      <c r="AI448" s="221">
        <f t="shared" si="234"/>
        <v>0</v>
      </c>
      <c r="AJ448" s="221">
        <f t="shared" si="234"/>
        <v>0</v>
      </c>
      <c r="AK448" s="221">
        <f t="shared" si="234"/>
        <v>0</v>
      </c>
      <c r="AL448" s="221">
        <f t="shared" si="234"/>
        <v>0</v>
      </c>
      <c r="AM448" s="221">
        <f t="shared" si="234"/>
        <v>0</v>
      </c>
      <c r="AN448" s="221">
        <f t="shared" si="234"/>
        <v>0</v>
      </c>
      <c r="AO448" s="221">
        <f t="shared" si="234"/>
        <v>0</v>
      </c>
      <c r="AP448" s="221">
        <f t="shared" si="234"/>
        <v>0</v>
      </c>
    </row>
    <row r="449" spans="1:42" x14ac:dyDescent="0.2">
      <c r="A449" s="17">
        <f t="shared" ref="A449" si="235">A448+1</f>
        <v>10</v>
      </c>
      <c r="B449" s="202">
        <f t="shared" si="224"/>
        <v>0</v>
      </c>
      <c r="C449" s="221">
        <f t="shared" ref="C449:AP449" si="236">LOOKUP(C437,$B$397:$AP$397,$B$398:$AP$398)*$B619/100</f>
        <v>0</v>
      </c>
      <c r="D449" s="221">
        <f t="shared" si="236"/>
        <v>0</v>
      </c>
      <c r="E449" s="221">
        <f t="shared" si="236"/>
        <v>0</v>
      </c>
      <c r="F449" s="221">
        <f t="shared" si="236"/>
        <v>0</v>
      </c>
      <c r="G449" s="221">
        <f t="shared" si="236"/>
        <v>0</v>
      </c>
      <c r="H449" s="221">
        <f t="shared" si="236"/>
        <v>0</v>
      </c>
      <c r="I449" s="221">
        <f t="shared" si="236"/>
        <v>0</v>
      </c>
      <c r="J449" s="221">
        <f t="shared" si="236"/>
        <v>0</v>
      </c>
      <c r="K449" s="221">
        <f t="shared" si="236"/>
        <v>0</v>
      </c>
      <c r="L449" s="221">
        <f t="shared" si="236"/>
        <v>0</v>
      </c>
      <c r="M449" s="221">
        <f t="shared" si="236"/>
        <v>0</v>
      </c>
      <c r="N449" s="221">
        <f t="shared" si="236"/>
        <v>0</v>
      </c>
      <c r="O449" s="221">
        <f t="shared" si="236"/>
        <v>0</v>
      </c>
      <c r="P449" s="221">
        <f t="shared" si="236"/>
        <v>0</v>
      </c>
      <c r="Q449" s="221">
        <f t="shared" si="236"/>
        <v>0</v>
      </c>
      <c r="R449" s="221">
        <f t="shared" si="236"/>
        <v>0</v>
      </c>
      <c r="S449" s="221">
        <f t="shared" si="236"/>
        <v>0</v>
      </c>
      <c r="T449" s="221">
        <f t="shared" si="236"/>
        <v>0</v>
      </c>
      <c r="U449" s="221">
        <f t="shared" si="236"/>
        <v>0</v>
      </c>
      <c r="V449" s="221">
        <f t="shared" si="236"/>
        <v>0</v>
      </c>
      <c r="W449" s="221">
        <f t="shared" si="236"/>
        <v>0</v>
      </c>
      <c r="X449" s="221">
        <f t="shared" si="236"/>
        <v>0</v>
      </c>
      <c r="Y449" s="221">
        <f t="shared" si="236"/>
        <v>0</v>
      </c>
      <c r="Z449" s="221">
        <f t="shared" si="236"/>
        <v>0</v>
      </c>
      <c r="AA449" s="221">
        <f t="shared" si="236"/>
        <v>0</v>
      </c>
      <c r="AB449" s="221">
        <f t="shared" si="236"/>
        <v>0</v>
      </c>
      <c r="AC449" s="221">
        <f t="shared" si="236"/>
        <v>0</v>
      </c>
      <c r="AD449" s="221">
        <f t="shared" si="236"/>
        <v>0</v>
      </c>
      <c r="AE449" s="221">
        <f t="shared" si="236"/>
        <v>0</v>
      </c>
      <c r="AF449" s="221">
        <f t="shared" si="236"/>
        <v>0</v>
      </c>
      <c r="AG449" s="221">
        <f t="shared" si="236"/>
        <v>0</v>
      </c>
      <c r="AH449" s="221">
        <f t="shared" si="236"/>
        <v>0</v>
      </c>
      <c r="AI449" s="221">
        <f t="shared" si="236"/>
        <v>0</v>
      </c>
      <c r="AJ449" s="221">
        <f t="shared" si="236"/>
        <v>0</v>
      </c>
      <c r="AK449" s="221">
        <f t="shared" si="236"/>
        <v>0</v>
      </c>
      <c r="AL449" s="221">
        <f t="shared" si="236"/>
        <v>0</v>
      </c>
      <c r="AM449" s="221">
        <f t="shared" si="236"/>
        <v>0</v>
      </c>
      <c r="AN449" s="221">
        <f t="shared" si="236"/>
        <v>0</v>
      </c>
      <c r="AO449" s="221">
        <f t="shared" si="236"/>
        <v>0</v>
      </c>
      <c r="AP449" s="221">
        <f t="shared" si="236"/>
        <v>0</v>
      </c>
    </row>
    <row r="450" spans="1:42" s="17" customFormat="1" x14ac:dyDescent="0.2">
      <c r="A450" s="40" t="s">
        <v>13</v>
      </c>
      <c r="B450" s="20"/>
      <c r="C450" s="221">
        <f>SUM(C440:C449)</f>
        <v>0</v>
      </c>
      <c r="D450" s="221">
        <f t="shared" ref="D450:AP450" si="237">SUM(D440:D449)</f>
        <v>0</v>
      </c>
      <c r="E450" s="221">
        <f t="shared" si="237"/>
        <v>0</v>
      </c>
      <c r="F450" s="221">
        <f t="shared" si="237"/>
        <v>0</v>
      </c>
      <c r="G450" s="221">
        <f t="shared" si="237"/>
        <v>0</v>
      </c>
      <c r="H450" s="221">
        <f t="shared" si="237"/>
        <v>0</v>
      </c>
      <c r="I450" s="221">
        <f t="shared" si="237"/>
        <v>0</v>
      </c>
      <c r="J450" s="221">
        <f t="shared" si="237"/>
        <v>0</v>
      </c>
      <c r="K450" s="221">
        <f t="shared" si="237"/>
        <v>0</v>
      </c>
      <c r="L450" s="221">
        <f t="shared" si="237"/>
        <v>0</v>
      </c>
      <c r="M450" s="221">
        <f t="shared" si="237"/>
        <v>0</v>
      </c>
      <c r="N450" s="221">
        <f t="shared" si="237"/>
        <v>0</v>
      </c>
      <c r="O450" s="221">
        <f t="shared" si="237"/>
        <v>0</v>
      </c>
      <c r="P450" s="221">
        <f t="shared" si="237"/>
        <v>0</v>
      </c>
      <c r="Q450" s="221">
        <f t="shared" si="237"/>
        <v>0</v>
      </c>
      <c r="R450" s="221">
        <f t="shared" si="237"/>
        <v>0</v>
      </c>
      <c r="S450" s="221">
        <f t="shared" si="237"/>
        <v>0</v>
      </c>
      <c r="T450" s="221">
        <f t="shared" si="237"/>
        <v>0</v>
      </c>
      <c r="U450" s="221">
        <f t="shared" si="237"/>
        <v>0</v>
      </c>
      <c r="V450" s="221">
        <f t="shared" si="237"/>
        <v>0</v>
      </c>
      <c r="W450" s="221">
        <f t="shared" si="237"/>
        <v>0</v>
      </c>
      <c r="X450" s="221">
        <f t="shared" si="237"/>
        <v>0</v>
      </c>
      <c r="Y450" s="221">
        <f t="shared" si="237"/>
        <v>0</v>
      </c>
      <c r="Z450" s="221">
        <f t="shared" si="237"/>
        <v>0</v>
      </c>
      <c r="AA450" s="221">
        <f t="shared" si="237"/>
        <v>0</v>
      </c>
      <c r="AB450" s="221">
        <f t="shared" si="237"/>
        <v>0</v>
      </c>
      <c r="AC450" s="221">
        <f t="shared" si="237"/>
        <v>0</v>
      </c>
      <c r="AD450" s="221">
        <f t="shared" si="237"/>
        <v>0</v>
      </c>
      <c r="AE450" s="221">
        <f t="shared" si="237"/>
        <v>0</v>
      </c>
      <c r="AF450" s="221">
        <f t="shared" si="237"/>
        <v>0</v>
      </c>
      <c r="AG450" s="221">
        <f t="shared" si="237"/>
        <v>0</v>
      </c>
      <c r="AH450" s="221">
        <f t="shared" si="237"/>
        <v>0</v>
      </c>
      <c r="AI450" s="221">
        <f t="shared" si="237"/>
        <v>0</v>
      </c>
      <c r="AJ450" s="221">
        <f t="shared" si="237"/>
        <v>0</v>
      </c>
      <c r="AK450" s="221">
        <f t="shared" si="237"/>
        <v>0</v>
      </c>
      <c r="AL450" s="221">
        <f t="shared" si="237"/>
        <v>0</v>
      </c>
      <c r="AM450" s="221">
        <f t="shared" si="237"/>
        <v>0</v>
      </c>
      <c r="AN450" s="221">
        <f t="shared" si="237"/>
        <v>0</v>
      </c>
      <c r="AO450" s="221">
        <f t="shared" si="237"/>
        <v>0</v>
      </c>
      <c r="AP450" s="221">
        <f t="shared" si="237"/>
        <v>0</v>
      </c>
    </row>
    <row r="451" spans="1:42" s="17" customFormat="1" x14ac:dyDescent="0.2">
      <c r="A451" s="40"/>
      <c r="B451" s="20"/>
      <c r="C451" s="221"/>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row>
    <row r="452" spans="1:42" x14ac:dyDescent="0.2">
      <c r="A452" s="31" t="s">
        <v>119</v>
      </c>
      <c r="C452" s="221"/>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row>
    <row r="453" spans="1:42" x14ac:dyDescent="0.2">
      <c r="A453" s="33" t="s">
        <v>91</v>
      </c>
      <c r="C453" s="221"/>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row>
    <row r="454" spans="1:42" x14ac:dyDescent="0.2">
      <c r="A454" s="4">
        <v>1</v>
      </c>
      <c r="C454" s="220">
        <f t="shared" ref="C454:AP454" si="238">C320</f>
        <v>0</v>
      </c>
      <c r="D454" s="220">
        <f t="shared" si="238"/>
        <v>0</v>
      </c>
      <c r="E454" s="220">
        <f t="shared" si="238"/>
        <v>0</v>
      </c>
      <c r="F454" s="220">
        <f t="shared" si="238"/>
        <v>0</v>
      </c>
      <c r="G454" s="220">
        <f t="shared" si="238"/>
        <v>0</v>
      </c>
      <c r="H454" s="220">
        <f t="shared" si="238"/>
        <v>0</v>
      </c>
      <c r="I454" s="220">
        <f t="shared" si="238"/>
        <v>0</v>
      </c>
      <c r="J454" s="220">
        <f t="shared" si="238"/>
        <v>0</v>
      </c>
      <c r="K454" s="220">
        <f t="shared" si="238"/>
        <v>0</v>
      </c>
      <c r="L454" s="220">
        <f t="shared" si="238"/>
        <v>0</v>
      </c>
      <c r="M454" s="220">
        <f t="shared" si="238"/>
        <v>0</v>
      </c>
      <c r="N454" s="220">
        <f t="shared" si="238"/>
        <v>0</v>
      </c>
      <c r="O454" s="220">
        <f t="shared" si="238"/>
        <v>0</v>
      </c>
      <c r="P454" s="220">
        <f t="shared" si="238"/>
        <v>0</v>
      </c>
      <c r="Q454" s="220">
        <f t="shared" si="238"/>
        <v>0</v>
      </c>
      <c r="R454" s="220">
        <f t="shared" si="238"/>
        <v>0</v>
      </c>
      <c r="S454" s="220">
        <f t="shared" si="238"/>
        <v>0</v>
      </c>
      <c r="T454" s="220">
        <f t="shared" si="238"/>
        <v>0</v>
      </c>
      <c r="U454" s="220">
        <f t="shared" si="238"/>
        <v>0</v>
      </c>
      <c r="V454" s="220">
        <f t="shared" si="238"/>
        <v>0</v>
      </c>
      <c r="W454" s="220">
        <f t="shared" si="238"/>
        <v>0</v>
      </c>
      <c r="X454" s="220">
        <f t="shared" si="238"/>
        <v>0</v>
      </c>
      <c r="Y454" s="220">
        <f t="shared" si="238"/>
        <v>0</v>
      </c>
      <c r="Z454" s="220">
        <f t="shared" si="238"/>
        <v>0</v>
      </c>
      <c r="AA454" s="220">
        <f t="shared" si="238"/>
        <v>0</v>
      </c>
      <c r="AB454" s="220">
        <f t="shared" si="238"/>
        <v>0</v>
      </c>
      <c r="AC454" s="220">
        <f t="shared" si="238"/>
        <v>0</v>
      </c>
      <c r="AD454" s="220">
        <f t="shared" si="238"/>
        <v>0</v>
      </c>
      <c r="AE454" s="220">
        <f t="shared" si="238"/>
        <v>0</v>
      </c>
      <c r="AF454" s="220">
        <f t="shared" si="238"/>
        <v>0</v>
      </c>
      <c r="AG454" s="220">
        <f t="shared" si="238"/>
        <v>0</v>
      </c>
      <c r="AH454" s="220">
        <f t="shared" si="238"/>
        <v>0</v>
      </c>
      <c r="AI454" s="220">
        <f t="shared" si="238"/>
        <v>0</v>
      </c>
      <c r="AJ454" s="220">
        <f t="shared" si="238"/>
        <v>0</v>
      </c>
      <c r="AK454" s="220">
        <f t="shared" si="238"/>
        <v>0</v>
      </c>
      <c r="AL454" s="220">
        <f t="shared" si="238"/>
        <v>0</v>
      </c>
      <c r="AM454" s="220">
        <f t="shared" si="238"/>
        <v>0</v>
      </c>
      <c r="AN454" s="220">
        <f t="shared" si="238"/>
        <v>0</v>
      </c>
      <c r="AO454" s="220">
        <f t="shared" si="238"/>
        <v>0</v>
      </c>
      <c r="AP454" s="220">
        <f t="shared" si="238"/>
        <v>0</v>
      </c>
    </row>
    <row r="455" spans="1:42" x14ac:dyDescent="0.2">
      <c r="A455" s="4">
        <f>A454+1</f>
        <v>2</v>
      </c>
      <c r="C455" s="220">
        <f t="shared" ref="C455:AP455" si="239">C321</f>
        <v>0</v>
      </c>
      <c r="D455" s="220">
        <f t="shared" si="239"/>
        <v>0</v>
      </c>
      <c r="E455" s="220">
        <f t="shared" si="239"/>
        <v>0</v>
      </c>
      <c r="F455" s="220">
        <f t="shared" si="239"/>
        <v>0</v>
      </c>
      <c r="G455" s="220">
        <f t="shared" si="239"/>
        <v>0</v>
      </c>
      <c r="H455" s="220">
        <f t="shared" si="239"/>
        <v>0</v>
      </c>
      <c r="I455" s="220">
        <f t="shared" si="239"/>
        <v>0</v>
      </c>
      <c r="J455" s="220">
        <f t="shared" si="239"/>
        <v>0</v>
      </c>
      <c r="K455" s="220">
        <f t="shared" si="239"/>
        <v>0</v>
      </c>
      <c r="L455" s="220">
        <f t="shared" si="239"/>
        <v>0</v>
      </c>
      <c r="M455" s="220">
        <f t="shared" si="239"/>
        <v>0</v>
      </c>
      <c r="N455" s="220">
        <f t="shared" si="239"/>
        <v>0</v>
      </c>
      <c r="O455" s="220">
        <f t="shared" si="239"/>
        <v>0</v>
      </c>
      <c r="P455" s="220">
        <f t="shared" si="239"/>
        <v>0</v>
      </c>
      <c r="Q455" s="220">
        <f t="shared" si="239"/>
        <v>0</v>
      </c>
      <c r="R455" s="220">
        <f t="shared" si="239"/>
        <v>0</v>
      </c>
      <c r="S455" s="220">
        <f t="shared" si="239"/>
        <v>0</v>
      </c>
      <c r="T455" s="220">
        <f t="shared" si="239"/>
        <v>0</v>
      </c>
      <c r="U455" s="220">
        <f t="shared" si="239"/>
        <v>0</v>
      </c>
      <c r="V455" s="220">
        <f t="shared" si="239"/>
        <v>0</v>
      </c>
      <c r="W455" s="220">
        <f t="shared" si="239"/>
        <v>0</v>
      </c>
      <c r="X455" s="220">
        <f t="shared" si="239"/>
        <v>0</v>
      </c>
      <c r="Y455" s="220">
        <f t="shared" si="239"/>
        <v>0</v>
      </c>
      <c r="Z455" s="220">
        <f t="shared" si="239"/>
        <v>0</v>
      </c>
      <c r="AA455" s="220">
        <f t="shared" si="239"/>
        <v>0</v>
      </c>
      <c r="AB455" s="220">
        <f t="shared" si="239"/>
        <v>0</v>
      </c>
      <c r="AC455" s="220">
        <f t="shared" si="239"/>
        <v>0</v>
      </c>
      <c r="AD455" s="220">
        <f t="shared" si="239"/>
        <v>0</v>
      </c>
      <c r="AE455" s="220">
        <f t="shared" si="239"/>
        <v>0</v>
      </c>
      <c r="AF455" s="220">
        <f t="shared" si="239"/>
        <v>0</v>
      </c>
      <c r="AG455" s="220">
        <f t="shared" si="239"/>
        <v>0</v>
      </c>
      <c r="AH455" s="220">
        <f t="shared" si="239"/>
        <v>0</v>
      </c>
      <c r="AI455" s="220">
        <f t="shared" si="239"/>
        <v>0</v>
      </c>
      <c r="AJ455" s="220">
        <f t="shared" si="239"/>
        <v>0</v>
      </c>
      <c r="AK455" s="220">
        <f t="shared" si="239"/>
        <v>0</v>
      </c>
      <c r="AL455" s="220">
        <f t="shared" si="239"/>
        <v>0</v>
      </c>
      <c r="AM455" s="220">
        <f t="shared" si="239"/>
        <v>0</v>
      </c>
      <c r="AN455" s="220">
        <f t="shared" si="239"/>
        <v>0</v>
      </c>
      <c r="AO455" s="220">
        <f t="shared" si="239"/>
        <v>0</v>
      </c>
      <c r="AP455" s="220">
        <f t="shared" si="239"/>
        <v>0</v>
      </c>
    </row>
    <row r="456" spans="1:42" x14ac:dyDescent="0.2">
      <c r="A456" s="4">
        <f t="shared" ref="A456:A461" si="240">A455+1</f>
        <v>3</v>
      </c>
      <c r="C456" s="220">
        <f t="shared" ref="C456:AP456" si="241">C322</f>
        <v>0</v>
      </c>
      <c r="D456" s="220">
        <f t="shared" si="241"/>
        <v>0</v>
      </c>
      <c r="E456" s="220">
        <f t="shared" si="241"/>
        <v>0</v>
      </c>
      <c r="F456" s="220">
        <f t="shared" si="241"/>
        <v>0</v>
      </c>
      <c r="G456" s="220">
        <f t="shared" si="241"/>
        <v>0</v>
      </c>
      <c r="H456" s="220">
        <f t="shared" si="241"/>
        <v>0</v>
      </c>
      <c r="I456" s="220">
        <f t="shared" si="241"/>
        <v>0</v>
      </c>
      <c r="J456" s="220">
        <f t="shared" si="241"/>
        <v>0</v>
      </c>
      <c r="K456" s="220">
        <f t="shared" si="241"/>
        <v>0</v>
      </c>
      <c r="L456" s="220">
        <f t="shared" si="241"/>
        <v>0</v>
      </c>
      <c r="M456" s="220">
        <f t="shared" si="241"/>
        <v>0</v>
      </c>
      <c r="N456" s="220">
        <f t="shared" si="241"/>
        <v>0</v>
      </c>
      <c r="O456" s="220">
        <f t="shared" si="241"/>
        <v>0</v>
      </c>
      <c r="P456" s="220">
        <f t="shared" si="241"/>
        <v>0</v>
      </c>
      <c r="Q456" s="220">
        <f t="shared" si="241"/>
        <v>0</v>
      </c>
      <c r="R456" s="220">
        <f t="shared" si="241"/>
        <v>0</v>
      </c>
      <c r="S456" s="220">
        <f t="shared" si="241"/>
        <v>0</v>
      </c>
      <c r="T456" s="220">
        <f t="shared" si="241"/>
        <v>0</v>
      </c>
      <c r="U456" s="220">
        <f t="shared" si="241"/>
        <v>0</v>
      </c>
      <c r="V456" s="220">
        <f t="shared" si="241"/>
        <v>0</v>
      </c>
      <c r="W456" s="220">
        <f t="shared" si="241"/>
        <v>0</v>
      </c>
      <c r="X456" s="220">
        <f t="shared" si="241"/>
        <v>0</v>
      </c>
      <c r="Y456" s="220">
        <f t="shared" si="241"/>
        <v>0</v>
      </c>
      <c r="Z456" s="220">
        <f t="shared" si="241"/>
        <v>0</v>
      </c>
      <c r="AA456" s="220">
        <f t="shared" si="241"/>
        <v>0</v>
      </c>
      <c r="AB456" s="220">
        <f t="shared" si="241"/>
        <v>0</v>
      </c>
      <c r="AC456" s="220">
        <f t="shared" si="241"/>
        <v>0</v>
      </c>
      <c r="AD456" s="220">
        <f t="shared" si="241"/>
        <v>0</v>
      </c>
      <c r="AE456" s="220">
        <f t="shared" si="241"/>
        <v>0</v>
      </c>
      <c r="AF456" s="220">
        <f t="shared" si="241"/>
        <v>0</v>
      </c>
      <c r="AG456" s="220">
        <f t="shared" si="241"/>
        <v>0</v>
      </c>
      <c r="AH456" s="220">
        <f t="shared" si="241"/>
        <v>0</v>
      </c>
      <c r="AI456" s="220">
        <f t="shared" si="241"/>
        <v>0</v>
      </c>
      <c r="AJ456" s="220">
        <f t="shared" si="241"/>
        <v>0</v>
      </c>
      <c r="AK456" s="220">
        <f t="shared" si="241"/>
        <v>0</v>
      </c>
      <c r="AL456" s="220">
        <f t="shared" si="241"/>
        <v>0</v>
      </c>
      <c r="AM456" s="220">
        <f t="shared" si="241"/>
        <v>0</v>
      </c>
      <c r="AN456" s="220">
        <f t="shared" si="241"/>
        <v>0</v>
      </c>
      <c r="AO456" s="220">
        <f t="shared" si="241"/>
        <v>0</v>
      </c>
      <c r="AP456" s="220">
        <f t="shared" si="241"/>
        <v>0</v>
      </c>
    </row>
    <row r="457" spans="1:42" x14ac:dyDescent="0.2">
      <c r="A457" s="4">
        <f t="shared" si="240"/>
        <v>4</v>
      </c>
      <c r="C457" s="220">
        <f t="shared" ref="C457:AP457" si="242">C323</f>
        <v>0</v>
      </c>
      <c r="D457" s="220">
        <f t="shared" si="242"/>
        <v>0</v>
      </c>
      <c r="E457" s="220">
        <f t="shared" si="242"/>
        <v>0</v>
      </c>
      <c r="F457" s="220">
        <f t="shared" si="242"/>
        <v>0</v>
      </c>
      <c r="G457" s="220">
        <f t="shared" si="242"/>
        <v>0</v>
      </c>
      <c r="H457" s="220">
        <f t="shared" si="242"/>
        <v>0</v>
      </c>
      <c r="I457" s="220">
        <f t="shared" si="242"/>
        <v>0</v>
      </c>
      <c r="J457" s="220">
        <f t="shared" si="242"/>
        <v>0</v>
      </c>
      <c r="K457" s="220">
        <f t="shared" si="242"/>
        <v>0</v>
      </c>
      <c r="L457" s="220">
        <f t="shared" si="242"/>
        <v>0</v>
      </c>
      <c r="M457" s="220">
        <f t="shared" si="242"/>
        <v>0</v>
      </c>
      <c r="N457" s="220">
        <f t="shared" si="242"/>
        <v>0</v>
      </c>
      <c r="O457" s="220">
        <f t="shared" si="242"/>
        <v>0</v>
      </c>
      <c r="P457" s="220">
        <f t="shared" si="242"/>
        <v>0</v>
      </c>
      <c r="Q457" s="220">
        <f t="shared" si="242"/>
        <v>0</v>
      </c>
      <c r="R457" s="220">
        <f t="shared" si="242"/>
        <v>0</v>
      </c>
      <c r="S457" s="220">
        <f t="shared" si="242"/>
        <v>0</v>
      </c>
      <c r="T457" s="220">
        <f t="shared" si="242"/>
        <v>0</v>
      </c>
      <c r="U457" s="220">
        <f t="shared" si="242"/>
        <v>0</v>
      </c>
      <c r="V457" s="220">
        <f t="shared" si="242"/>
        <v>0</v>
      </c>
      <c r="W457" s="220">
        <f t="shared" si="242"/>
        <v>0</v>
      </c>
      <c r="X457" s="220">
        <f t="shared" si="242"/>
        <v>0</v>
      </c>
      <c r="Y457" s="220">
        <f t="shared" si="242"/>
        <v>0</v>
      </c>
      <c r="Z457" s="220">
        <f t="shared" si="242"/>
        <v>0</v>
      </c>
      <c r="AA457" s="220">
        <f t="shared" si="242"/>
        <v>0</v>
      </c>
      <c r="AB457" s="220">
        <f t="shared" si="242"/>
        <v>0</v>
      </c>
      <c r="AC457" s="220">
        <f t="shared" si="242"/>
        <v>0</v>
      </c>
      <c r="AD457" s="220">
        <f t="shared" si="242"/>
        <v>0</v>
      </c>
      <c r="AE457" s="220">
        <f t="shared" si="242"/>
        <v>0</v>
      </c>
      <c r="AF457" s="220">
        <f t="shared" si="242"/>
        <v>0</v>
      </c>
      <c r="AG457" s="220">
        <f t="shared" si="242"/>
        <v>0</v>
      </c>
      <c r="AH457" s="220">
        <f t="shared" si="242"/>
        <v>0</v>
      </c>
      <c r="AI457" s="220">
        <f t="shared" si="242"/>
        <v>0</v>
      </c>
      <c r="AJ457" s="220">
        <f t="shared" si="242"/>
        <v>0</v>
      </c>
      <c r="AK457" s="220">
        <f t="shared" si="242"/>
        <v>0</v>
      </c>
      <c r="AL457" s="220">
        <f t="shared" si="242"/>
        <v>0</v>
      </c>
      <c r="AM457" s="220">
        <f t="shared" si="242"/>
        <v>0</v>
      </c>
      <c r="AN457" s="220">
        <f t="shared" si="242"/>
        <v>0</v>
      </c>
      <c r="AO457" s="220">
        <f t="shared" si="242"/>
        <v>0</v>
      </c>
      <c r="AP457" s="220">
        <f t="shared" si="242"/>
        <v>0</v>
      </c>
    </row>
    <row r="458" spans="1:42" x14ac:dyDescent="0.2">
      <c r="A458" s="4">
        <f t="shared" si="240"/>
        <v>5</v>
      </c>
      <c r="C458" s="220">
        <f t="shared" ref="C458:AP458" si="243">C324</f>
        <v>0</v>
      </c>
      <c r="D458" s="220">
        <f t="shared" si="243"/>
        <v>0</v>
      </c>
      <c r="E458" s="220">
        <f t="shared" si="243"/>
        <v>0</v>
      </c>
      <c r="F458" s="220">
        <f t="shared" si="243"/>
        <v>0</v>
      </c>
      <c r="G458" s="220">
        <f t="shared" si="243"/>
        <v>0</v>
      </c>
      <c r="H458" s="220">
        <f t="shared" si="243"/>
        <v>0</v>
      </c>
      <c r="I458" s="220">
        <f t="shared" si="243"/>
        <v>0</v>
      </c>
      <c r="J458" s="220">
        <f t="shared" si="243"/>
        <v>0</v>
      </c>
      <c r="K458" s="220">
        <f t="shared" si="243"/>
        <v>0</v>
      </c>
      <c r="L458" s="220">
        <f t="shared" si="243"/>
        <v>0</v>
      </c>
      <c r="M458" s="220">
        <f t="shared" si="243"/>
        <v>0</v>
      </c>
      <c r="N458" s="220">
        <f t="shared" si="243"/>
        <v>0</v>
      </c>
      <c r="O458" s="220">
        <f t="shared" si="243"/>
        <v>0</v>
      </c>
      <c r="P458" s="220">
        <f t="shared" si="243"/>
        <v>0</v>
      </c>
      <c r="Q458" s="220">
        <f t="shared" si="243"/>
        <v>0</v>
      </c>
      <c r="R458" s="220">
        <f t="shared" si="243"/>
        <v>0</v>
      </c>
      <c r="S458" s="220">
        <f t="shared" si="243"/>
        <v>0</v>
      </c>
      <c r="T458" s="220">
        <f t="shared" si="243"/>
        <v>0</v>
      </c>
      <c r="U458" s="220">
        <f t="shared" si="243"/>
        <v>0</v>
      </c>
      <c r="V458" s="220">
        <f t="shared" si="243"/>
        <v>0</v>
      </c>
      <c r="W458" s="220">
        <f t="shared" si="243"/>
        <v>0</v>
      </c>
      <c r="X458" s="220">
        <f t="shared" si="243"/>
        <v>0</v>
      </c>
      <c r="Y458" s="220">
        <f t="shared" si="243"/>
        <v>0</v>
      </c>
      <c r="Z458" s="220">
        <f t="shared" si="243"/>
        <v>0</v>
      </c>
      <c r="AA458" s="220">
        <f t="shared" si="243"/>
        <v>0</v>
      </c>
      <c r="AB458" s="220">
        <f t="shared" si="243"/>
        <v>0</v>
      </c>
      <c r="AC458" s="220">
        <f t="shared" si="243"/>
        <v>0</v>
      </c>
      <c r="AD458" s="220">
        <f t="shared" si="243"/>
        <v>0</v>
      </c>
      <c r="AE458" s="220">
        <f t="shared" si="243"/>
        <v>0</v>
      </c>
      <c r="AF458" s="220">
        <f t="shared" si="243"/>
        <v>0</v>
      </c>
      <c r="AG458" s="220">
        <f t="shared" si="243"/>
        <v>0</v>
      </c>
      <c r="AH458" s="220">
        <f t="shared" si="243"/>
        <v>0</v>
      </c>
      <c r="AI458" s="220">
        <f t="shared" si="243"/>
        <v>0</v>
      </c>
      <c r="AJ458" s="220">
        <f t="shared" si="243"/>
        <v>0</v>
      </c>
      <c r="AK458" s="220">
        <f t="shared" si="243"/>
        <v>0</v>
      </c>
      <c r="AL458" s="220">
        <f t="shared" si="243"/>
        <v>0</v>
      </c>
      <c r="AM458" s="220">
        <f t="shared" si="243"/>
        <v>0</v>
      </c>
      <c r="AN458" s="220">
        <f t="shared" si="243"/>
        <v>0</v>
      </c>
      <c r="AO458" s="220">
        <f t="shared" si="243"/>
        <v>0</v>
      </c>
      <c r="AP458" s="220">
        <f t="shared" si="243"/>
        <v>0</v>
      </c>
    </row>
    <row r="459" spans="1:42" x14ac:dyDescent="0.2">
      <c r="A459" s="4">
        <f t="shared" si="240"/>
        <v>6</v>
      </c>
      <c r="C459" s="220">
        <f t="shared" ref="C459:AP459" si="244">C325</f>
        <v>0</v>
      </c>
      <c r="D459" s="220">
        <f t="shared" si="244"/>
        <v>0</v>
      </c>
      <c r="E459" s="220">
        <f t="shared" si="244"/>
        <v>0</v>
      </c>
      <c r="F459" s="220">
        <f t="shared" si="244"/>
        <v>0</v>
      </c>
      <c r="G459" s="220">
        <f t="shared" si="244"/>
        <v>0</v>
      </c>
      <c r="H459" s="220">
        <f t="shared" si="244"/>
        <v>0</v>
      </c>
      <c r="I459" s="220">
        <f t="shared" si="244"/>
        <v>0</v>
      </c>
      <c r="J459" s="220">
        <f t="shared" si="244"/>
        <v>0</v>
      </c>
      <c r="K459" s="220">
        <f t="shared" si="244"/>
        <v>0</v>
      </c>
      <c r="L459" s="220">
        <f t="shared" si="244"/>
        <v>0</v>
      </c>
      <c r="M459" s="220">
        <f t="shared" si="244"/>
        <v>0</v>
      </c>
      <c r="N459" s="220">
        <f t="shared" si="244"/>
        <v>0</v>
      </c>
      <c r="O459" s="220">
        <f t="shared" si="244"/>
        <v>0</v>
      </c>
      <c r="P459" s="220">
        <f t="shared" si="244"/>
        <v>0</v>
      </c>
      <c r="Q459" s="220">
        <f t="shared" si="244"/>
        <v>0</v>
      </c>
      <c r="R459" s="220">
        <f t="shared" si="244"/>
        <v>0</v>
      </c>
      <c r="S459" s="220">
        <f t="shared" si="244"/>
        <v>0</v>
      </c>
      <c r="T459" s="220">
        <f t="shared" si="244"/>
        <v>0</v>
      </c>
      <c r="U459" s="220">
        <f t="shared" si="244"/>
        <v>0</v>
      </c>
      <c r="V459" s="220">
        <f t="shared" si="244"/>
        <v>0</v>
      </c>
      <c r="W459" s="220">
        <f t="shared" si="244"/>
        <v>0</v>
      </c>
      <c r="X459" s="220">
        <f t="shared" si="244"/>
        <v>0</v>
      </c>
      <c r="Y459" s="220">
        <f t="shared" si="244"/>
        <v>0</v>
      </c>
      <c r="Z459" s="220">
        <f t="shared" si="244"/>
        <v>0</v>
      </c>
      <c r="AA459" s="220">
        <f t="shared" si="244"/>
        <v>0</v>
      </c>
      <c r="AB459" s="220">
        <f t="shared" si="244"/>
        <v>0</v>
      </c>
      <c r="AC459" s="220">
        <f t="shared" si="244"/>
        <v>0</v>
      </c>
      <c r="AD459" s="220">
        <f t="shared" si="244"/>
        <v>0</v>
      </c>
      <c r="AE459" s="220">
        <f t="shared" si="244"/>
        <v>0</v>
      </c>
      <c r="AF459" s="220">
        <f t="shared" si="244"/>
        <v>0</v>
      </c>
      <c r="AG459" s="220">
        <f t="shared" si="244"/>
        <v>0</v>
      </c>
      <c r="AH459" s="220">
        <f t="shared" si="244"/>
        <v>0</v>
      </c>
      <c r="AI459" s="220">
        <f t="shared" si="244"/>
        <v>0</v>
      </c>
      <c r="AJ459" s="220">
        <f t="shared" si="244"/>
        <v>0</v>
      </c>
      <c r="AK459" s="220">
        <f t="shared" si="244"/>
        <v>0</v>
      </c>
      <c r="AL459" s="220">
        <f t="shared" si="244"/>
        <v>0</v>
      </c>
      <c r="AM459" s="220">
        <f t="shared" si="244"/>
        <v>0</v>
      </c>
      <c r="AN459" s="220">
        <f t="shared" si="244"/>
        <v>0</v>
      </c>
      <c r="AO459" s="220">
        <f t="shared" si="244"/>
        <v>0</v>
      </c>
      <c r="AP459" s="220">
        <f t="shared" si="244"/>
        <v>0</v>
      </c>
    </row>
    <row r="460" spans="1:42" x14ac:dyDescent="0.2">
      <c r="A460" s="4">
        <f t="shared" si="240"/>
        <v>7</v>
      </c>
      <c r="C460" s="220">
        <f t="shared" ref="C460:AP460" si="245">C326</f>
        <v>0</v>
      </c>
      <c r="D460" s="220">
        <f t="shared" si="245"/>
        <v>0</v>
      </c>
      <c r="E460" s="220">
        <f t="shared" si="245"/>
        <v>0</v>
      </c>
      <c r="F460" s="220">
        <f t="shared" si="245"/>
        <v>0</v>
      </c>
      <c r="G460" s="220">
        <f t="shared" si="245"/>
        <v>0</v>
      </c>
      <c r="H460" s="220">
        <f t="shared" si="245"/>
        <v>0</v>
      </c>
      <c r="I460" s="220">
        <f t="shared" si="245"/>
        <v>0</v>
      </c>
      <c r="J460" s="220">
        <f t="shared" si="245"/>
        <v>0</v>
      </c>
      <c r="K460" s="220">
        <f t="shared" si="245"/>
        <v>0</v>
      </c>
      <c r="L460" s="220">
        <f t="shared" si="245"/>
        <v>0</v>
      </c>
      <c r="M460" s="220">
        <f t="shared" si="245"/>
        <v>0</v>
      </c>
      <c r="N460" s="220">
        <f t="shared" si="245"/>
        <v>0</v>
      </c>
      <c r="O460" s="220">
        <f t="shared" si="245"/>
        <v>0</v>
      </c>
      <c r="P460" s="220">
        <f t="shared" si="245"/>
        <v>0</v>
      </c>
      <c r="Q460" s="220">
        <f t="shared" si="245"/>
        <v>0</v>
      </c>
      <c r="R460" s="220">
        <f t="shared" si="245"/>
        <v>0</v>
      </c>
      <c r="S460" s="220">
        <f t="shared" si="245"/>
        <v>0</v>
      </c>
      <c r="T460" s="220">
        <f t="shared" si="245"/>
        <v>0</v>
      </c>
      <c r="U460" s="220">
        <f t="shared" si="245"/>
        <v>0</v>
      </c>
      <c r="V460" s="220">
        <f t="shared" si="245"/>
        <v>0</v>
      </c>
      <c r="W460" s="220">
        <f t="shared" si="245"/>
        <v>0</v>
      </c>
      <c r="X460" s="220">
        <f t="shared" si="245"/>
        <v>0</v>
      </c>
      <c r="Y460" s="220">
        <f t="shared" si="245"/>
        <v>0</v>
      </c>
      <c r="Z460" s="220">
        <f t="shared" si="245"/>
        <v>0</v>
      </c>
      <c r="AA460" s="220">
        <f t="shared" si="245"/>
        <v>0</v>
      </c>
      <c r="AB460" s="220">
        <f t="shared" si="245"/>
        <v>0</v>
      </c>
      <c r="AC460" s="220">
        <f t="shared" si="245"/>
        <v>0</v>
      </c>
      <c r="AD460" s="220">
        <f t="shared" si="245"/>
        <v>0</v>
      </c>
      <c r="AE460" s="220">
        <f t="shared" si="245"/>
        <v>0</v>
      </c>
      <c r="AF460" s="220">
        <f t="shared" si="245"/>
        <v>0</v>
      </c>
      <c r="AG460" s="220">
        <f t="shared" si="245"/>
        <v>0</v>
      </c>
      <c r="AH460" s="220">
        <f t="shared" si="245"/>
        <v>0</v>
      </c>
      <c r="AI460" s="220">
        <f t="shared" si="245"/>
        <v>0</v>
      </c>
      <c r="AJ460" s="220">
        <f t="shared" si="245"/>
        <v>0</v>
      </c>
      <c r="AK460" s="220">
        <f t="shared" si="245"/>
        <v>0</v>
      </c>
      <c r="AL460" s="220">
        <f t="shared" si="245"/>
        <v>0</v>
      </c>
      <c r="AM460" s="220">
        <f t="shared" si="245"/>
        <v>0</v>
      </c>
      <c r="AN460" s="220">
        <f t="shared" si="245"/>
        <v>0</v>
      </c>
      <c r="AO460" s="220">
        <f t="shared" si="245"/>
        <v>0</v>
      </c>
      <c r="AP460" s="220">
        <f t="shared" si="245"/>
        <v>0</v>
      </c>
    </row>
    <row r="461" spans="1:42" x14ac:dyDescent="0.2">
      <c r="A461" s="4">
        <f t="shared" si="240"/>
        <v>8</v>
      </c>
      <c r="C461" s="220">
        <f t="shared" ref="C461:AP461" si="246">C327</f>
        <v>0</v>
      </c>
      <c r="D461" s="220">
        <f t="shared" si="246"/>
        <v>0</v>
      </c>
      <c r="E461" s="220">
        <f t="shared" si="246"/>
        <v>0</v>
      </c>
      <c r="F461" s="220">
        <f t="shared" si="246"/>
        <v>0</v>
      </c>
      <c r="G461" s="220">
        <f t="shared" si="246"/>
        <v>0</v>
      </c>
      <c r="H461" s="220">
        <f t="shared" si="246"/>
        <v>0</v>
      </c>
      <c r="I461" s="220">
        <f t="shared" si="246"/>
        <v>0</v>
      </c>
      <c r="J461" s="220">
        <f t="shared" si="246"/>
        <v>0</v>
      </c>
      <c r="K461" s="220">
        <f t="shared" si="246"/>
        <v>0</v>
      </c>
      <c r="L461" s="220">
        <f t="shared" si="246"/>
        <v>0</v>
      </c>
      <c r="M461" s="220">
        <f t="shared" si="246"/>
        <v>0</v>
      </c>
      <c r="N461" s="220">
        <f t="shared" si="246"/>
        <v>0</v>
      </c>
      <c r="O461" s="220">
        <f t="shared" si="246"/>
        <v>0</v>
      </c>
      <c r="P461" s="220">
        <f t="shared" si="246"/>
        <v>0</v>
      </c>
      <c r="Q461" s="220">
        <f t="shared" si="246"/>
        <v>0</v>
      </c>
      <c r="R461" s="220">
        <f t="shared" si="246"/>
        <v>0</v>
      </c>
      <c r="S461" s="220">
        <f t="shared" si="246"/>
        <v>0</v>
      </c>
      <c r="T461" s="220">
        <f t="shared" si="246"/>
        <v>0</v>
      </c>
      <c r="U461" s="220">
        <f t="shared" si="246"/>
        <v>0</v>
      </c>
      <c r="V461" s="220">
        <f t="shared" si="246"/>
        <v>0</v>
      </c>
      <c r="W461" s="220">
        <f t="shared" si="246"/>
        <v>0</v>
      </c>
      <c r="X461" s="220">
        <f t="shared" si="246"/>
        <v>0</v>
      </c>
      <c r="Y461" s="220">
        <f t="shared" si="246"/>
        <v>0</v>
      </c>
      <c r="Z461" s="220">
        <f t="shared" si="246"/>
        <v>0</v>
      </c>
      <c r="AA461" s="220">
        <f t="shared" si="246"/>
        <v>0</v>
      </c>
      <c r="AB461" s="220">
        <f t="shared" si="246"/>
        <v>0</v>
      </c>
      <c r="AC461" s="220">
        <f t="shared" si="246"/>
        <v>0</v>
      </c>
      <c r="AD461" s="220">
        <f t="shared" si="246"/>
        <v>0</v>
      </c>
      <c r="AE461" s="220">
        <f t="shared" si="246"/>
        <v>0</v>
      </c>
      <c r="AF461" s="220">
        <f t="shared" si="246"/>
        <v>0</v>
      </c>
      <c r="AG461" s="220">
        <f t="shared" si="246"/>
        <v>0</v>
      </c>
      <c r="AH461" s="220">
        <f t="shared" si="246"/>
        <v>0</v>
      </c>
      <c r="AI461" s="220">
        <f t="shared" si="246"/>
        <v>0</v>
      </c>
      <c r="AJ461" s="220">
        <f t="shared" si="246"/>
        <v>0</v>
      </c>
      <c r="AK461" s="220">
        <f t="shared" si="246"/>
        <v>0</v>
      </c>
      <c r="AL461" s="220">
        <f t="shared" si="246"/>
        <v>0</v>
      </c>
      <c r="AM461" s="220">
        <f t="shared" si="246"/>
        <v>0</v>
      </c>
      <c r="AN461" s="220">
        <f t="shared" si="246"/>
        <v>0</v>
      </c>
      <c r="AO461" s="220">
        <f t="shared" si="246"/>
        <v>0</v>
      </c>
      <c r="AP461" s="220">
        <f t="shared" si="246"/>
        <v>0</v>
      </c>
    </row>
    <row r="462" spans="1:42" x14ac:dyDescent="0.2">
      <c r="A462" s="4">
        <f>A461+1</f>
        <v>9</v>
      </c>
      <c r="C462" s="220">
        <f t="shared" ref="C462:AP462" si="247">C328</f>
        <v>0</v>
      </c>
      <c r="D462" s="220">
        <f t="shared" si="247"/>
        <v>0</v>
      </c>
      <c r="E462" s="220">
        <f t="shared" si="247"/>
        <v>0</v>
      </c>
      <c r="F462" s="220">
        <f t="shared" si="247"/>
        <v>0</v>
      </c>
      <c r="G462" s="220">
        <f t="shared" si="247"/>
        <v>0</v>
      </c>
      <c r="H462" s="220">
        <f t="shared" si="247"/>
        <v>0</v>
      </c>
      <c r="I462" s="220">
        <f t="shared" si="247"/>
        <v>0</v>
      </c>
      <c r="J462" s="220">
        <f t="shared" si="247"/>
        <v>0</v>
      </c>
      <c r="K462" s="220">
        <f t="shared" si="247"/>
        <v>0</v>
      </c>
      <c r="L462" s="220">
        <f t="shared" si="247"/>
        <v>0</v>
      </c>
      <c r="M462" s="220">
        <f t="shared" si="247"/>
        <v>0</v>
      </c>
      <c r="N462" s="220">
        <f t="shared" si="247"/>
        <v>0</v>
      </c>
      <c r="O462" s="220">
        <f t="shared" si="247"/>
        <v>0</v>
      </c>
      <c r="P462" s="220">
        <f t="shared" si="247"/>
        <v>0</v>
      </c>
      <c r="Q462" s="220">
        <f t="shared" si="247"/>
        <v>0</v>
      </c>
      <c r="R462" s="220">
        <f t="shared" si="247"/>
        <v>0</v>
      </c>
      <c r="S462" s="220">
        <f t="shared" si="247"/>
        <v>0</v>
      </c>
      <c r="T462" s="220">
        <f t="shared" si="247"/>
        <v>0</v>
      </c>
      <c r="U462" s="220">
        <f t="shared" si="247"/>
        <v>0</v>
      </c>
      <c r="V462" s="220">
        <f t="shared" si="247"/>
        <v>0</v>
      </c>
      <c r="W462" s="220">
        <f t="shared" si="247"/>
        <v>0</v>
      </c>
      <c r="X462" s="220">
        <f t="shared" si="247"/>
        <v>0</v>
      </c>
      <c r="Y462" s="220">
        <f t="shared" si="247"/>
        <v>0</v>
      </c>
      <c r="Z462" s="220">
        <f t="shared" si="247"/>
        <v>0</v>
      </c>
      <c r="AA462" s="220">
        <f t="shared" si="247"/>
        <v>0</v>
      </c>
      <c r="AB462" s="220">
        <f t="shared" si="247"/>
        <v>0</v>
      </c>
      <c r="AC462" s="220">
        <f t="shared" si="247"/>
        <v>0</v>
      </c>
      <c r="AD462" s="220">
        <f t="shared" si="247"/>
        <v>0</v>
      </c>
      <c r="AE462" s="220">
        <f t="shared" si="247"/>
        <v>0</v>
      </c>
      <c r="AF462" s="220">
        <f t="shared" si="247"/>
        <v>0</v>
      </c>
      <c r="AG462" s="220">
        <f t="shared" si="247"/>
        <v>0</v>
      </c>
      <c r="AH462" s="220">
        <f t="shared" si="247"/>
        <v>0</v>
      </c>
      <c r="AI462" s="220">
        <f t="shared" si="247"/>
        <v>0</v>
      </c>
      <c r="AJ462" s="220">
        <f t="shared" si="247"/>
        <v>0</v>
      </c>
      <c r="AK462" s="220">
        <f t="shared" si="247"/>
        <v>0</v>
      </c>
      <c r="AL462" s="220">
        <f t="shared" si="247"/>
        <v>0</v>
      </c>
      <c r="AM462" s="220">
        <f t="shared" si="247"/>
        <v>0</v>
      </c>
      <c r="AN462" s="220">
        <f t="shared" si="247"/>
        <v>0</v>
      </c>
      <c r="AO462" s="220">
        <f t="shared" si="247"/>
        <v>0</v>
      </c>
      <c r="AP462" s="220">
        <f t="shared" si="247"/>
        <v>0</v>
      </c>
    </row>
    <row r="463" spans="1:42" x14ac:dyDescent="0.2">
      <c r="A463" s="4">
        <f t="shared" ref="A463" si="248">A462+1</f>
        <v>10</v>
      </c>
      <c r="C463" s="220">
        <f t="shared" ref="C463:AP463" si="249">C329</f>
        <v>0</v>
      </c>
      <c r="D463" s="220">
        <f t="shared" si="249"/>
        <v>0</v>
      </c>
      <c r="E463" s="220">
        <f t="shared" si="249"/>
        <v>0</v>
      </c>
      <c r="F463" s="220">
        <f t="shared" si="249"/>
        <v>0</v>
      </c>
      <c r="G463" s="220">
        <f t="shared" si="249"/>
        <v>0</v>
      </c>
      <c r="H463" s="220">
        <f t="shared" si="249"/>
        <v>0</v>
      </c>
      <c r="I463" s="220">
        <f t="shared" si="249"/>
        <v>0</v>
      </c>
      <c r="J463" s="220">
        <f t="shared" si="249"/>
        <v>0</v>
      </c>
      <c r="K463" s="220">
        <f t="shared" si="249"/>
        <v>0</v>
      </c>
      <c r="L463" s="220">
        <f t="shared" si="249"/>
        <v>0</v>
      </c>
      <c r="M463" s="220">
        <f t="shared" si="249"/>
        <v>0</v>
      </c>
      <c r="N463" s="220">
        <f t="shared" si="249"/>
        <v>0</v>
      </c>
      <c r="O463" s="220">
        <f t="shared" si="249"/>
        <v>0</v>
      </c>
      <c r="P463" s="220">
        <f t="shared" si="249"/>
        <v>0</v>
      </c>
      <c r="Q463" s="220">
        <f t="shared" si="249"/>
        <v>0</v>
      </c>
      <c r="R463" s="220">
        <f t="shared" si="249"/>
        <v>0</v>
      </c>
      <c r="S463" s="220">
        <f t="shared" si="249"/>
        <v>0</v>
      </c>
      <c r="T463" s="220">
        <f t="shared" si="249"/>
        <v>0</v>
      </c>
      <c r="U463" s="220">
        <f t="shared" si="249"/>
        <v>0</v>
      </c>
      <c r="V463" s="220">
        <f t="shared" si="249"/>
        <v>0</v>
      </c>
      <c r="W463" s="220">
        <f t="shared" si="249"/>
        <v>0</v>
      </c>
      <c r="X463" s="220">
        <f t="shared" si="249"/>
        <v>0</v>
      </c>
      <c r="Y463" s="220">
        <f t="shared" si="249"/>
        <v>0</v>
      </c>
      <c r="Z463" s="220">
        <f t="shared" si="249"/>
        <v>0</v>
      </c>
      <c r="AA463" s="220">
        <f t="shared" si="249"/>
        <v>0</v>
      </c>
      <c r="AB463" s="220">
        <f t="shared" si="249"/>
        <v>0</v>
      </c>
      <c r="AC463" s="220">
        <f t="shared" si="249"/>
        <v>0</v>
      </c>
      <c r="AD463" s="220">
        <f t="shared" si="249"/>
        <v>0</v>
      </c>
      <c r="AE463" s="220">
        <f t="shared" si="249"/>
        <v>0</v>
      </c>
      <c r="AF463" s="220">
        <f t="shared" si="249"/>
        <v>0</v>
      </c>
      <c r="AG463" s="220">
        <f t="shared" si="249"/>
        <v>0</v>
      </c>
      <c r="AH463" s="220">
        <f t="shared" si="249"/>
        <v>0</v>
      </c>
      <c r="AI463" s="220">
        <f t="shared" si="249"/>
        <v>0</v>
      </c>
      <c r="AJ463" s="220">
        <f t="shared" si="249"/>
        <v>0</v>
      </c>
      <c r="AK463" s="220">
        <f t="shared" si="249"/>
        <v>0</v>
      </c>
      <c r="AL463" s="220">
        <f t="shared" si="249"/>
        <v>0</v>
      </c>
      <c r="AM463" s="220">
        <f t="shared" si="249"/>
        <v>0</v>
      </c>
      <c r="AN463" s="220">
        <f t="shared" si="249"/>
        <v>0</v>
      </c>
      <c r="AO463" s="220">
        <f t="shared" si="249"/>
        <v>0</v>
      </c>
      <c r="AP463" s="220">
        <f t="shared" si="249"/>
        <v>0</v>
      </c>
    </row>
    <row r="464" spans="1:42" x14ac:dyDescent="0.2">
      <c r="A464" s="33"/>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row>
    <row r="465" spans="1:42" x14ac:dyDescent="0.2">
      <c r="A465" s="33" t="s">
        <v>95</v>
      </c>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row>
    <row r="466" spans="1:42" x14ac:dyDescent="0.2">
      <c r="A466" s="4">
        <v>1</v>
      </c>
      <c r="B466" s="240">
        <f t="shared" ref="B466:B475" si="250">SUM(C466:AP466)</f>
        <v>0</v>
      </c>
      <c r="C466" s="242">
        <f t="shared" ref="C466:AP466" si="251">LOOKUP(C454,$B$397:$AP$397,$B$398:$AP$398)*$B642/100</f>
        <v>0</v>
      </c>
      <c r="D466" s="242">
        <f t="shared" si="251"/>
        <v>0</v>
      </c>
      <c r="E466" s="242">
        <f t="shared" si="251"/>
        <v>0</v>
      </c>
      <c r="F466" s="242">
        <f t="shared" si="251"/>
        <v>0</v>
      </c>
      <c r="G466" s="242">
        <f t="shared" si="251"/>
        <v>0</v>
      </c>
      <c r="H466" s="242">
        <f t="shared" si="251"/>
        <v>0</v>
      </c>
      <c r="I466" s="242">
        <f t="shared" si="251"/>
        <v>0</v>
      </c>
      <c r="J466" s="242">
        <f t="shared" si="251"/>
        <v>0</v>
      </c>
      <c r="K466" s="242">
        <f t="shared" si="251"/>
        <v>0</v>
      </c>
      <c r="L466" s="242">
        <f t="shared" si="251"/>
        <v>0</v>
      </c>
      <c r="M466" s="242">
        <f t="shared" si="251"/>
        <v>0</v>
      </c>
      <c r="N466" s="242">
        <f t="shared" si="251"/>
        <v>0</v>
      </c>
      <c r="O466" s="242">
        <f t="shared" si="251"/>
        <v>0</v>
      </c>
      <c r="P466" s="242">
        <f t="shared" si="251"/>
        <v>0</v>
      </c>
      <c r="Q466" s="242">
        <f t="shared" si="251"/>
        <v>0</v>
      </c>
      <c r="R466" s="242">
        <f t="shared" si="251"/>
        <v>0</v>
      </c>
      <c r="S466" s="242">
        <f t="shared" si="251"/>
        <v>0</v>
      </c>
      <c r="T466" s="242">
        <f t="shared" si="251"/>
        <v>0</v>
      </c>
      <c r="U466" s="242">
        <f t="shared" si="251"/>
        <v>0</v>
      </c>
      <c r="V466" s="242">
        <f t="shared" si="251"/>
        <v>0</v>
      </c>
      <c r="W466" s="242">
        <f t="shared" si="251"/>
        <v>0</v>
      </c>
      <c r="X466" s="242">
        <f t="shared" si="251"/>
        <v>0</v>
      </c>
      <c r="Y466" s="242">
        <f t="shared" si="251"/>
        <v>0</v>
      </c>
      <c r="Z466" s="242">
        <f t="shared" si="251"/>
        <v>0</v>
      </c>
      <c r="AA466" s="242">
        <f t="shared" si="251"/>
        <v>0</v>
      </c>
      <c r="AB466" s="242">
        <f t="shared" si="251"/>
        <v>0</v>
      </c>
      <c r="AC466" s="242">
        <f t="shared" si="251"/>
        <v>0</v>
      </c>
      <c r="AD466" s="242">
        <f t="shared" si="251"/>
        <v>0</v>
      </c>
      <c r="AE466" s="242">
        <f t="shared" si="251"/>
        <v>0</v>
      </c>
      <c r="AF466" s="242">
        <f t="shared" si="251"/>
        <v>0</v>
      </c>
      <c r="AG466" s="242">
        <f t="shared" si="251"/>
        <v>0</v>
      </c>
      <c r="AH466" s="242">
        <f t="shared" si="251"/>
        <v>0</v>
      </c>
      <c r="AI466" s="242">
        <f t="shared" si="251"/>
        <v>0</v>
      </c>
      <c r="AJ466" s="242">
        <f t="shared" si="251"/>
        <v>0</v>
      </c>
      <c r="AK466" s="242">
        <f t="shared" si="251"/>
        <v>0</v>
      </c>
      <c r="AL466" s="242">
        <f t="shared" si="251"/>
        <v>0</v>
      </c>
      <c r="AM466" s="242">
        <f t="shared" si="251"/>
        <v>0</v>
      </c>
      <c r="AN466" s="242">
        <f t="shared" si="251"/>
        <v>0</v>
      </c>
      <c r="AO466" s="242">
        <f t="shared" si="251"/>
        <v>0</v>
      </c>
      <c r="AP466" s="242">
        <f t="shared" si="251"/>
        <v>0</v>
      </c>
    </row>
    <row r="467" spans="1:42" x14ac:dyDescent="0.2">
      <c r="A467" s="4">
        <f>A466+1</f>
        <v>2</v>
      </c>
      <c r="B467" s="240">
        <f t="shared" si="250"/>
        <v>0</v>
      </c>
      <c r="C467" s="242">
        <f t="shared" ref="C467:AP467" si="252">LOOKUP(C455,$B$397:$AP$397,$B$398:$AP$398)*$B643/100</f>
        <v>0</v>
      </c>
      <c r="D467" s="242">
        <f t="shared" si="252"/>
        <v>0</v>
      </c>
      <c r="E467" s="242">
        <f t="shared" si="252"/>
        <v>0</v>
      </c>
      <c r="F467" s="242">
        <f t="shared" si="252"/>
        <v>0</v>
      </c>
      <c r="G467" s="242">
        <f t="shared" si="252"/>
        <v>0</v>
      </c>
      <c r="H467" s="242">
        <f t="shared" si="252"/>
        <v>0</v>
      </c>
      <c r="I467" s="242">
        <f t="shared" si="252"/>
        <v>0</v>
      </c>
      <c r="J467" s="242">
        <f t="shared" si="252"/>
        <v>0</v>
      </c>
      <c r="K467" s="242">
        <f t="shared" si="252"/>
        <v>0</v>
      </c>
      <c r="L467" s="242">
        <f t="shared" si="252"/>
        <v>0</v>
      </c>
      <c r="M467" s="242">
        <f t="shared" si="252"/>
        <v>0</v>
      </c>
      <c r="N467" s="242">
        <f t="shared" si="252"/>
        <v>0</v>
      </c>
      <c r="O467" s="242">
        <f t="shared" si="252"/>
        <v>0</v>
      </c>
      <c r="P467" s="242">
        <f t="shared" si="252"/>
        <v>0</v>
      </c>
      <c r="Q467" s="242">
        <f t="shared" si="252"/>
        <v>0</v>
      </c>
      <c r="R467" s="242">
        <f t="shared" si="252"/>
        <v>0</v>
      </c>
      <c r="S467" s="242">
        <f t="shared" si="252"/>
        <v>0</v>
      </c>
      <c r="T467" s="242">
        <f t="shared" si="252"/>
        <v>0</v>
      </c>
      <c r="U467" s="242">
        <f t="shared" si="252"/>
        <v>0</v>
      </c>
      <c r="V467" s="242">
        <f t="shared" si="252"/>
        <v>0</v>
      </c>
      <c r="W467" s="242">
        <f t="shared" si="252"/>
        <v>0</v>
      </c>
      <c r="X467" s="242">
        <f t="shared" si="252"/>
        <v>0</v>
      </c>
      <c r="Y467" s="242">
        <f t="shared" si="252"/>
        <v>0</v>
      </c>
      <c r="Z467" s="242">
        <f t="shared" si="252"/>
        <v>0</v>
      </c>
      <c r="AA467" s="242">
        <f t="shared" si="252"/>
        <v>0</v>
      </c>
      <c r="AB467" s="242">
        <f t="shared" si="252"/>
        <v>0</v>
      </c>
      <c r="AC467" s="242">
        <f t="shared" si="252"/>
        <v>0</v>
      </c>
      <c r="AD467" s="242">
        <f t="shared" si="252"/>
        <v>0</v>
      </c>
      <c r="AE467" s="242">
        <f t="shared" si="252"/>
        <v>0</v>
      </c>
      <c r="AF467" s="242">
        <f t="shared" si="252"/>
        <v>0</v>
      </c>
      <c r="AG467" s="242">
        <f t="shared" si="252"/>
        <v>0</v>
      </c>
      <c r="AH467" s="242">
        <f t="shared" si="252"/>
        <v>0</v>
      </c>
      <c r="AI467" s="242">
        <f t="shared" si="252"/>
        <v>0</v>
      </c>
      <c r="AJ467" s="242">
        <f t="shared" si="252"/>
        <v>0</v>
      </c>
      <c r="AK467" s="242">
        <f t="shared" si="252"/>
        <v>0</v>
      </c>
      <c r="AL467" s="242">
        <f t="shared" si="252"/>
        <v>0</v>
      </c>
      <c r="AM467" s="242">
        <f t="shared" si="252"/>
        <v>0</v>
      </c>
      <c r="AN467" s="242">
        <f t="shared" si="252"/>
        <v>0</v>
      </c>
      <c r="AO467" s="242">
        <f t="shared" si="252"/>
        <v>0</v>
      </c>
      <c r="AP467" s="242">
        <f t="shared" si="252"/>
        <v>0</v>
      </c>
    </row>
    <row r="468" spans="1:42" x14ac:dyDescent="0.2">
      <c r="A468" s="4">
        <f t="shared" ref="A468:A473" si="253">A467+1</f>
        <v>3</v>
      </c>
      <c r="B468" s="240">
        <f t="shared" si="250"/>
        <v>0</v>
      </c>
      <c r="C468" s="242">
        <f t="shared" ref="C468:AP468" si="254">LOOKUP(C456,$B$397:$AP$397,$B$398:$AP$398)*$B644/100</f>
        <v>0</v>
      </c>
      <c r="D468" s="242">
        <f t="shared" si="254"/>
        <v>0</v>
      </c>
      <c r="E468" s="242">
        <f t="shared" si="254"/>
        <v>0</v>
      </c>
      <c r="F468" s="242">
        <f t="shared" si="254"/>
        <v>0</v>
      </c>
      <c r="G468" s="242">
        <f t="shared" si="254"/>
        <v>0</v>
      </c>
      <c r="H468" s="242">
        <f t="shared" si="254"/>
        <v>0</v>
      </c>
      <c r="I468" s="242">
        <f t="shared" si="254"/>
        <v>0</v>
      </c>
      <c r="J468" s="242">
        <f t="shared" si="254"/>
        <v>0</v>
      </c>
      <c r="K468" s="242">
        <f t="shared" si="254"/>
        <v>0</v>
      </c>
      <c r="L468" s="242">
        <f t="shared" si="254"/>
        <v>0</v>
      </c>
      <c r="M468" s="242">
        <f t="shared" si="254"/>
        <v>0</v>
      </c>
      <c r="N468" s="242">
        <f t="shared" si="254"/>
        <v>0</v>
      </c>
      <c r="O468" s="242">
        <f t="shared" si="254"/>
        <v>0</v>
      </c>
      <c r="P468" s="242">
        <f t="shared" si="254"/>
        <v>0</v>
      </c>
      <c r="Q468" s="242">
        <f t="shared" si="254"/>
        <v>0</v>
      </c>
      <c r="R468" s="242">
        <f t="shared" si="254"/>
        <v>0</v>
      </c>
      <c r="S468" s="242">
        <f t="shared" si="254"/>
        <v>0</v>
      </c>
      <c r="T468" s="242">
        <f t="shared" si="254"/>
        <v>0</v>
      </c>
      <c r="U468" s="242">
        <f t="shared" si="254"/>
        <v>0</v>
      </c>
      <c r="V468" s="242">
        <f t="shared" si="254"/>
        <v>0</v>
      </c>
      <c r="W468" s="242">
        <f t="shared" si="254"/>
        <v>0</v>
      </c>
      <c r="X468" s="242">
        <f t="shared" si="254"/>
        <v>0</v>
      </c>
      <c r="Y468" s="242">
        <f t="shared" si="254"/>
        <v>0</v>
      </c>
      <c r="Z468" s="242">
        <f t="shared" si="254"/>
        <v>0</v>
      </c>
      <c r="AA468" s="242">
        <f t="shared" si="254"/>
        <v>0</v>
      </c>
      <c r="AB468" s="242">
        <f t="shared" si="254"/>
        <v>0</v>
      </c>
      <c r="AC468" s="242">
        <f t="shared" si="254"/>
        <v>0</v>
      </c>
      <c r="AD468" s="242">
        <f t="shared" si="254"/>
        <v>0</v>
      </c>
      <c r="AE468" s="242">
        <f t="shared" si="254"/>
        <v>0</v>
      </c>
      <c r="AF468" s="242">
        <f t="shared" si="254"/>
        <v>0</v>
      </c>
      <c r="AG468" s="242">
        <f t="shared" si="254"/>
        <v>0</v>
      </c>
      <c r="AH468" s="242">
        <f t="shared" si="254"/>
        <v>0</v>
      </c>
      <c r="AI468" s="242">
        <f t="shared" si="254"/>
        <v>0</v>
      </c>
      <c r="AJ468" s="242">
        <f t="shared" si="254"/>
        <v>0</v>
      </c>
      <c r="AK468" s="242">
        <f t="shared" si="254"/>
        <v>0</v>
      </c>
      <c r="AL468" s="242">
        <f t="shared" si="254"/>
        <v>0</v>
      </c>
      <c r="AM468" s="242">
        <f t="shared" si="254"/>
        <v>0</v>
      </c>
      <c r="AN468" s="242">
        <f t="shared" si="254"/>
        <v>0</v>
      </c>
      <c r="AO468" s="242">
        <f t="shared" si="254"/>
        <v>0</v>
      </c>
      <c r="AP468" s="242">
        <f t="shared" si="254"/>
        <v>0</v>
      </c>
    </row>
    <row r="469" spans="1:42" x14ac:dyDescent="0.2">
      <c r="A469" s="4">
        <f t="shared" si="253"/>
        <v>4</v>
      </c>
      <c r="B469" s="240">
        <f t="shared" si="250"/>
        <v>0</v>
      </c>
      <c r="C469" s="242">
        <f t="shared" ref="C469:AP469" si="255">LOOKUP(C457,$B$397:$AP$397,$B$398:$AP$398)*$B645/100</f>
        <v>0</v>
      </c>
      <c r="D469" s="242">
        <f t="shared" si="255"/>
        <v>0</v>
      </c>
      <c r="E469" s="242">
        <f t="shared" si="255"/>
        <v>0</v>
      </c>
      <c r="F469" s="242">
        <f t="shared" si="255"/>
        <v>0</v>
      </c>
      <c r="G469" s="242">
        <f t="shared" si="255"/>
        <v>0</v>
      </c>
      <c r="H469" s="242">
        <f t="shared" si="255"/>
        <v>0</v>
      </c>
      <c r="I469" s="242">
        <f t="shared" si="255"/>
        <v>0</v>
      </c>
      <c r="J469" s="242">
        <f t="shared" si="255"/>
        <v>0</v>
      </c>
      <c r="K469" s="242">
        <f t="shared" si="255"/>
        <v>0</v>
      </c>
      <c r="L469" s="242">
        <f t="shared" si="255"/>
        <v>0</v>
      </c>
      <c r="M469" s="242">
        <f t="shared" si="255"/>
        <v>0</v>
      </c>
      <c r="N469" s="242">
        <f t="shared" si="255"/>
        <v>0</v>
      </c>
      <c r="O469" s="242">
        <f t="shared" si="255"/>
        <v>0</v>
      </c>
      <c r="P469" s="242">
        <f t="shared" si="255"/>
        <v>0</v>
      </c>
      <c r="Q469" s="242">
        <f t="shared" si="255"/>
        <v>0</v>
      </c>
      <c r="R469" s="242">
        <f t="shared" si="255"/>
        <v>0</v>
      </c>
      <c r="S469" s="242">
        <f t="shared" si="255"/>
        <v>0</v>
      </c>
      <c r="T469" s="242">
        <f t="shared" si="255"/>
        <v>0</v>
      </c>
      <c r="U469" s="242">
        <f t="shared" si="255"/>
        <v>0</v>
      </c>
      <c r="V469" s="242">
        <f t="shared" si="255"/>
        <v>0</v>
      </c>
      <c r="W469" s="242">
        <f t="shared" si="255"/>
        <v>0</v>
      </c>
      <c r="X469" s="242">
        <f t="shared" si="255"/>
        <v>0</v>
      </c>
      <c r="Y469" s="242">
        <f t="shared" si="255"/>
        <v>0</v>
      </c>
      <c r="Z469" s="242">
        <f t="shared" si="255"/>
        <v>0</v>
      </c>
      <c r="AA469" s="242">
        <f t="shared" si="255"/>
        <v>0</v>
      </c>
      <c r="AB469" s="242">
        <f t="shared" si="255"/>
        <v>0</v>
      </c>
      <c r="AC469" s="242">
        <f t="shared" si="255"/>
        <v>0</v>
      </c>
      <c r="AD469" s="242">
        <f t="shared" si="255"/>
        <v>0</v>
      </c>
      <c r="AE469" s="242">
        <f t="shared" si="255"/>
        <v>0</v>
      </c>
      <c r="AF469" s="242">
        <f t="shared" si="255"/>
        <v>0</v>
      </c>
      <c r="AG469" s="242">
        <f t="shared" si="255"/>
        <v>0</v>
      </c>
      <c r="AH469" s="242">
        <f t="shared" si="255"/>
        <v>0</v>
      </c>
      <c r="AI469" s="242">
        <f t="shared" si="255"/>
        <v>0</v>
      </c>
      <c r="AJ469" s="242">
        <f t="shared" si="255"/>
        <v>0</v>
      </c>
      <c r="AK469" s="242">
        <f t="shared" si="255"/>
        <v>0</v>
      </c>
      <c r="AL469" s="242">
        <f t="shared" si="255"/>
        <v>0</v>
      </c>
      <c r="AM469" s="242">
        <f t="shared" si="255"/>
        <v>0</v>
      </c>
      <c r="AN469" s="242">
        <f t="shared" si="255"/>
        <v>0</v>
      </c>
      <c r="AO469" s="242">
        <f t="shared" si="255"/>
        <v>0</v>
      </c>
      <c r="AP469" s="242">
        <f t="shared" si="255"/>
        <v>0</v>
      </c>
    </row>
    <row r="470" spans="1:42" x14ac:dyDescent="0.2">
      <c r="A470" s="4">
        <f t="shared" si="253"/>
        <v>5</v>
      </c>
      <c r="B470" s="240">
        <f t="shared" si="250"/>
        <v>0</v>
      </c>
      <c r="C470" s="242">
        <f t="shared" ref="C470:AP470" si="256">LOOKUP(C458,$B$397:$AP$397,$B$398:$AP$398)*$B646/100</f>
        <v>0</v>
      </c>
      <c r="D470" s="242">
        <f t="shared" si="256"/>
        <v>0</v>
      </c>
      <c r="E470" s="242">
        <f t="shared" si="256"/>
        <v>0</v>
      </c>
      <c r="F470" s="242">
        <f t="shared" si="256"/>
        <v>0</v>
      </c>
      <c r="G470" s="242">
        <f t="shared" si="256"/>
        <v>0</v>
      </c>
      <c r="H470" s="242">
        <f t="shared" si="256"/>
        <v>0</v>
      </c>
      <c r="I470" s="242">
        <f t="shared" si="256"/>
        <v>0</v>
      </c>
      <c r="J470" s="242">
        <f t="shared" si="256"/>
        <v>0</v>
      </c>
      <c r="K470" s="242">
        <f t="shared" si="256"/>
        <v>0</v>
      </c>
      <c r="L470" s="242">
        <f t="shared" si="256"/>
        <v>0</v>
      </c>
      <c r="M470" s="242">
        <f t="shared" si="256"/>
        <v>0</v>
      </c>
      <c r="N470" s="242">
        <f t="shared" si="256"/>
        <v>0</v>
      </c>
      <c r="O470" s="242">
        <f t="shared" si="256"/>
        <v>0</v>
      </c>
      <c r="P470" s="242">
        <f t="shared" si="256"/>
        <v>0</v>
      </c>
      <c r="Q470" s="242">
        <f t="shared" si="256"/>
        <v>0</v>
      </c>
      <c r="R470" s="242">
        <f t="shared" si="256"/>
        <v>0</v>
      </c>
      <c r="S470" s="242">
        <f t="shared" si="256"/>
        <v>0</v>
      </c>
      <c r="T470" s="242">
        <f t="shared" si="256"/>
        <v>0</v>
      </c>
      <c r="U470" s="242">
        <f t="shared" si="256"/>
        <v>0</v>
      </c>
      <c r="V470" s="242">
        <f t="shared" si="256"/>
        <v>0</v>
      </c>
      <c r="W470" s="242">
        <f t="shared" si="256"/>
        <v>0</v>
      </c>
      <c r="X470" s="242">
        <f t="shared" si="256"/>
        <v>0</v>
      </c>
      <c r="Y470" s="242">
        <f t="shared" si="256"/>
        <v>0</v>
      </c>
      <c r="Z470" s="242">
        <f t="shared" si="256"/>
        <v>0</v>
      </c>
      <c r="AA470" s="242">
        <f t="shared" si="256"/>
        <v>0</v>
      </c>
      <c r="AB470" s="242">
        <f t="shared" si="256"/>
        <v>0</v>
      </c>
      <c r="AC470" s="242">
        <f t="shared" si="256"/>
        <v>0</v>
      </c>
      <c r="AD470" s="242">
        <f t="shared" si="256"/>
        <v>0</v>
      </c>
      <c r="AE470" s="242">
        <f t="shared" si="256"/>
        <v>0</v>
      </c>
      <c r="AF470" s="242">
        <f t="shared" si="256"/>
        <v>0</v>
      </c>
      <c r="AG470" s="242">
        <f t="shared" si="256"/>
        <v>0</v>
      </c>
      <c r="AH470" s="242">
        <f t="shared" si="256"/>
        <v>0</v>
      </c>
      <c r="AI470" s="242">
        <f t="shared" si="256"/>
        <v>0</v>
      </c>
      <c r="AJ470" s="242">
        <f t="shared" si="256"/>
        <v>0</v>
      </c>
      <c r="AK470" s="242">
        <f t="shared" si="256"/>
        <v>0</v>
      </c>
      <c r="AL470" s="242">
        <f t="shared" si="256"/>
        <v>0</v>
      </c>
      <c r="AM470" s="242">
        <f t="shared" si="256"/>
        <v>0</v>
      </c>
      <c r="AN470" s="242">
        <f t="shared" si="256"/>
        <v>0</v>
      </c>
      <c r="AO470" s="242">
        <f t="shared" si="256"/>
        <v>0</v>
      </c>
      <c r="AP470" s="242">
        <f t="shared" si="256"/>
        <v>0</v>
      </c>
    </row>
    <row r="471" spans="1:42" x14ac:dyDescent="0.2">
      <c r="A471" s="4">
        <f t="shared" si="253"/>
        <v>6</v>
      </c>
      <c r="B471" s="240">
        <f t="shared" si="250"/>
        <v>0</v>
      </c>
      <c r="C471" s="242">
        <f t="shared" ref="C471:AP471" si="257">LOOKUP(C459,$B$397:$AP$397,$B$398:$AP$398)*$B647/100</f>
        <v>0</v>
      </c>
      <c r="D471" s="242">
        <f t="shared" si="257"/>
        <v>0</v>
      </c>
      <c r="E471" s="242">
        <f t="shared" si="257"/>
        <v>0</v>
      </c>
      <c r="F471" s="242">
        <f t="shared" si="257"/>
        <v>0</v>
      </c>
      <c r="G471" s="242">
        <f t="shared" si="257"/>
        <v>0</v>
      </c>
      <c r="H471" s="242">
        <f t="shared" si="257"/>
        <v>0</v>
      </c>
      <c r="I471" s="242">
        <f t="shared" si="257"/>
        <v>0</v>
      </c>
      <c r="J471" s="242">
        <f t="shared" si="257"/>
        <v>0</v>
      </c>
      <c r="K471" s="242">
        <f t="shared" si="257"/>
        <v>0</v>
      </c>
      <c r="L471" s="242">
        <f t="shared" si="257"/>
        <v>0</v>
      </c>
      <c r="M471" s="242">
        <f t="shared" si="257"/>
        <v>0</v>
      </c>
      <c r="N471" s="242">
        <f t="shared" si="257"/>
        <v>0</v>
      </c>
      <c r="O471" s="242">
        <f t="shared" si="257"/>
        <v>0</v>
      </c>
      <c r="P471" s="242">
        <f t="shared" si="257"/>
        <v>0</v>
      </c>
      <c r="Q471" s="242">
        <f t="shared" si="257"/>
        <v>0</v>
      </c>
      <c r="R471" s="242">
        <f t="shared" si="257"/>
        <v>0</v>
      </c>
      <c r="S471" s="242">
        <f t="shared" si="257"/>
        <v>0</v>
      </c>
      <c r="T471" s="242">
        <f t="shared" si="257"/>
        <v>0</v>
      </c>
      <c r="U471" s="242">
        <f t="shared" si="257"/>
        <v>0</v>
      </c>
      <c r="V471" s="242">
        <f t="shared" si="257"/>
        <v>0</v>
      </c>
      <c r="W471" s="242">
        <f t="shared" si="257"/>
        <v>0</v>
      </c>
      <c r="X471" s="242">
        <f t="shared" si="257"/>
        <v>0</v>
      </c>
      <c r="Y471" s="242">
        <f t="shared" si="257"/>
        <v>0</v>
      </c>
      <c r="Z471" s="242">
        <f t="shared" si="257"/>
        <v>0</v>
      </c>
      <c r="AA471" s="242">
        <f t="shared" si="257"/>
        <v>0</v>
      </c>
      <c r="AB471" s="242">
        <f t="shared" si="257"/>
        <v>0</v>
      </c>
      <c r="AC471" s="242">
        <f t="shared" si="257"/>
        <v>0</v>
      </c>
      <c r="AD471" s="242">
        <f t="shared" si="257"/>
        <v>0</v>
      </c>
      <c r="AE471" s="242">
        <f t="shared" si="257"/>
        <v>0</v>
      </c>
      <c r="AF471" s="242">
        <f t="shared" si="257"/>
        <v>0</v>
      </c>
      <c r="AG471" s="242">
        <f t="shared" si="257"/>
        <v>0</v>
      </c>
      <c r="AH471" s="242">
        <f t="shared" si="257"/>
        <v>0</v>
      </c>
      <c r="AI471" s="242">
        <f t="shared" si="257"/>
        <v>0</v>
      </c>
      <c r="AJ471" s="242">
        <f t="shared" si="257"/>
        <v>0</v>
      </c>
      <c r="AK471" s="242">
        <f t="shared" si="257"/>
        <v>0</v>
      </c>
      <c r="AL471" s="242">
        <f t="shared" si="257"/>
        <v>0</v>
      </c>
      <c r="AM471" s="242">
        <f t="shared" si="257"/>
        <v>0</v>
      </c>
      <c r="AN471" s="242">
        <f t="shared" si="257"/>
        <v>0</v>
      </c>
      <c r="AO471" s="242">
        <f t="shared" si="257"/>
        <v>0</v>
      </c>
      <c r="AP471" s="242">
        <f t="shared" si="257"/>
        <v>0</v>
      </c>
    </row>
    <row r="472" spans="1:42" x14ac:dyDescent="0.2">
      <c r="A472" s="4">
        <f t="shared" si="253"/>
        <v>7</v>
      </c>
      <c r="B472" s="240">
        <f t="shared" si="250"/>
        <v>0</v>
      </c>
      <c r="C472" s="242">
        <f t="shared" ref="C472:AP472" si="258">LOOKUP(C460,$B$397:$AP$397,$B$398:$AP$398)*$B648/100</f>
        <v>0</v>
      </c>
      <c r="D472" s="242">
        <f t="shared" si="258"/>
        <v>0</v>
      </c>
      <c r="E472" s="242">
        <f t="shared" si="258"/>
        <v>0</v>
      </c>
      <c r="F472" s="242">
        <f t="shared" si="258"/>
        <v>0</v>
      </c>
      <c r="G472" s="242">
        <f t="shared" si="258"/>
        <v>0</v>
      </c>
      <c r="H472" s="242">
        <f t="shared" si="258"/>
        <v>0</v>
      </c>
      <c r="I472" s="242">
        <f t="shared" si="258"/>
        <v>0</v>
      </c>
      <c r="J472" s="242">
        <f t="shared" si="258"/>
        <v>0</v>
      </c>
      <c r="K472" s="242">
        <f t="shared" si="258"/>
        <v>0</v>
      </c>
      <c r="L472" s="242">
        <f t="shared" si="258"/>
        <v>0</v>
      </c>
      <c r="M472" s="242">
        <f t="shared" si="258"/>
        <v>0</v>
      </c>
      <c r="N472" s="242">
        <f t="shared" si="258"/>
        <v>0</v>
      </c>
      <c r="O472" s="242">
        <f t="shared" si="258"/>
        <v>0</v>
      </c>
      <c r="P472" s="242">
        <f t="shared" si="258"/>
        <v>0</v>
      </c>
      <c r="Q472" s="242">
        <f t="shared" si="258"/>
        <v>0</v>
      </c>
      <c r="R472" s="242">
        <f t="shared" si="258"/>
        <v>0</v>
      </c>
      <c r="S472" s="242">
        <f t="shared" si="258"/>
        <v>0</v>
      </c>
      <c r="T472" s="242">
        <f t="shared" si="258"/>
        <v>0</v>
      </c>
      <c r="U472" s="242">
        <f t="shared" si="258"/>
        <v>0</v>
      </c>
      <c r="V472" s="242">
        <f t="shared" si="258"/>
        <v>0</v>
      </c>
      <c r="W472" s="242">
        <f t="shared" si="258"/>
        <v>0</v>
      </c>
      <c r="X472" s="242">
        <f t="shared" si="258"/>
        <v>0</v>
      </c>
      <c r="Y472" s="242">
        <f t="shared" si="258"/>
        <v>0</v>
      </c>
      <c r="Z472" s="242">
        <f t="shared" si="258"/>
        <v>0</v>
      </c>
      <c r="AA472" s="242">
        <f t="shared" si="258"/>
        <v>0</v>
      </c>
      <c r="AB472" s="242">
        <f t="shared" si="258"/>
        <v>0</v>
      </c>
      <c r="AC472" s="242">
        <f t="shared" si="258"/>
        <v>0</v>
      </c>
      <c r="AD472" s="242">
        <f t="shared" si="258"/>
        <v>0</v>
      </c>
      <c r="AE472" s="242">
        <f t="shared" si="258"/>
        <v>0</v>
      </c>
      <c r="AF472" s="242">
        <f t="shared" si="258"/>
        <v>0</v>
      </c>
      <c r="AG472" s="242">
        <f t="shared" si="258"/>
        <v>0</v>
      </c>
      <c r="AH472" s="242">
        <f t="shared" si="258"/>
        <v>0</v>
      </c>
      <c r="AI472" s="242">
        <f t="shared" si="258"/>
        <v>0</v>
      </c>
      <c r="AJ472" s="242">
        <f t="shared" si="258"/>
        <v>0</v>
      </c>
      <c r="AK472" s="242">
        <f t="shared" si="258"/>
        <v>0</v>
      </c>
      <c r="AL472" s="242">
        <f t="shared" si="258"/>
        <v>0</v>
      </c>
      <c r="AM472" s="242">
        <f t="shared" si="258"/>
        <v>0</v>
      </c>
      <c r="AN472" s="242">
        <f t="shared" si="258"/>
        <v>0</v>
      </c>
      <c r="AO472" s="242">
        <f t="shared" si="258"/>
        <v>0</v>
      </c>
      <c r="AP472" s="242">
        <f t="shared" si="258"/>
        <v>0</v>
      </c>
    </row>
    <row r="473" spans="1:42" x14ac:dyDescent="0.2">
      <c r="A473" s="4">
        <f t="shared" si="253"/>
        <v>8</v>
      </c>
      <c r="B473" s="240">
        <f t="shared" si="250"/>
        <v>0</v>
      </c>
      <c r="C473" s="242">
        <f t="shared" ref="C473:AP473" si="259">LOOKUP(C461,$B$397:$AP$397,$B$398:$AP$398)*$B649/100</f>
        <v>0</v>
      </c>
      <c r="D473" s="242">
        <f t="shared" si="259"/>
        <v>0</v>
      </c>
      <c r="E473" s="242">
        <f t="shared" si="259"/>
        <v>0</v>
      </c>
      <c r="F473" s="242">
        <f t="shared" si="259"/>
        <v>0</v>
      </c>
      <c r="G473" s="242">
        <f t="shared" si="259"/>
        <v>0</v>
      </c>
      <c r="H473" s="242">
        <f t="shared" si="259"/>
        <v>0</v>
      </c>
      <c r="I473" s="242">
        <f t="shared" si="259"/>
        <v>0</v>
      </c>
      <c r="J473" s="242">
        <f t="shared" si="259"/>
        <v>0</v>
      </c>
      <c r="K473" s="242">
        <f t="shared" si="259"/>
        <v>0</v>
      </c>
      <c r="L473" s="242">
        <f t="shared" si="259"/>
        <v>0</v>
      </c>
      <c r="M473" s="242">
        <f t="shared" si="259"/>
        <v>0</v>
      </c>
      <c r="N473" s="242">
        <f t="shared" si="259"/>
        <v>0</v>
      </c>
      <c r="O473" s="242">
        <f t="shared" si="259"/>
        <v>0</v>
      </c>
      <c r="P473" s="242">
        <f t="shared" si="259"/>
        <v>0</v>
      </c>
      <c r="Q473" s="242">
        <f t="shared" si="259"/>
        <v>0</v>
      </c>
      <c r="R473" s="242">
        <f t="shared" si="259"/>
        <v>0</v>
      </c>
      <c r="S473" s="242">
        <f t="shared" si="259"/>
        <v>0</v>
      </c>
      <c r="T473" s="242">
        <f t="shared" si="259"/>
        <v>0</v>
      </c>
      <c r="U473" s="242">
        <f t="shared" si="259"/>
        <v>0</v>
      </c>
      <c r="V473" s="242">
        <f t="shared" si="259"/>
        <v>0</v>
      </c>
      <c r="W473" s="242">
        <f t="shared" si="259"/>
        <v>0</v>
      </c>
      <c r="X473" s="242">
        <f t="shared" si="259"/>
        <v>0</v>
      </c>
      <c r="Y473" s="242">
        <f t="shared" si="259"/>
        <v>0</v>
      </c>
      <c r="Z473" s="242">
        <f t="shared" si="259"/>
        <v>0</v>
      </c>
      <c r="AA473" s="242">
        <f t="shared" si="259"/>
        <v>0</v>
      </c>
      <c r="AB473" s="242">
        <f t="shared" si="259"/>
        <v>0</v>
      </c>
      <c r="AC473" s="242">
        <f t="shared" si="259"/>
        <v>0</v>
      </c>
      <c r="AD473" s="242">
        <f t="shared" si="259"/>
        <v>0</v>
      </c>
      <c r="AE473" s="242">
        <f t="shared" si="259"/>
        <v>0</v>
      </c>
      <c r="AF473" s="242">
        <f t="shared" si="259"/>
        <v>0</v>
      </c>
      <c r="AG473" s="242">
        <f t="shared" si="259"/>
        <v>0</v>
      </c>
      <c r="AH473" s="242">
        <f t="shared" si="259"/>
        <v>0</v>
      </c>
      <c r="AI473" s="242">
        <f t="shared" si="259"/>
        <v>0</v>
      </c>
      <c r="AJ473" s="242">
        <f t="shared" si="259"/>
        <v>0</v>
      </c>
      <c r="AK473" s="242">
        <f t="shared" si="259"/>
        <v>0</v>
      </c>
      <c r="AL473" s="242">
        <f t="shared" si="259"/>
        <v>0</v>
      </c>
      <c r="AM473" s="242">
        <f t="shared" si="259"/>
        <v>0</v>
      </c>
      <c r="AN473" s="242">
        <f t="shared" si="259"/>
        <v>0</v>
      </c>
      <c r="AO473" s="242">
        <f t="shared" si="259"/>
        <v>0</v>
      </c>
      <c r="AP473" s="242">
        <f t="shared" si="259"/>
        <v>0</v>
      </c>
    </row>
    <row r="474" spans="1:42" x14ac:dyDescent="0.2">
      <c r="A474" s="4">
        <f>A473+1</f>
        <v>9</v>
      </c>
      <c r="B474" s="240">
        <f t="shared" si="250"/>
        <v>0</v>
      </c>
      <c r="C474" s="242">
        <f t="shared" ref="C474:AP474" si="260">LOOKUP(C462,$B$397:$AP$397,$B$398:$AP$398)*$B650/100</f>
        <v>0</v>
      </c>
      <c r="D474" s="242">
        <f t="shared" si="260"/>
        <v>0</v>
      </c>
      <c r="E474" s="242">
        <f t="shared" si="260"/>
        <v>0</v>
      </c>
      <c r="F474" s="242">
        <f t="shared" si="260"/>
        <v>0</v>
      </c>
      <c r="G474" s="242">
        <f t="shared" si="260"/>
        <v>0</v>
      </c>
      <c r="H474" s="242">
        <f t="shared" si="260"/>
        <v>0</v>
      </c>
      <c r="I474" s="242">
        <f t="shared" si="260"/>
        <v>0</v>
      </c>
      <c r="J474" s="242">
        <f t="shared" si="260"/>
        <v>0</v>
      </c>
      <c r="K474" s="242">
        <f t="shared" si="260"/>
        <v>0</v>
      </c>
      <c r="L474" s="242">
        <f t="shared" si="260"/>
        <v>0</v>
      </c>
      <c r="M474" s="242">
        <f t="shared" si="260"/>
        <v>0</v>
      </c>
      <c r="N474" s="242">
        <f t="shared" si="260"/>
        <v>0</v>
      </c>
      <c r="O474" s="242">
        <f t="shared" si="260"/>
        <v>0</v>
      </c>
      <c r="P474" s="242">
        <f t="shared" si="260"/>
        <v>0</v>
      </c>
      <c r="Q474" s="242">
        <f t="shared" si="260"/>
        <v>0</v>
      </c>
      <c r="R474" s="242">
        <f t="shared" si="260"/>
        <v>0</v>
      </c>
      <c r="S474" s="242">
        <f t="shared" si="260"/>
        <v>0</v>
      </c>
      <c r="T474" s="242">
        <f t="shared" si="260"/>
        <v>0</v>
      </c>
      <c r="U474" s="242">
        <f t="shared" si="260"/>
        <v>0</v>
      </c>
      <c r="V474" s="242">
        <f t="shared" si="260"/>
        <v>0</v>
      </c>
      <c r="W474" s="242">
        <f t="shared" si="260"/>
        <v>0</v>
      </c>
      <c r="X474" s="242">
        <f t="shared" si="260"/>
        <v>0</v>
      </c>
      <c r="Y474" s="242">
        <f t="shared" si="260"/>
        <v>0</v>
      </c>
      <c r="Z474" s="242">
        <f t="shared" si="260"/>
        <v>0</v>
      </c>
      <c r="AA474" s="242">
        <f t="shared" si="260"/>
        <v>0</v>
      </c>
      <c r="AB474" s="242">
        <f t="shared" si="260"/>
        <v>0</v>
      </c>
      <c r="AC474" s="242">
        <f t="shared" si="260"/>
        <v>0</v>
      </c>
      <c r="AD474" s="242">
        <f t="shared" si="260"/>
        <v>0</v>
      </c>
      <c r="AE474" s="242">
        <f t="shared" si="260"/>
        <v>0</v>
      </c>
      <c r="AF474" s="242">
        <f t="shared" si="260"/>
        <v>0</v>
      </c>
      <c r="AG474" s="242">
        <f t="shared" si="260"/>
        <v>0</v>
      </c>
      <c r="AH474" s="242">
        <f t="shared" si="260"/>
        <v>0</v>
      </c>
      <c r="AI474" s="242">
        <f t="shared" si="260"/>
        <v>0</v>
      </c>
      <c r="AJ474" s="242">
        <f t="shared" si="260"/>
        <v>0</v>
      </c>
      <c r="AK474" s="242">
        <f t="shared" si="260"/>
        <v>0</v>
      </c>
      <c r="AL474" s="242">
        <f t="shared" si="260"/>
        <v>0</v>
      </c>
      <c r="AM474" s="242">
        <f t="shared" si="260"/>
        <v>0</v>
      </c>
      <c r="AN474" s="242">
        <f t="shared" si="260"/>
        <v>0</v>
      </c>
      <c r="AO474" s="242">
        <f t="shared" si="260"/>
        <v>0</v>
      </c>
      <c r="AP474" s="242">
        <f t="shared" si="260"/>
        <v>0</v>
      </c>
    </row>
    <row r="475" spans="1:42" x14ac:dyDescent="0.2">
      <c r="A475" s="4">
        <f t="shared" ref="A475" si="261">A474+1</f>
        <v>10</v>
      </c>
      <c r="B475" s="240">
        <f t="shared" si="250"/>
        <v>0</v>
      </c>
      <c r="C475" s="242">
        <f t="shared" ref="C475:AP475" si="262">LOOKUP(C463,$B$397:$AP$397,$B$398:$AP$398)*$B651/100</f>
        <v>0</v>
      </c>
      <c r="D475" s="242">
        <f t="shared" si="262"/>
        <v>0</v>
      </c>
      <c r="E475" s="242">
        <f t="shared" si="262"/>
        <v>0</v>
      </c>
      <c r="F475" s="242">
        <f t="shared" si="262"/>
        <v>0</v>
      </c>
      <c r="G475" s="242">
        <f t="shared" si="262"/>
        <v>0</v>
      </c>
      <c r="H475" s="242">
        <f t="shared" si="262"/>
        <v>0</v>
      </c>
      <c r="I475" s="242">
        <f t="shared" si="262"/>
        <v>0</v>
      </c>
      <c r="J475" s="242">
        <f t="shared" si="262"/>
        <v>0</v>
      </c>
      <c r="K475" s="242">
        <f t="shared" si="262"/>
        <v>0</v>
      </c>
      <c r="L475" s="242">
        <f t="shared" si="262"/>
        <v>0</v>
      </c>
      <c r="M475" s="242">
        <f t="shared" si="262"/>
        <v>0</v>
      </c>
      <c r="N475" s="242">
        <f t="shared" si="262"/>
        <v>0</v>
      </c>
      <c r="O475" s="242">
        <f t="shared" si="262"/>
        <v>0</v>
      </c>
      <c r="P475" s="242">
        <f t="shared" si="262"/>
        <v>0</v>
      </c>
      <c r="Q475" s="242">
        <f t="shared" si="262"/>
        <v>0</v>
      </c>
      <c r="R475" s="242">
        <f t="shared" si="262"/>
        <v>0</v>
      </c>
      <c r="S475" s="242">
        <f t="shared" si="262"/>
        <v>0</v>
      </c>
      <c r="T475" s="242">
        <f t="shared" si="262"/>
        <v>0</v>
      </c>
      <c r="U475" s="242">
        <f t="shared" si="262"/>
        <v>0</v>
      </c>
      <c r="V475" s="242">
        <f t="shared" si="262"/>
        <v>0</v>
      </c>
      <c r="W475" s="242">
        <f t="shared" si="262"/>
        <v>0</v>
      </c>
      <c r="X475" s="242">
        <f t="shared" si="262"/>
        <v>0</v>
      </c>
      <c r="Y475" s="242">
        <f t="shared" si="262"/>
        <v>0</v>
      </c>
      <c r="Z475" s="242">
        <f t="shared" si="262"/>
        <v>0</v>
      </c>
      <c r="AA475" s="242">
        <f t="shared" si="262"/>
        <v>0</v>
      </c>
      <c r="AB475" s="242">
        <f t="shared" si="262"/>
        <v>0</v>
      </c>
      <c r="AC475" s="242">
        <f t="shared" si="262"/>
        <v>0</v>
      </c>
      <c r="AD475" s="242">
        <f t="shared" si="262"/>
        <v>0</v>
      </c>
      <c r="AE475" s="242">
        <f t="shared" si="262"/>
        <v>0</v>
      </c>
      <c r="AF475" s="242">
        <f t="shared" si="262"/>
        <v>0</v>
      </c>
      <c r="AG475" s="242">
        <f t="shared" si="262"/>
        <v>0</v>
      </c>
      <c r="AH475" s="242">
        <f t="shared" si="262"/>
        <v>0</v>
      </c>
      <c r="AI475" s="242">
        <f t="shared" si="262"/>
        <v>0</v>
      </c>
      <c r="AJ475" s="242">
        <f t="shared" si="262"/>
        <v>0</v>
      </c>
      <c r="AK475" s="242">
        <f t="shared" si="262"/>
        <v>0</v>
      </c>
      <c r="AL475" s="242">
        <f t="shared" si="262"/>
        <v>0</v>
      </c>
      <c r="AM475" s="242">
        <f t="shared" si="262"/>
        <v>0</v>
      </c>
      <c r="AN475" s="242">
        <f t="shared" si="262"/>
        <v>0</v>
      </c>
      <c r="AO475" s="242">
        <f t="shared" si="262"/>
        <v>0</v>
      </c>
      <c r="AP475" s="242">
        <f t="shared" si="262"/>
        <v>0</v>
      </c>
    </row>
    <row r="476" spans="1:42" s="17" customFormat="1" x14ac:dyDescent="0.2">
      <c r="A476" s="40" t="s">
        <v>13</v>
      </c>
      <c r="B476" s="20"/>
      <c r="C476" s="221">
        <f>SUM(C466:C475)</f>
        <v>0</v>
      </c>
      <c r="D476" s="221">
        <f t="shared" ref="D476:AP476" si="263">SUM(D466:D475)</f>
        <v>0</v>
      </c>
      <c r="E476" s="221">
        <f t="shared" si="263"/>
        <v>0</v>
      </c>
      <c r="F476" s="221">
        <f t="shared" si="263"/>
        <v>0</v>
      </c>
      <c r="G476" s="221">
        <f t="shared" si="263"/>
        <v>0</v>
      </c>
      <c r="H476" s="221">
        <f t="shared" si="263"/>
        <v>0</v>
      </c>
      <c r="I476" s="221">
        <f t="shared" si="263"/>
        <v>0</v>
      </c>
      <c r="J476" s="221">
        <f t="shared" si="263"/>
        <v>0</v>
      </c>
      <c r="K476" s="221">
        <f t="shared" si="263"/>
        <v>0</v>
      </c>
      <c r="L476" s="221">
        <f t="shared" si="263"/>
        <v>0</v>
      </c>
      <c r="M476" s="221">
        <f t="shared" si="263"/>
        <v>0</v>
      </c>
      <c r="N476" s="221">
        <f t="shared" si="263"/>
        <v>0</v>
      </c>
      <c r="O476" s="221">
        <f t="shared" si="263"/>
        <v>0</v>
      </c>
      <c r="P476" s="221">
        <f t="shared" si="263"/>
        <v>0</v>
      </c>
      <c r="Q476" s="221">
        <f t="shared" si="263"/>
        <v>0</v>
      </c>
      <c r="R476" s="221">
        <f t="shared" si="263"/>
        <v>0</v>
      </c>
      <c r="S476" s="221">
        <f t="shared" si="263"/>
        <v>0</v>
      </c>
      <c r="T476" s="221">
        <f t="shared" si="263"/>
        <v>0</v>
      </c>
      <c r="U476" s="221">
        <f t="shared" si="263"/>
        <v>0</v>
      </c>
      <c r="V476" s="221">
        <f t="shared" si="263"/>
        <v>0</v>
      </c>
      <c r="W476" s="221">
        <f t="shared" si="263"/>
        <v>0</v>
      </c>
      <c r="X476" s="221">
        <f t="shared" si="263"/>
        <v>0</v>
      </c>
      <c r="Y476" s="221">
        <f t="shared" si="263"/>
        <v>0</v>
      </c>
      <c r="Z476" s="221">
        <f t="shared" si="263"/>
        <v>0</v>
      </c>
      <c r="AA476" s="221">
        <f t="shared" si="263"/>
        <v>0</v>
      </c>
      <c r="AB476" s="221">
        <f t="shared" si="263"/>
        <v>0</v>
      </c>
      <c r="AC476" s="221">
        <f t="shared" si="263"/>
        <v>0</v>
      </c>
      <c r="AD476" s="221">
        <f t="shared" si="263"/>
        <v>0</v>
      </c>
      <c r="AE476" s="221">
        <f t="shared" si="263"/>
        <v>0</v>
      </c>
      <c r="AF476" s="221">
        <f t="shared" si="263"/>
        <v>0</v>
      </c>
      <c r="AG476" s="221">
        <f t="shared" si="263"/>
        <v>0</v>
      </c>
      <c r="AH476" s="221">
        <f t="shared" si="263"/>
        <v>0</v>
      </c>
      <c r="AI476" s="221">
        <f t="shared" si="263"/>
        <v>0</v>
      </c>
      <c r="AJ476" s="221">
        <f t="shared" si="263"/>
        <v>0</v>
      </c>
      <c r="AK476" s="221">
        <f t="shared" si="263"/>
        <v>0</v>
      </c>
      <c r="AL476" s="221">
        <f t="shared" si="263"/>
        <v>0</v>
      </c>
      <c r="AM476" s="221">
        <f t="shared" si="263"/>
        <v>0</v>
      </c>
      <c r="AN476" s="221">
        <f t="shared" si="263"/>
        <v>0</v>
      </c>
      <c r="AO476" s="221">
        <f t="shared" si="263"/>
        <v>0</v>
      </c>
      <c r="AP476" s="221">
        <f t="shared" si="263"/>
        <v>0</v>
      </c>
    </row>
    <row r="477" spans="1:42" s="17" customFormat="1" x14ac:dyDescent="0.2">
      <c r="A477" s="40"/>
      <c r="B477" s="20"/>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c r="AA477" s="221"/>
      <c r="AB477" s="221"/>
      <c r="AC477" s="221"/>
      <c r="AD477" s="221"/>
      <c r="AE477" s="221"/>
      <c r="AF477" s="221"/>
      <c r="AG477" s="221"/>
      <c r="AH477" s="221"/>
      <c r="AI477" s="221"/>
      <c r="AJ477" s="221"/>
      <c r="AK477" s="221"/>
      <c r="AL477" s="221"/>
      <c r="AM477" s="221"/>
      <c r="AN477" s="221"/>
      <c r="AO477" s="221"/>
      <c r="AP477" s="221"/>
    </row>
    <row r="478" spans="1:42" s="17" customFormat="1" x14ac:dyDescent="0.2">
      <c r="A478" s="298" t="s">
        <v>246</v>
      </c>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c r="AB478" s="299"/>
      <c r="AC478" s="299"/>
      <c r="AD478" s="299"/>
      <c r="AE478" s="299"/>
      <c r="AF478" s="299"/>
      <c r="AG478" s="299"/>
      <c r="AH478" s="299"/>
      <c r="AI478" s="299"/>
      <c r="AJ478" s="299"/>
      <c r="AK478" s="299"/>
      <c r="AL478" s="299"/>
      <c r="AM478" s="299"/>
      <c r="AN478" s="299"/>
      <c r="AO478" s="299"/>
      <c r="AP478" s="299"/>
    </row>
    <row r="479" spans="1:42" s="17" customFormat="1" x14ac:dyDescent="0.2">
      <c r="A479" s="300" t="s">
        <v>77</v>
      </c>
      <c r="B479" s="267"/>
      <c r="C479" s="301"/>
      <c r="D479" s="301"/>
      <c r="E479" s="301"/>
      <c r="F479" s="301"/>
      <c r="G479" s="301"/>
      <c r="H479" s="301"/>
      <c r="I479" s="301"/>
      <c r="J479" s="301"/>
      <c r="K479" s="301"/>
      <c r="L479" s="301"/>
      <c r="M479" s="301"/>
      <c r="N479" s="301"/>
      <c r="O479" s="301"/>
      <c r="P479" s="301"/>
      <c r="Q479" s="301"/>
      <c r="R479" s="301"/>
      <c r="S479" s="301"/>
      <c r="T479" s="301"/>
      <c r="U479" s="301"/>
      <c r="V479" s="301"/>
      <c r="W479" s="301"/>
      <c r="X479" s="301"/>
      <c r="Y479" s="301"/>
      <c r="Z479" s="301"/>
      <c r="AA479" s="301"/>
      <c r="AB479" s="301"/>
      <c r="AC479" s="301"/>
      <c r="AD479" s="301"/>
      <c r="AE479" s="301"/>
      <c r="AF479" s="301"/>
      <c r="AG479" s="301"/>
      <c r="AH479" s="301"/>
      <c r="AI479" s="301"/>
      <c r="AJ479" s="301"/>
      <c r="AK479" s="301"/>
      <c r="AL479" s="301"/>
      <c r="AM479" s="301"/>
      <c r="AN479" s="301"/>
      <c r="AO479" s="301"/>
      <c r="AP479" s="301"/>
    </row>
    <row r="480" spans="1:42" s="17" customFormat="1" x14ac:dyDescent="0.2">
      <c r="A480" s="31" t="s">
        <v>5</v>
      </c>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c r="AO480" s="168"/>
      <c r="AP480" s="168"/>
    </row>
    <row r="481" spans="1:42" s="17" customFormat="1" x14ac:dyDescent="0.2">
      <c r="A481" s="33" t="s">
        <v>78</v>
      </c>
      <c r="C481" s="200">
        <f t="shared" ref="C481:AP481" si="264">IF(C$2&lt;=ptc_sta_term,ptc_sta_amount*(1+ptc_sta_escal/100)^B$2,0)</f>
        <v>0</v>
      </c>
      <c r="D481" s="200">
        <f t="shared" si="264"/>
        <v>0</v>
      </c>
      <c r="E481" s="200">
        <f t="shared" si="264"/>
        <v>0</v>
      </c>
      <c r="F481" s="200">
        <f t="shared" si="264"/>
        <v>0</v>
      </c>
      <c r="G481" s="200">
        <f t="shared" si="264"/>
        <v>0</v>
      </c>
      <c r="H481" s="200">
        <f t="shared" si="264"/>
        <v>0</v>
      </c>
      <c r="I481" s="200">
        <f t="shared" si="264"/>
        <v>0</v>
      </c>
      <c r="J481" s="200">
        <f t="shared" si="264"/>
        <v>0</v>
      </c>
      <c r="K481" s="200">
        <f t="shared" si="264"/>
        <v>0</v>
      </c>
      <c r="L481" s="200">
        <f t="shared" si="264"/>
        <v>0</v>
      </c>
      <c r="M481" s="200">
        <f t="shared" si="264"/>
        <v>0</v>
      </c>
      <c r="N481" s="200">
        <f t="shared" si="264"/>
        <v>0</v>
      </c>
      <c r="O481" s="200">
        <f t="shared" si="264"/>
        <v>0</v>
      </c>
      <c r="P481" s="200">
        <f t="shared" si="264"/>
        <v>0</v>
      </c>
      <c r="Q481" s="200">
        <f t="shared" si="264"/>
        <v>0</v>
      </c>
      <c r="R481" s="200">
        <f t="shared" si="264"/>
        <v>0</v>
      </c>
      <c r="S481" s="200">
        <f t="shared" si="264"/>
        <v>0</v>
      </c>
      <c r="T481" s="200">
        <f t="shared" si="264"/>
        <v>0</v>
      </c>
      <c r="U481" s="200">
        <f t="shared" si="264"/>
        <v>0</v>
      </c>
      <c r="V481" s="200">
        <f t="shared" si="264"/>
        <v>0</v>
      </c>
      <c r="W481" s="200">
        <f t="shared" si="264"/>
        <v>0</v>
      </c>
      <c r="X481" s="200">
        <f t="shared" si="264"/>
        <v>0</v>
      </c>
      <c r="Y481" s="200">
        <f t="shared" si="264"/>
        <v>0</v>
      </c>
      <c r="Z481" s="200">
        <f t="shared" si="264"/>
        <v>0</v>
      </c>
      <c r="AA481" s="200">
        <f t="shared" si="264"/>
        <v>0</v>
      </c>
      <c r="AB481" s="200">
        <f t="shared" si="264"/>
        <v>0</v>
      </c>
      <c r="AC481" s="200">
        <f t="shared" si="264"/>
        <v>0</v>
      </c>
      <c r="AD481" s="200">
        <f t="shared" si="264"/>
        <v>0</v>
      </c>
      <c r="AE481" s="200">
        <f t="shared" si="264"/>
        <v>0</v>
      </c>
      <c r="AF481" s="200">
        <f t="shared" si="264"/>
        <v>0</v>
      </c>
      <c r="AG481" s="200">
        <f t="shared" si="264"/>
        <v>0</v>
      </c>
      <c r="AH481" s="200">
        <f t="shared" si="264"/>
        <v>0</v>
      </c>
      <c r="AI481" s="200">
        <f t="shared" si="264"/>
        <v>0</v>
      </c>
      <c r="AJ481" s="200">
        <f t="shared" si="264"/>
        <v>0</v>
      </c>
      <c r="AK481" s="200">
        <f t="shared" si="264"/>
        <v>0</v>
      </c>
      <c r="AL481" s="200">
        <f t="shared" si="264"/>
        <v>0</v>
      </c>
      <c r="AM481" s="200">
        <f t="shared" si="264"/>
        <v>0</v>
      </c>
      <c r="AN481" s="200">
        <f t="shared" si="264"/>
        <v>0</v>
      </c>
      <c r="AO481" s="200">
        <f t="shared" si="264"/>
        <v>0</v>
      </c>
      <c r="AP481" s="200">
        <f t="shared" si="264"/>
        <v>0</v>
      </c>
    </row>
    <row r="482" spans="1:42" s="17" customFormat="1" x14ac:dyDescent="0.2">
      <c r="A482" s="33" t="s">
        <v>79</v>
      </c>
      <c r="C482" s="200">
        <f>ROUND(C481*1000,0)</f>
        <v>0</v>
      </c>
      <c r="D482" s="200">
        <f>ROUND(D481*1000,0)</f>
        <v>0</v>
      </c>
      <c r="E482" s="200">
        <f t="shared" ref="E482:AP482" si="265">ROUND(E481*1000,0)</f>
        <v>0</v>
      </c>
      <c r="F482" s="200">
        <f t="shared" si="265"/>
        <v>0</v>
      </c>
      <c r="G482" s="200">
        <f t="shared" si="265"/>
        <v>0</v>
      </c>
      <c r="H482" s="200">
        <f t="shared" si="265"/>
        <v>0</v>
      </c>
      <c r="I482" s="200">
        <f t="shared" si="265"/>
        <v>0</v>
      </c>
      <c r="J482" s="200">
        <f t="shared" si="265"/>
        <v>0</v>
      </c>
      <c r="K482" s="200">
        <f t="shared" si="265"/>
        <v>0</v>
      </c>
      <c r="L482" s="200">
        <f t="shared" si="265"/>
        <v>0</v>
      </c>
      <c r="M482" s="200">
        <f t="shared" si="265"/>
        <v>0</v>
      </c>
      <c r="N482" s="200">
        <f t="shared" si="265"/>
        <v>0</v>
      </c>
      <c r="O482" s="200">
        <f t="shared" si="265"/>
        <v>0</v>
      </c>
      <c r="P482" s="200">
        <f t="shared" si="265"/>
        <v>0</v>
      </c>
      <c r="Q482" s="200">
        <f t="shared" si="265"/>
        <v>0</v>
      </c>
      <c r="R482" s="200">
        <f t="shared" si="265"/>
        <v>0</v>
      </c>
      <c r="S482" s="200">
        <f t="shared" si="265"/>
        <v>0</v>
      </c>
      <c r="T482" s="200">
        <f t="shared" si="265"/>
        <v>0</v>
      </c>
      <c r="U482" s="200">
        <f t="shared" si="265"/>
        <v>0</v>
      </c>
      <c r="V482" s="200">
        <f t="shared" si="265"/>
        <v>0</v>
      </c>
      <c r="W482" s="200">
        <f t="shared" si="265"/>
        <v>0</v>
      </c>
      <c r="X482" s="200">
        <f t="shared" si="265"/>
        <v>0</v>
      </c>
      <c r="Y482" s="200">
        <f t="shared" si="265"/>
        <v>0</v>
      </c>
      <c r="Z482" s="200">
        <f t="shared" si="265"/>
        <v>0</v>
      </c>
      <c r="AA482" s="200">
        <f t="shared" si="265"/>
        <v>0</v>
      </c>
      <c r="AB482" s="200">
        <f t="shared" si="265"/>
        <v>0</v>
      </c>
      <c r="AC482" s="200">
        <f t="shared" si="265"/>
        <v>0</v>
      </c>
      <c r="AD482" s="200">
        <f t="shared" si="265"/>
        <v>0</v>
      </c>
      <c r="AE482" s="200">
        <f t="shared" si="265"/>
        <v>0</v>
      </c>
      <c r="AF482" s="200">
        <f t="shared" si="265"/>
        <v>0</v>
      </c>
      <c r="AG482" s="200">
        <f t="shared" si="265"/>
        <v>0</v>
      </c>
      <c r="AH482" s="200">
        <f t="shared" si="265"/>
        <v>0</v>
      </c>
      <c r="AI482" s="200">
        <f t="shared" si="265"/>
        <v>0</v>
      </c>
      <c r="AJ482" s="200">
        <f t="shared" si="265"/>
        <v>0</v>
      </c>
      <c r="AK482" s="200">
        <f t="shared" si="265"/>
        <v>0</v>
      </c>
      <c r="AL482" s="200">
        <f t="shared" si="265"/>
        <v>0</v>
      </c>
      <c r="AM482" s="200">
        <f t="shared" si="265"/>
        <v>0</v>
      </c>
      <c r="AN482" s="200">
        <f t="shared" si="265"/>
        <v>0</v>
      </c>
      <c r="AO482" s="200">
        <f t="shared" si="265"/>
        <v>0</v>
      </c>
      <c r="AP482" s="200">
        <f t="shared" si="265"/>
        <v>0</v>
      </c>
    </row>
    <row r="483" spans="1:42" s="17" customFormat="1" x14ac:dyDescent="0.2">
      <c r="A483" s="33" t="s">
        <v>80</v>
      </c>
      <c r="C483" s="169">
        <f>C$5/1000</f>
        <v>37211.991999999998</v>
      </c>
      <c r="D483" s="169">
        <f>D$5/1000</f>
        <v>37025.932000000001</v>
      </c>
      <c r="E483" s="169">
        <f t="shared" ref="E483:AP483" si="266">E$5/1000</f>
        <v>36840.803999999996</v>
      </c>
      <c r="F483" s="169">
        <f t="shared" si="266"/>
        <v>36656.6</v>
      </c>
      <c r="G483" s="169">
        <f t="shared" si="266"/>
        <v>36473.315999999999</v>
      </c>
      <c r="H483" s="169">
        <f t="shared" si="266"/>
        <v>36290.947999999997</v>
      </c>
      <c r="I483" s="169">
        <f t="shared" si="266"/>
        <v>36109.495999999999</v>
      </c>
      <c r="J483" s="169">
        <f t="shared" si="266"/>
        <v>35928.947999999997</v>
      </c>
      <c r="K483" s="169">
        <f t="shared" si="266"/>
        <v>35749.303999999996</v>
      </c>
      <c r="L483" s="169">
        <f t="shared" si="266"/>
        <v>35570.555999999997</v>
      </c>
      <c r="M483" s="169">
        <f t="shared" si="266"/>
        <v>35392.703999999998</v>
      </c>
      <c r="N483" s="169">
        <f t="shared" si="266"/>
        <v>35215.74</v>
      </c>
      <c r="O483" s="169">
        <f t="shared" si="266"/>
        <v>35039.660000000003</v>
      </c>
      <c r="P483" s="169">
        <f t="shared" si="266"/>
        <v>34864.464</v>
      </c>
      <c r="Q483" s="169">
        <f t="shared" si="266"/>
        <v>34690.14</v>
      </c>
      <c r="R483" s="169">
        <f t="shared" si="266"/>
        <v>34516.688000000002</v>
      </c>
      <c r="S483" s="169">
        <f t="shared" si="266"/>
        <v>34344.108</v>
      </c>
      <c r="T483" s="169">
        <f t="shared" si="266"/>
        <v>34172.383999999998</v>
      </c>
      <c r="U483" s="169">
        <f t="shared" si="266"/>
        <v>34001.523999999998</v>
      </c>
      <c r="V483" s="169">
        <f t="shared" si="266"/>
        <v>33831.516000000003</v>
      </c>
      <c r="W483" s="169">
        <f t="shared" si="266"/>
        <v>33662.36</v>
      </c>
      <c r="X483" s="169">
        <f t="shared" si="266"/>
        <v>33494.046000000002</v>
      </c>
      <c r="Y483" s="169">
        <f t="shared" si="266"/>
        <v>33326.576000000001</v>
      </c>
      <c r="Z483" s="169">
        <f t="shared" si="266"/>
        <v>33159.944000000003</v>
      </c>
      <c r="AA483" s="169">
        <f t="shared" si="266"/>
        <v>32994.144</v>
      </c>
      <c r="AB483" s="169">
        <f t="shared" si="266"/>
        <v>0</v>
      </c>
      <c r="AC483" s="169">
        <f t="shared" si="266"/>
        <v>0</v>
      </c>
      <c r="AD483" s="169">
        <f t="shared" si="266"/>
        <v>0</v>
      </c>
      <c r="AE483" s="169">
        <f t="shared" si="266"/>
        <v>0</v>
      </c>
      <c r="AF483" s="169">
        <f t="shared" si="266"/>
        <v>0</v>
      </c>
      <c r="AG483" s="169">
        <f t="shared" si="266"/>
        <v>0</v>
      </c>
      <c r="AH483" s="169">
        <f t="shared" si="266"/>
        <v>0</v>
      </c>
      <c r="AI483" s="169">
        <f t="shared" si="266"/>
        <v>0</v>
      </c>
      <c r="AJ483" s="169">
        <f t="shared" si="266"/>
        <v>0</v>
      </c>
      <c r="AK483" s="169">
        <f t="shared" si="266"/>
        <v>0</v>
      </c>
      <c r="AL483" s="169">
        <f t="shared" si="266"/>
        <v>0</v>
      </c>
      <c r="AM483" s="169">
        <f t="shared" si="266"/>
        <v>0</v>
      </c>
      <c r="AN483" s="169">
        <f t="shared" si="266"/>
        <v>0</v>
      </c>
      <c r="AO483" s="169">
        <f t="shared" si="266"/>
        <v>0</v>
      </c>
      <c r="AP483" s="169">
        <f t="shared" si="266"/>
        <v>0</v>
      </c>
    </row>
    <row r="484" spans="1:42" s="17" customFormat="1" x14ac:dyDescent="0.2">
      <c r="A484" s="33" t="s">
        <v>13</v>
      </c>
      <c r="C484" s="168">
        <f>C482*C483</f>
        <v>0</v>
      </c>
      <c r="D484" s="168">
        <f>D482*D483</f>
        <v>0</v>
      </c>
      <c r="E484" s="168">
        <f t="shared" ref="E484:AP484" si="267">E482*E483</f>
        <v>0</v>
      </c>
      <c r="F484" s="168">
        <f t="shared" si="267"/>
        <v>0</v>
      </c>
      <c r="G484" s="168">
        <f t="shared" si="267"/>
        <v>0</v>
      </c>
      <c r="H484" s="168">
        <f t="shared" si="267"/>
        <v>0</v>
      </c>
      <c r="I484" s="168">
        <f t="shared" si="267"/>
        <v>0</v>
      </c>
      <c r="J484" s="168">
        <f t="shared" si="267"/>
        <v>0</v>
      </c>
      <c r="K484" s="168">
        <f t="shared" si="267"/>
        <v>0</v>
      </c>
      <c r="L484" s="168">
        <f t="shared" si="267"/>
        <v>0</v>
      </c>
      <c r="M484" s="168">
        <f t="shared" si="267"/>
        <v>0</v>
      </c>
      <c r="N484" s="168">
        <f t="shared" si="267"/>
        <v>0</v>
      </c>
      <c r="O484" s="168">
        <f t="shared" si="267"/>
        <v>0</v>
      </c>
      <c r="P484" s="168">
        <f t="shared" si="267"/>
        <v>0</v>
      </c>
      <c r="Q484" s="168">
        <f t="shared" si="267"/>
        <v>0</v>
      </c>
      <c r="R484" s="168">
        <f t="shared" si="267"/>
        <v>0</v>
      </c>
      <c r="S484" s="168">
        <f t="shared" si="267"/>
        <v>0</v>
      </c>
      <c r="T484" s="168">
        <f t="shared" si="267"/>
        <v>0</v>
      </c>
      <c r="U484" s="168">
        <f t="shared" si="267"/>
        <v>0</v>
      </c>
      <c r="V484" s="168">
        <f t="shared" si="267"/>
        <v>0</v>
      </c>
      <c r="W484" s="168">
        <f t="shared" si="267"/>
        <v>0</v>
      </c>
      <c r="X484" s="168">
        <f t="shared" si="267"/>
        <v>0</v>
      </c>
      <c r="Y484" s="168">
        <f t="shared" si="267"/>
        <v>0</v>
      </c>
      <c r="Z484" s="168">
        <f t="shared" si="267"/>
        <v>0</v>
      </c>
      <c r="AA484" s="168">
        <f t="shared" si="267"/>
        <v>0</v>
      </c>
      <c r="AB484" s="168">
        <f t="shared" si="267"/>
        <v>0</v>
      </c>
      <c r="AC484" s="168">
        <f t="shared" si="267"/>
        <v>0</v>
      </c>
      <c r="AD484" s="168">
        <f t="shared" si="267"/>
        <v>0</v>
      </c>
      <c r="AE484" s="168">
        <f t="shared" si="267"/>
        <v>0</v>
      </c>
      <c r="AF484" s="168">
        <f t="shared" si="267"/>
        <v>0</v>
      </c>
      <c r="AG484" s="168">
        <f t="shared" si="267"/>
        <v>0</v>
      </c>
      <c r="AH484" s="168">
        <f t="shared" si="267"/>
        <v>0</v>
      </c>
      <c r="AI484" s="168">
        <f t="shared" si="267"/>
        <v>0</v>
      </c>
      <c r="AJ484" s="168">
        <f t="shared" si="267"/>
        <v>0</v>
      </c>
      <c r="AK484" s="168">
        <f t="shared" si="267"/>
        <v>0</v>
      </c>
      <c r="AL484" s="168">
        <f t="shared" si="267"/>
        <v>0</v>
      </c>
      <c r="AM484" s="168">
        <f t="shared" si="267"/>
        <v>0</v>
      </c>
      <c r="AN484" s="168">
        <f t="shared" si="267"/>
        <v>0</v>
      </c>
      <c r="AO484" s="168">
        <f t="shared" si="267"/>
        <v>0</v>
      </c>
      <c r="AP484" s="168">
        <f t="shared" si="267"/>
        <v>0</v>
      </c>
    </row>
    <row r="485" spans="1:42" s="17" customFormat="1" x14ac:dyDescent="0.2">
      <c r="A485" s="3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row>
    <row r="486" spans="1:42" s="17" customFormat="1" x14ac:dyDescent="0.2">
      <c r="A486" s="31" t="s">
        <v>4</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row>
    <row r="487" spans="1:42" s="17" customFormat="1" x14ac:dyDescent="0.2">
      <c r="A487" s="33" t="s">
        <v>78</v>
      </c>
      <c r="C487" s="200">
        <f t="shared" ref="C487:AP487" si="268">IF(C$2&lt;=ptc_fed_term,ptc_fed_amount*(1+ptc_fed_escal/100)^B$2,0)</f>
        <v>0</v>
      </c>
      <c r="D487" s="200">
        <f t="shared" si="268"/>
        <v>0</v>
      </c>
      <c r="E487" s="200">
        <f t="shared" si="268"/>
        <v>0</v>
      </c>
      <c r="F487" s="200">
        <f t="shared" si="268"/>
        <v>0</v>
      </c>
      <c r="G487" s="200">
        <f t="shared" si="268"/>
        <v>0</v>
      </c>
      <c r="H487" s="200">
        <f t="shared" si="268"/>
        <v>0</v>
      </c>
      <c r="I487" s="200">
        <f t="shared" si="268"/>
        <v>0</v>
      </c>
      <c r="J487" s="200">
        <f t="shared" si="268"/>
        <v>0</v>
      </c>
      <c r="K487" s="200">
        <f t="shared" si="268"/>
        <v>0</v>
      </c>
      <c r="L487" s="200">
        <f t="shared" si="268"/>
        <v>0</v>
      </c>
      <c r="M487" s="200">
        <f t="shared" si="268"/>
        <v>0</v>
      </c>
      <c r="N487" s="200">
        <f t="shared" si="268"/>
        <v>0</v>
      </c>
      <c r="O487" s="200">
        <f t="shared" si="268"/>
        <v>0</v>
      </c>
      <c r="P487" s="200">
        <f t="shared" si="268"/>
        <v>0</v>
      </c>
      <c r="Q487" s="200">
        <f t="shared" si="268"/>
        <v>0</v>
      </c>
      <c r="R487" s="200">
        <f t="shared" si="268"/>
        <v>0</v>
      </c>
      <c r="S487" s="200">
        <f t="shared" si="268"/>
        <v>0</v>
      </c>
      <c r="T487" s="200">
        <f t="shared" si="268"/>
        <v>0</v>
      </c>
      <c r="U487" s="200">
        <f t="shared" si="268"/>
        <v>0</v>
      </c>
      <c r="V487" s="200">
        <f t="shared" si="268"/>
        <v>0</v>
      </c>
      <c r="W487" s="200">
        <f t="shared" si="268"/>
        <v>0</v>
      </c>
      <c r="X487" s="200">
        <f t="shared" si="268"/>
        <v>0</v>
      </c>
      <c r="Y487" s="200">
        <f t="shared" si="268"/>
        <v>0</v>
      </c>
      <c r="Z487" s="200">
        <f t="shared" si="268"/>
        <v>0</v>
      </c>
      <c r="AA487" s="200">
        <f t="shared" si="268"/>
        <v>0</v>
      </c>
      <c r="AB487" s="200">
        <f t="shared" si="268"/>
        <v>0</v>
      </c>
      <c r="AC487" s="200">
        <f t="shared" si="268"/>
        <v>0</v>
      </c>
      <c r="AD487" s="200">
        <f t="shared" si="268"/>
        <v>0</v>
      </c>
      <c r="AE487" s="200">
        <f t="shared" si="268"/>
        <v>0</v>
      </c>
      <c r="AF487" s="200">
        <f t="shared" si="268"/>
        <v>0</v>
      </c>
      <c r="AG487" s="200">
        <f t="shared" si="268"/>
        <v>0</v>
      </c>
      <c r="AH487" s="200">
        <f t="shared" si="268"/>
        <v>0</v>
      </c>
      <c r="AI487" s="200">
        <f t="shared" si="268"/>
        <v>0</v>
      </c>
      <c r="AJ487" s="200">
        <f t="shared" si="268"/>
        <v>0</v>
      </c>
      <c r="AK487" s="200">
        <f t="shared" si="268"/>
        <v>0</v>
      </c>
      <c r="AL487" s="200">
        <f t="shared" si="268"/>
        <v>0</v>
      </c>
      <c r="AM487" s="200">
        <f t="shared" si="268"/>
        <v>0</v>
      </c>
      <c r="AN487" s="200">
        <f t="shared" si="268"/>
        <v>0</v>
      </c>
      <c r="AO487" s="200">
        <f t="shared" si="268"/>
        <v>0</v>
      </c>
      <c r="AP487" s="200">
        <f t="shared" si="268"/>
        <v>0</v>
      </c>
    </row>
    <row r="488" spans="1:42" s="17" customFormat="1" x14ac:dyDescent="0.2">
      <c r="A488" s="33" t="s">
        <v>79</v>
      </c>
      <c r="C488" s="200">
        <f>ROUND(C487*1000,0)</f>
        <v>0</v>
      </c>
      <c r="D488" s="200">
        <f>ROUND(D487*1000,0)</f>
        <v>0</v>
      </c>
      <c r="E488" s="200">
        <f t="shared" ref="E488:AP488" si="269">ROUND(E487*1000,0)</f>
        <v>0</v>
      </c>
      <c r="F488" s="200">
        <f t="shared" si="269"/>
        <v>0</v>
      </c>
      <c r="G488" s="200">
        <f t="shared" si="269"/>
        <v>0</v>
      </c>
      <c r="H488" s="200">
        <f t="shared" si="269"/>
        <v>0</v>
      </c>
      <c r="I488" s="200">
        <f t="shared" si="269"/>
        <v>0</v>
      </c>
      <c r="J488" s="200">
        <f t="shared" si="269"/>
        <v>0</v>
      </c>
      <c r="K488" s="200">
        <f t="shared" si="269"/>
        <v>0</v>
      </c>
      <c r="L488" s="200">
        <f t="shared" si="269"/>
        <v>0</v>
      </c>
      <c r="M488" s="200">
        <f t="shared" si="269"/>
        <v>0</v>
      </c>
      <c r="N488" s="200">
        <f t="shared" si="269"/>
        <v>0</v>
      </c>
      <c r="O488" s="200">
        <f t="shared" si="269"/>
        <v>0</v>
      </c>
      <c r="P488" s="200">
        <f t="shared" si="269"/>
        <v>0</v>
      </c>
      <c r="Q488" s="200">
        <f t="shared" si="269"/>
        <v>0</v>
      </c>
      <c r="R488" s="200">
        <f t="shared" si="269"/>
        <v>0</v>
      </c>
      <c r="S488" s="200">
        <f t="shared" si="269"/>
        <v>0</v>
      </c>
      <c r="T488" s="200">
        <f t="shared" si="269"/>
        <v>0</v>
      </c>
      <c r="U488" s="200">
        <f t="shared" si="269"/>
        <v>0</v>
      </c>
      <c r="V488" s="200">
        <f t="shared" si="269"/>
        <v>0</v>
      </c>
      <c r="W488" s="200">
        <f t="shared" si="269"/>
        <v>0</v>
      </c>
      <c r="X488" s="200">
        <f t="shared" si="269"/>
        <v>0</v>
      </c>
      <c r="Y488" s="200">
        <f t="shared" si="269"/>
        <v>0</v>
      </c>
      <c r="Z488" s="200">
        <f t="shared" si="269"/>
        <v>0</v>
      </c>
      <c r="AA488" s="200">
        <f t="shared" si="269"/>
        <v>0</v>
      </c>
      <c r="AB488" s="200">
        <f t="shared" si="269"/>
        <v>0</v>
      </c>
      <c r="AC488" s="200">
        <f t="shared" si="269"/>
        <v>0</v>
      </c>
      <c r="AD488" s="200">
        <f t="shared" si="269"/>
        <v>0</v>
      </c>
      <c r="AE488" s="200">
        <f t="shared" si="269"/>
        <v>0</v>
      </c>
      <c r="AF488" s="200">
        <f t="shared" si="269"/>
        <v>0</v>
      </c>
      <c r="AG488" s="200">
        <f t="shared" si="269"/>
        <v>0</v>
      </c>
      <c r="AH488" s="200">
        <f t="shared" si="269"/>
        <v>0</v>
      </c>
      <c r="AI488" s="200">
        <f t="shared" si="269"/>
        <v>0</v>
      </c>
      <c r="AJ488" s="200">
        <f t="shared" si="269"/>
        <v>0</v>
      </c>
      <c r="AK488" s="200">
        <f t="shared" si="269"/>
        <v>0</v>
      </c>
      <c r="AL488" s="200">
        <f t="shared" si="269"/>
        <v>0</v>
      </c>
      <c r="AM488" s="200">
        <f t="shared" si="269"/>
        <v>0</v>
      </c>
      <c r="AN488" s="200">
        <f t="shared" si="269"/>
        <v>0</v>
      </c>
      <c r="AO488" s="200">
        <f t="shared" si="269"/>
        <v>0</v>
      </c>
      <c r="AP488" s="200">
        <f t="shared" si="269"/>
        <v>0</v>
      </c>
    </row>
    <row r="489" spans="1:42" s="17" customFormat="1" x14ac:dyDescent="0.2">
      <c r="A489" s="33" t="s">
        <v>80</v>
      </c>
      <c r="C489" s="169">
        <f>C$5/1000</f>
        <v>37211.991999999998</v>
      </c>
      <c r="D489" s="169">
        <f>D$5/1000</f>
        <v>37025.932000000001</v>
      </c>
      <c r="E489" s="169">
        <f t="shared" ref="E489:AP489" si="270">E$5/1000</f>
        <v>36840.803999999996</v>
      </c>
      <c r="F489" s="169">
        <f t="shared" si="270"/>
        <v>36656.6</v>
      </c>
      <c r="G489" s="169">
        <f t="shared" si="270"/>
        <v>36473.315999999999</v>
      </c>
      <c r="H489" s="169">
        <f t="shared" si="270"/>
        <v>36290.947999999997</v>
      </c>
      <c r="I489" s="169">
        <f t="shared" si="270"/>
        <v>36109.495999999999</v>
      </c>
      <c r="J489" s="169">
        <f t="shared" si="270"/>
        <v>35928.947999999997</v>
      </c>
      <c r="K489" s="169">
        <f t="shared" si="270"/>
        <v>35749.303999999996</v>
      </c>
      <c r="L489" s="169">
        <f t="shared" si="270"/>
        <v>35570.555999999997</v>
      </c>
      <c r="M489" s="169">
        <f t="shared" si="270"/>
        <v>35392.703999999998</v>
      </c>
      <c r="N489" s="169">
        <f t="shared" si="270"/>
        <v>35215.74</v>
      </c>
      <c r="O489" s="169">
        <f t="shared" si="270"/>
        <v>35039.660000000003</v>
      </c>
      <c r="P489" s="169">
        <f t="shared" si="270"/>
        <v>34864.464</v>
      </c>
      <c r="Q489" s="169">
        <f t="shared" si="270"/>
        <v>34690.14</v>
      </c>
      <c r="R489" s="169">
        <f t="shared" si="270"/>
        <v>34516.688000000002</v>
      </c>
      <c r="S489" s="169">
        <f t="shared" si="270"/>
        <v>34344.108</v>
      </c>
      <c r="T489" s="169">
        <f t="shared" si="270"/>
        <v>34172.383999999998</v>
      </c>
      <c r="U489" s="169">
        <f t="shared" si="270"/>
        <v>34001.523999999998</v>
      </c>
      <c r="V489" s="169">
        <f t="shared" si="270"/>
        <v>33831.516000000003</v>
      </c>
      <c r="W489" s="169">
        <f t="shared" si="270"/>
        <v>33662.36</v>
      </c>
      <c r="X489" s="169">
        <f t="shared" si="270"/>
        <v>33494.046000000002</v>
      </c>
      <c r="Y489" s="169">
        <f t="shared" si="270"/>
        <v>33326.576000000001</v>
      </c>
      <c r="Z489" s="169">
        <f t="shared" si="270"/>
        <v>33159.944000000003</v>
      </c>
      <c r="AA489" s="169">
        <f t="shared" si="270"/>
        <v>32994.144</v>
      </c>
      <c r="AB489" s="169">
        <f t="shared" si="270"/>
        <v>0</v>
      </c>
      <c r="AC489" s="169">
        <f t="shared" si="270"/>
        <v>0</v>
      </c>
      <c r="AD489" s="169">
        <f t="shared" si="270"/>
        <v>0</v>
      </c>
      <c r="AE489" s="169">
        <f t="shared" si="270"/>
        <v>0</v>
      </c>
      <c r="AF489" s="169">
        <f t="shared" si="270"/>
        <v>0</v>
      </c>
      <c r="AG489" s="169">
        <f t="shared" si="270"/>
        <v>0</v>
      </c>
      <c r="AH489" s="169">
        <f t="shared" si="270"/>
        <v>0</v>
      </c>
      <c r="AI489" s="169">
        <f t="shared" si="270"/>
        <v>0</v>
      </c>
      <c r="AJ489" s="169">
        <f t="shared" si="270"/>
        <v>0</v>
      </c>
      <c r="AK489" s="169">
        <f t="shared" si="270"/>
        <v>0</v>
      </c>
      <c r="AL489" s="169">
        <f t="shared" si="270"/>
        <v>0</v>
      </c>
      <c r="AM489" s="169">
        <f t="shared" si="270"/>
        <v>0</v>
      </c>
      <c r="AN489" s="169">
        <f t="shared" si="270"/>
        <v>0</v>
      </c>
      <c r="AO489" s="169">
        <f t="shared" si="270"/>
        <v>0</v>
      </c>
      <c r="AP489" s="169">
        <f t="shared" si="270"/>
        <v>0</v>
      </c>
    </row>
    <row r="490" spans="1:42" s="17" customFormat="1" x14ac:dyDescent="0.2">
      <c r="A490" s="33" t="s">
        <v>13</v>
      </c>
      <c r="C490" s="168">
        <f>C488*C489</f>
        <v>0</v>
      </c>
      <c r="D490" s="168">
        <f>D488*D489</f>
        <v>0</v>
      </c>
      <c r="E490" s="168">
        <f t="shared" ref="E490:AP490" si="271">E488*E489</f>
        <v>0</v>
      </c>
      <c r="F490" s="168">
        <f t="shared" si="271"/>
        <v>0</v>
      </c>
      <c r="G490" s="168">
        <f t="shared" si="271"/>
        <v>0</v>
      </c>
      <c r="H490" s="168">
        <f t="shared" si="271"/>
        <v>0</v>
      </c>
      <c r="I490" s="168">
        <f t="shared" si="271"/>
        <v>0</v>
      </c>
      <c r="J490" s="168">
        <f t="shared" si="271"/>
        <v>0</v>
      </c>
      <c r="K490" s="168">
        <f t="shared" si="271"/>
        <v>0</v>
      </c>
      <c r="L490" s="168">
        <f t="shared" si="271"/>
        <v>0</v>
      </c>
      <c r="M490" s="168">
        <f t="shared" si="271"/>
        <v>0</v>
      </c>
      <c r="N490" s="168">
        <f t="shared" si="271"/>
        <v>0</v>
      </c>
      <c r="O490" s="168">
        <f t="shared" si="271"/>
        <v>0</v>
      </c>
      <c r="P490" s="168">
        <f t="shared" si="271"/>
        <v>0</v>
      </c>
      <c r="Q490" s="168">
        <f t="shared" si="271"/>
        <v>0</v>
      </c>
      <c r="R490" s="168">
        <f t="shared" si="271"/>
        <v>0</v>
      </c>
      <c r="S490" s="168">
        <f t="shared" si="271"/>
        <v>0</v>
      </c>
      <c r="T490" s="168">
        <f t="shared" si="271"/>
        <v>0</v>
      </c>
      <c r="U490" s="168">
        <f t="shared" si="271"/>
        <v>0</v>
      </c>
      <c r="V490" s="168">
        <f t="shared" si="271"/>
        <v>0</v>
      </c>
      <c r="W490" s="168">
        <f t="shared" si="271"/>
        <v>0</v>
      </c>
      <c r="X490" s="168">
        <f t="shared" si="271"/>
        <v>0</v>
      </c>
      <c r="Y490" s="168">
        <f t="shared" si="271"/>
        <v>0</v>
      </c>
      <c r="Z490" s="168">
        <f t="shared" si="271"/>
        <v>0</v>
      </c>
      <c r="AA490" s="168">
        <f t="shared" si="271"/>
        <v>0</v>
      </c>
      <c r="AB490" s="168">
        <f t="shared" si="271"/>
        <v>0</v>
      </c>
      <c r="AC490" s="168">
        <f t="shared" si="271"/>
        <v>0</v>
      </c>
      <c r="AD490" s="168">
        <f t="shared" si="271"/>
        <v>0</v>
      </c>
      <c r="AE490" s="168">
        <f t="shared" si="271"/>
        <v>0</v>
      </c>
      <c r="AF490" s="168">
        <f t="shared" si="271"/>
        <v>0</v>
      </c>
      <c r="AG490" s="168">
        <f t="shared" si="271"/>
        <v>0</v>
      </c>
      <c r="AH490" s="168">
        <f t="shared" si="271"/>
        <v>0</v>
      </c>
      <c r="AI490" s="168">
        <f t="shared" si="271"/>
        <v>0</v>
      </c>
      <c r="AJ490" s="168">
        <f t="shared" si="271"/>
        <v>0</v>
      </c>
      <c r="AK490" s="168">
        <f t="shared" si="271"/>
        <v>0</v>
      </c>
      <c r="AL490" s="168">
        <f t="shared" si="271"/>
        <v>0</v>
      </c>
      <c r="AM490" s="168">
        <f t="shared" si="271"/>
        <v>0</v>
      </c>
      <c r="AN490" s="168">
        <f t="shared" si="271"/>
        <v>0</v>
      </c>
      <c r="AO490" s="168">
        <f t="shared" si="271"/>
        <v>0</v>
      </c>
      <c r="AP490" s="168">
        <f t="shared" si="271"/>
        <v>0</v>
      </c>
    </row>
    <row r="491" spans="1:42" s="17" customFormat="1" x14ac:dyDescent="0.2">
      <c r="A491" s="33"/>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x14ac:dyDescent="0.2">
      <c r="A492" s="30" t="s">
        <v>16</v>
      </c>
      <c r="B492" s="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row>
    <row r="493" spans="1:42" x14ac:dyDescent="0.2">
      <c r="A493" s="31" t="str">
        <f>Inputs!B109</f>
        <v>As fixed amount</v>
      </c>
      <c r="B493" s="17"/>
      <c r="C493" s="17"/>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row>
    <row r="494" spans="1:42" x14ac:dyDescent="0.2">
      <c r="A494" s="33" t="str">
        <f>Inputs!B110</f>
        <v>Federal ($)</v>
      </c>
      <c r="B494" s="17"/>
      <c r="C494" s="194">
        <f>ibi_fed_amount</f>
        <v>5000</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row>
    <row r="495" spans="1:42" x14ac:dyDescent="0.2">
      <c r="A495" s="33" t="str">
        <f>Inputs!B111</f>
        <v>State ($)</v>
      </c>
      <c r="B495" s="17"/>
      <c r="C495" s="194">
        <f>ibi_sta_amount</f>
        <v>0</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row>
    <row r="496" spans="1:42" x14ac:dyDescent="0.2">
      <c r="A496" s="33" t="str">
        <f>Inputs!B112</f>
        <v>Utility ($)</v>
      </c>
      <c r="B496" s="17"/>
      <c r="C496" s="194">
        <f>ibi_uti_amount</f>
        <v>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row>
    <row r="497" spans="1:42" x14ac:dyDescent="0.2">
      <c r="A497" s="33" t="str">
        <f>Inputs!B113</f>
        <v>Other ($)</v>
      </c>
      <c r="C497" s="169">
        <f>ibi_oth_amount</f>
        <v>0</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row>
    <row r="498" spans="1:42" x14ac:dyDescent="0.2">
      <c r="A498" s="28" t="s">
        <v>13</v>
      </c>
      <c r="C498" s="195">
        <f>SUM(C494:C497)</f>
        <v>5000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1" t="str">
        <f>Inputs!B114</f>
        <v>As percentage</v>
      </c>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Inputs!B115</f>
        <v>Federal (% of total installed cost)</v>
      </c>
      <c r="C500" s="216">
        <f>MIN(ibi_fed_percent/100*total_installed_cost,Inputs!D115)</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Inputs!B116</f>
        <v>State (% of total installed cost)</v>
      </c>
      <c r="C501" s="216">
        <f>MIN(ibi_sta_percent/100*total_installed_cost,Inputs!D116)</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Inputs!B117</f>
        <v>Utility (% of total installed cost)</v>
      </c>
      <c r="C502" s="216">
        <f>MIN(ibi_uti_percent/100*total_installed_cost,Inputs!D117)</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Inputs!B118</f>
        <v>Other (% of total installed cost)</v>
      </c>
      <c r="C503" s="216">
        <f>MIN(ibi_oth_percent/100*total_installed_cost,Inputs!D118)</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
        <v>13</v>
      </c>
      <c r="C504" s="174">
        <f>SUM(C500:C503)</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c r="C505" s="168"/>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0" t="s">
        <v>45</v>
      </c>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Inputs!B120</f>
        <v>Federal ($/W)</v>
      </c>
      <c r="B507" s="17"/>
      <c r="C507" s="216">
        <f>MIN(cbi_fed_amount*system_capacity*1000,cbi_fed_maxvalue)</f>
        <v>999920.00000000012</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1" t="str">
        <f>Inputs!B121</f>
        <v>State ($/W)</v>
      </c>
      <c r="B508" s="17"/>
      <c r="C508" s="216">
        <f>MIN(cbi_sta_amount*system_capacity*1000,cbi_sta_maxvalue)</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1" t="str">
        <f>Inputs!B122</f>
        <v>Utility ($/W)</v>
      </c>
      <c r="B509" s="17"/>
      <c r="C509" s="216">
        <f>MIN(cbi_uti_amount*system_capacity*1000,cbi_uti_maxvalue)</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1" t="str">
        <f>Inputs!B123</f>
        <v>Other ($/W)</v>
      </c>
      <c r="C510" s="216">
        <f>MIN(cbi_oth_amount*system_capacity*1000,cbi_oth_maxvalue)</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24" t="s">
        <v>13</v>
      </c>
      <c r="C511" s="174">
        <f>SUM(C507:C510)</f>
        <v>999920.00000000012</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0" t="s">
        <v>42</v>
      </c>
    </row>
    <row r="514" spans="1:42" x14ac:dyDescent="0.2">
      <c r="A514" s="24" t="str">
        <f>Inputs!B125</f>
        <v>Federal ($/kWh)</v>
      </c>
    </row>
    <row r="515" spans="1:42" x14ac:dyDescent="0.2">
      <c r="A515" s="28" t="s">
        <v>43</v>
      </c>
      <c r="C515" s="158">
        <f t="shared" ref="C515:AP515" si="272">IF(AND(C$2&lt;=pbi_fed_term,C$2&lt;=analysis_period),pbi_fed_amount*(1+pbi_fed_escal/100)^B$2,0)</f>
        <v>0</v>
      </c>
      <c r="D515" s="158">
        <f t="shared" si="272"/>
        <v>0</v>
      </c>
      <c r="E515" s="158">
        <f t="shared" si="272"/>
        <v>0</v>
      </c>
      <c r="F515" s="158">
        <f t="shared" si="272"/>
        <v>0</v>
      </c>
      <c r="G515" s="158">
        <f t="shared" si="272"/>
        <v>0</v>
      </c>
      <c r="H515" s="158">
        <f t="shared" si="272"/>
        <v>0</v>
      </c>
      <c r="I515" s="158">
        <f t="shared" si="272"/>
        <v>0</v>
      </c>
      <c r="J515" s="158">
        <f t="shared" si="272"/>
        <v>0</v>
      </c>
      <c r="K515" s="158">
        <f t="shared" si="272"/>
        <v>0</v>
      </c>
      <c r="L515" s="158">
        <f t="shared" si="272"/>
        <v>0</v>
      </c>
      <c r="M515" s="158">
        <f t="shared" si="272"/>
        <v>0</v>
      </c>
      <c r="N515" s="158">
        <f t="shared" si="272"/>
        <v>0</v>
      </c>
      <c r="O515" s="158">
        <f t="shared" si="272"/>
        <v>0</v>
      </c>
      <c r="P515" s="158">
        <f t="shared" si="272"/>
        <v>0</v>
      </c>
      <c r="Q515" s="158">
        <f t="shared" si="272"/>
        <v>0</v>
      </c>
      <c r="R515" s="158">
        <f t="shared" si="272"/>
        <v>0</v>
      </c>
      <c r="S515" s="158">
        <f t="shared" si="272"/>
        <v>0</v>
      </c>
      <c r="T515" s="158">
        <f t="shared" si="272"/>
        <v>0</v>
      </c>
      <c r="U515" s="158">
        <f t="shared" si="272"/>
        <v>0</v>
      </c>
      <c r="V515" s="158">
        <f t="shared" si="272"/>
        <v>0</v>
      </c>
      <c r="W515" s="158">
        <f t="shared" si="272"/>
        <v>0</v>
      </c>
      <c r="X515" s="158">
        <f t="shared" si="272"/>
        <v>0</v>
      </c>
      <c r="Y515" s="158">
        <f t="shared" si="272"/>
        <v>0</v>
      </c>
      <c r="Z515" s="158">
        <f t="shared" si="272"/>
        <v>0</v>
      </c>
      <c r="AA515" s="158">
        <f t="shared" si="272"/>
        <v>0</v>
      </c>
      <c r="AB515" s="158">
        <f t="shared" si="272"/>
        <v>0</v>
      </c>
      <c r="AC515" s="158">
        <f t="shared" si="272"/>
        <v>0</v>
      </c>
      <c r="AD515" s="158">
        <f t="shared" si="272"/>
        <v>0</v>
      </c>
      <c r="AE515" s="158">
        <f t="shared" si="272"/>
        <v>0</v>
      </c>
      <c r="AF515" s="158">
        <f t="shared" si="272"/>
        <v>0</v>
      </c>
      <c r="AG515" s="158">
        <f t="shared" si="272"/>
        <v>0</v>
      </c>
      <c r="AH515" s="158">
        <f t="shared" si="272"/>
        <v>0</v>
      </c>
      <c r="AI515" s="158">
        <f t="shared" si="272"/>
        <v>0</v>
      </c>
      <c r="AJ515" s="158">
        <f t="shared" si="272"/>
        <v>0</v>
      </c>
      <c r="AK515" s="158">
        <f t="shared" si="272"/>
        <v>0</v>
      </c>
      <c r="AL515" s="158">
        <f t="shared" si="272"/>
        <v>0</v>
      </c>
      <c r="AM515" s="158">
        <f t="shared" si="272"/>
        <v>0</v>
      </c>
      <c r="AN515" s="158">
        <f t="shared" si="272"/>
        <v>0</v>
      </c>
      <c r="AO515" s="158">
        <f t="shared" si="272"/>
        <v>0</v>
      </c>
      <c r="AP515" s="158">
        <f t="shared" si="272"/>
        <v>0</v>
      </c>
    </row>
    <row r="516" spans="1:42" x14ac:dyDescent="0.2">
      <c r="A516" s="28" t="s">
        <v>44</v>
      </c>
      <c r="C516" s="169">
        <f>C$5</f>
        <v>37211992</v>
      </c>
      <c r="D516" s="169">
        <f t="shared" ref="D516:AP516" si="273">D$5</f>
        <v>37025932</v>
      </c>
      <c r="E516" s="169">
        <f t="shared" si="273"/>
        <v>36840804</v>
      </c>
      <c r="F516" s="169">
        <f t="shared" si="273"/>
        <v>36656600</v>
      </c>
      <c r="G516" s="169">
        <f t="shared" si="273"/>
        <v>36473316</v>
      </c>
      <c r="H516" s="169">
        <f t="shared" si="273"/>
        <v>36290948</v>
      </c>
      <c r="I516" s="169">
        <f t="shared" si="273"/>
        <v>36109496</v>
      </c>
      <c r="J516" s="169">
        <f t="shared" si="273"/>
        <v>35928948</v>
      </c>
      <c r="K516" s="169">
        <f t="shared" si="273"/>
        <v>35749304</v>
      </c>
      <c r="L516" s="169">
        <f t="shared" si="273"/>
        <v>35570556</v>
      </c>
      <c r="M516" s="169">
        <f t="shared" si="273"/>
        <v>35392704</v>
      </c>
      <c r="N516" s="169">
        <f t="shared" si="273"/>
        <v>35215740</v>
      </c>
      <c r="O516" s="169">
        <f t="shared" si="273"/>
        <v>35039660</v>
      </c>
      <c r="P516" s="169">
        <f t="shared" si="273"/>
        <v>34864464</v>
      </c>
      <c r="Q516" s="169">
        <f t="shared" si="273"/>
        <v>34690140</v>
      </c>
      <c r="R516" s="169">
        <f t="shared" si="273"/>
        <v>34516688</v>
      </c>
      <c r="S516" s="169">
        <f t="shared" si="273"/>
        <v>34344108</v>
      </c>
      <c r="T516" s="169">
        <f t="shared" si="273"/>
        <v>34172384</v>
      </c>
      <c r="U516" s="169">
        <f t="shared" si="273"/>
        <v>34001524</v>
      </c>
      <c r="V516" s="169">
        <f t="shared" si="273"/>
        <v>33831516</v>
      </c>
      <c r="W516" s="169">
        <f t="shared" si="273"/>
        <v>33662360</v>
      </c>
      <c r="X516" s="169">
        <f t="shared" si="273"/>
        <v>33494046</v>
      </c>
      <c r="Y516" s="169">
        <f t="shared" si="273"/>
        <v>33326576</v>
      </c>
      <c r="Z516" s="169">
        <f t="shared" si="273"/>
        <v>33159944</v>
      </c>
      <c r="AA516" s="169">
        <f t="shared" si="273"/>
        <v>32994144</v>
      </c>
      <c r="AB516" s="169">
        <f t="shared" si="273"/>
        <v>0</v>
      </c>
      <c r="AC516" s="169">
        <f t="shared" si="273"/>
        <v>0</v>
      </c>
      <c r="AD516" s="169">
        <f t="shared" si="273"/>
        <v>0</v>
      </c>
      <c r="AE516" s="169">
        <f t="shared" si="273"/>
        <v>0</v>
      </c>
      <c r="AF516" s="169">
        <f t="shared" si="273"/>
        <v>0</v>
      </c>
      <c r="AG516" s="169">
        <f t="shared" si="273"/>
        <v>0</v>
      </c>
      <c r="AH516" s="169">
        <f t="shared" si="273"/>
        <v>0</v>
      </c>
      <c r="AI516" s="169">
        <f t="shared" si="273"/>
        <v>0</v>
      </c>
      <c r="AJ516" s="169">
        <f t="shared" si="273"/>
        <v>0</v>
      </c>
      <c r="AK516" s="169">
        <f t="shared" si="273"/>
        <v>0</v>
      </c>
      <c r="AL516" s="169">
        <f t="shared" si="273"/>
        <v>0</v>
      </c>
      <c r="AM516" s="169">
        <f t="shared" si="273"/>
        <v>0</v>
      </c>
      <c r="AN516" s="169">
        <f t="shared" si="273"/>
        <v>0</v>
      </c>
      <c r="AO516" s="169">
        <f t="shared" si="273"/>
        <v>0</v>
      </c>
      <c r="AP516" s="169">
        <f t="shared" si="273"/>
        <v>0</v>
      </c>
    </row>
    <row r="517" spans="1:42" x14ac:dyDescent="0.2">
      <c r="A517" s="28" t="s">
        <v>13</v>
      </c>
      <c r="C517" s="194">
        <f>C515*C516</f>
        <v>0</v>
      </c>
      <c r="D517" s="194">
        <f t="shared" ref="D517:AP517" si="274">D515*D516</f>
        <v>0</v>
      </c>
      <c r="E517" s="194">
        <f t="shared" si="274"/>
        <v>0</v>
      </c>
      <c r="F517" s="194">
        <f t="shared" si="274"/>
        <v>0</v>
      </c>
      <c r="G517" s="194">
        <f t="shared" si="274"/>
        <v>0</v>
      </c>
      <c r="H517" s="194">
        <f t="shared" si="274"/>
        <v>0</v>
      </c>
      <c r="I517" s="194">
        <f t="shared" si="274"/>
        <v>0</v>
      </c>
      <c r="J517" s="194">
        <f t="shared" si="274"/>
        <v>0</v>
      </c>
      <c r="K517" s="194">
        <f t="shared" si="274"/>
        <v>0</v>
      </c>
      <c r="L517" s="194">
        <f t="shared" si="274"/>
        <v>0</v>
      </c>
      <c r="M517" s="194">
        <f t="shared" si="274"/>
        <v>0</v>
      </c>
      <c r="N517" s="194">
        <f t="shared" si="274"/>
        <v>0</v>
      </c>
      <c r="O517" s="194">
        <f t="shared" si="274"/>
        <v>0</v>
      </c>
      <c r="P517" s="194">
        <f t="shared" si="274"/>
        <v>0</v>
      </c>
      <c r="Q517" s="194">
        <f t="shared" si="274"/>
        <v>0</v>
      </c>
      <c r="R517" s="194">
        <f t="shared" si="274"/>
        <v>0</v>
      </c>
      <c r="S517" s="194">
        <f t="shared" si="274"/>
        <v>0</v>
      </c>
      <c r="T517" s="194">
        <f t="shared" si="274"/>
        <v>0</v>
      </c>
      <c r="U517" s="194">
        <f t="shared" si="274"/>
        <v>0</v>
      </c>
      <c r="V517" s="194">
        <f t="shared" si="274"/>
        <v>0</v>
      </c>
      <c r="W517" s="194">
        <f t="shared" si="274"/>
        <v>0</v>
      </c>
      <c r="X517" s="194">
        <f t="shared" si="274"/>
        <v>0</v>
      </c>
      <c r="Y517" s="194">
        <f t="shared" si="274"/>
        <v>0</v>
      </c>
      <c r="Z517" s="194">
        <f t="shared" si="274"/>
        <v>0</v>
      </c>
      <c r="AA517" s="194">
        <f t="shared" si="274"/>
        <v>0</v>
      </c>
      <c r="AB517" s="194">
        <f t="shared" si="274"/>
        <v>0</v>
      </c>
      <c r="AC517" s="194">
        <f t="shared" si="274"/>
        <v>0</v>
      </c>
      <c r="AD517" s="194">
        <f t="shared" si="274"/>
        <v>0</v>
      </c>
      <c r="AE517" s="194">
        <f t="shared" si="274"/>
        <v>0</v>
      </c>
      <c r="AF517" s="194">
        <f t="shared" si="274"/>
        <v>0</v>
      </c>
      <c r="AG517" s="194">
        <f t="shared" si="274"/>
        <v>0</v>
      </c>
      <c r="AH517" s="194">
        <f t="shared" si="274"/>
        <v>0</v>
      </c>
      <c r="AI517" s="194">
        <f t="shared" si="274"/>
        <v>0</v>
      </c>
      <c r="AJ517" s="194">
        <f t="shared" si="274"/>
        <v>0</v>
      </c>
      <c r="AK517" s="194">
        <f t="shared" si="274"/>
        <v>0</v>
      </c>
      <c r="AL517" s="194">
        <f t="shared" si="274"/>
        <v>0</v>
      </c>
      <c r="AM517" s="194">
        <f t="shared" si="274"/>
        <v>0</v>
      </c>
      <c r="AN517" s="194">
        <f t="shared" si="274"/>
        <v>0</v>
      </c>
      <c r="AO517" s="194">
        <f t="shared" si="274"/>
        <v>0</v>
      </c>
      <c r="AP517" s="194">
        <f t="shared" si="274"/>
        <v>0</v>
      </c>
    </row>
    <row r="518" spans="1:42" x14ac:dyDescent="0.2">
      <c r="A518" s="24" t="str">
        <f>Inputs!B126</f>
        <v>State ($/kWh)</v>
      </c>
    </row>
    <row r="519" spans="1:42" x14ac:dyDescent="0.2">
      <c r="A519" s="28" t="s">
        <v>43</v>
      </c>
      <c r="C519" s="142">
        <f t="shared" ref="C519:AP519" si="275">IF(AND(C$2&lt;=pbi_sta_term,C$2&lt;=analysis_period),pbi_sta_amount*(1+pbi_sta_escal/100)^B$2,0)</f>
        <v>0</v>
      </c>
      <c r="D519" s="142">
        <f t="shared" si="275"/>
        <v>0</v>
      </c>
      <c r="E519" s="142">
        <f t="shared" si="275"/>
        <v>0</v>
      </c>
      <c r="F519" s="142">
        <f t="shared" si="275"/>
        <v>0</v>
      </c>
      <c r="G519" s="142">
        <f t="shared" si="275"/>
        <v>0</v>
      </c>
      <c r="H519" s="142">
        <f t="shared" si="275"/>
        <v>0</v>
      </c>
      <c r="I519" s="142">
        <f t="shared" si="275"/>
        <v>0</v>
      </c>
      <c r="J519" s="142">
        <f t="shared" si="275"/>
        <v>0</v>
      </c>
      <c r="K519" s="142">
        <f t="shared" si="275"/>
        <v>0</v>
      </c>
      <c r="L519" s="142">
        <f t="shared" si="275"/>
        <v>0</v>
      </c>
      <c r="M519" s="142">
        <f t="shared" si="275"/>
        <v>0</v>
      </c>
      <c r="N519" s="142">
        <f t="shared" si="275"/>
        <v>0</v>
      </c>
      <c r="O519" s="142">
        <f t="shared" si="275"/>
        <v>0</v>
      </c>
      <c r="P519" s="142">
        <f t="shared" si="275"/>
        <v>0</v>
      </c>
      <c r="Q519" s="142">
        <f t="shared" si="275"/>
        <v>0</v>
      </c>
      <c r="R519" s="142">
        <f t="shared" si="275"/>
        <v>0</v>
      </c>
      <c r="S519" s="142">
        <f t="shared" si="275"/>
        <v>0</v>
      </c>
      <c r="T519" s="142">
        <f t="shared" si="275"/>
        <v>0</v>
      </c>
      <c r="U519" s="142">
        <f t="shared" si="275"/>
        <v>0</v>
      </c>
      <c r="V519" s="142">
        <f t="shared" si="275"/>
        <v>0</v>
      </c>
      <c r="W519" s="142">
        <f t="shared" si="275"/>
        <v>0</v>
      </c>
      <c r="X519" s="142">
        <f t="shared" si="275"/>
        <v>0</v>
      </c>
      <c r="Y519" s="142">
        <f t="shared" si="275"/>
        <v>0</v>
      </c>
      <c r="Z519" s="142">
        <f t="shared" si="275"/>
        <v>0</v>
      </c>
      <c r="AA519" s="142">
        <f t="shared" si="275"/>
        <v>0</v>
      </c>
      <c r="AB519" s="142">
        <f t="shared" si="275"/>
        <v>0</v>
      </c>
      <c r="AC519" s="142">
        <f t="shared" si="275"/>
        <v>0</v>
      </c>
      <c r="AD519" s="142">
        <f t="shared" si="275"/>
        <v>0</v>
      </c>
      <c r="AE519" s="142">
        <f t="shared" si="275"/>
        <v>0</v>
      </c>
      <c r="AF519" s="142">
        <f t="shared" si="275"/>
        <v>0</v>
      </c>
      <c r="AG519" s="142">
        <f t="shared" si="275"/>
        <v>0</v>
      </c>
      <c r="AH519" s="142">
        <f t="shared" si="275"/>
        <v>0</v>
      </c>
      <c r="AI519" s="142">
        <f t="shared" si="275"/>
        <v>0</v>
      </c>
      <c r="AJ519" s="142">
        <f t="shared" si="275"/>
        <v>0</v>
      </c>
      <c r="AK519" s="142">
        <f t="shared" si="275"/>
        <v>0</v>
      </c>
      <c r="AL519" s="142">
        <f t="shared" si="275"/>
        <v>0</v>
      </c>
      <c r="AM519" s="142">
        <f t="shared" si="275"/>
        <v>0</v>
      </c>
      <c r="AN519" s="142">
        <f t="shared" si="275"/>
        <v>0</v>
      </c>
      <c r="AO519" s="142">
        <f t="shared" si="275"/>
        <v>0</v>
      </c>
      <c r="AP519" s="142">
        <f t="shared" si="275"/>
        <v>0</v>
      </c>
    </row>
    <row r="520" spans="1:42" x14ac:dyDescent="0.2">
      <c r="A520" s="28" t="s">
        <v>44</v>
      </c>
      <c r="C520" s="169">
        <f>C$5</f>
        <v>37211992</v>
      </c>
      <c r="D520" s="169">
        <f t="shared" ref="D520:AP520" si="276">D$5</f>
        <v>37025932</v>
      </c>
      <c r="E520" s="169">
        <f t="shared" si="276"/>
        <v>36840804</v>
      </c>
      <c r="F520" s="169">
        <f t="shared" si="276"/>
        <v>36656600</v>
      </c>
      <c r="G520" s="169">
        <f t="shared" si="276"/>
        <v>36473316</v>
      </c>
      <c r="H520" s="169">
        <f t="shared" si="276"/>
        <v>36290948</v>
      </c>
      <c r="I520" s="169">
        <f t="shared" si="276"/>
        <v>36109496</v>
      </c>
      <c r="J520" s="169">
        <f t="shared" si="276"/>
        <v>35928948</v>
      </c>
      <c r="K520" s="169">
        <f t="shared" si="276"/>
        <v>35749304</v>
      </c>
      <c r="L520" s="169">
        <f t="shared" si="276"/>
        <v>35570556</v>
      </c>
      <c r="M520" s="169">
        <f t="shared" si="276"/>
        <v>35392704</v>
      </c>
      <c r="N520" s="169">
        <f t="shared" si="276"/>
        <v>35215740</v>
      </c>
      <c r="O520" s="169">
        <f t="shared" si="276"/>
        <v>35039660</v>
      </c>
      <c r="P520" s="169">
        <f t="shared" si="276"/>
        <v>34864464</v>
      </c>
      <c r="Q520" s="169">
        <f t="shared" si="276"/>
        <v>34690140</v>
      </c>
      <c r="R520" s="169">
        <f t="shared" si="276"/>
        <v>34516688</v>
      </c>
      <c r="S520" s="169">
        <f t="shared" si="276"/>
        <v>34344108</v>
      </c>
      <c r="T520" s="169">
        <f t="shared" si="276"/>
        <v>34172384</v>
      </c>
      <c r="U520" s="169">
        <f t="shared" si="276"/>
        <v>34001524</v>
      </c>
      <c r="V520" s="169">
        <f t="shared" si="276"/>
        <v>33831516</v>
      </c>
      <c r="W520" s="169">
        <f t="shared" si="276"/>
        <v>33662360</v>
      </c>
      <c r="X520" s="169">
        <f t="shared" si="276"/>
        <v>33494046</v>
      </c>
      <c r="Y520" s="169">
        <f t="shared" si="276"/>
        <v>33326576</v>
      </c>
      <c r="Z520" s="169">
        <f t="shared" si="276"/>
        <v>33159944</v>
      </c>
      <c r="AA520" s="169">
        <f t="shared" si="276"/>
        <v>32994144</v>
      </c>
      <c r="AB520" s="169">
        <f t="shared" si="276"/>
        <v>0</v>
      </c>
      <c r="AC520" s="169">
        <f t="shared" si="276"/>
        <v>0</v>
      </c>
      <c r="AD520" s="169">
        <f t="shared" si="276"/>
        <v>0</v>
      </c>
      <c r="AE520" s="169">
        <f t="shared" si="276"/>
        <v>0</v>
      </c>
      <c r="AF520" s="169">
        <f t="shared" si="276"/>
        <v>0</v>
      </c>
      <c r="AG520" s="169">
        <f t="shared" si="276"/>
        <v>0</v>
      </c>
      <c r="AH520" s="169">
        <f t="shared" si="276"/>
        <v>0</v>
      </c>
      <c r="AI520" s="169">
        <f t="shared" si="276"/>
        <v>0</v>
      </c>
      <c r="AJ520" s="169">
        <f t="shared" si="276"/>
        <v>0</v>
      </c>
      <c r="AK520" s="169">
        <f t="shared" si="276"/>
        <v>0</v>
      </c>
      <c r="AL520" s="169">
        <f t="shared" si="276"/>
        <v>0</v>
      </c>
      <c r="AM520" s="169">
        <f t="shared" si="276"/>
        <v>0</v>
      </c>
      <c r="AN520" s="169">
        <f t="shared" si="276"/>
        <v>0</v>
      </c>
      <c r="AO520" s="169">
        <f t="shared" si="276"/>
        <v>0</v>
      </c>
      <c r="AP520" s="169">
        <f t="shared" si="276"/>
        <v>0</v>
      </c>
    </row>
    <row r="521" spans="1:42" x14ac:dyDescent="0.2">
      <c r="A521" s="28" t="s">
        <v>13</v>
      </c>
      <c r="C521" s="194">
        <f>C519*C520</f>
        <v>0</v>
      </c>
      <c r="D521" s="194">
        <f t="shared" ref="D521:AP521" si="277">D519*D520</f>
        <v>0</v>
      </c>
      <c r="E521" s="194">
        <f t="shared" si="277"/>
        <v>0</v>
      </c>
      <c r="F521" s="194">
        <f t="shared" si="277"/>
        <v>0</v>
      </c>
      <c r="G521" s="194">
        <f t="shared" si="277"/>
        <v>0</v>
      </c>
      <c r="H521" s="194">
        <f t="shared" si="277"/>
        <v>0</v>
      </c>
      <c r="I521" s="194">
        <f t="shared" si="277"/>
        <v>0</v>
      </c>
      <c r="J521" s="194">
        <f t="shared" si="277"/>
        <v>0</v>
      </c>
      <c r="K521" s="194">
        <f t="shared" si="277"/>
        <v>0</v>
      </c>
      <c r="L521" s="194">
        <f t="shared" si="277"/>
        <v>0</v>
      </c>
      <c r="M521" s="194">
        <f t="shared" si="277"/>
        <v>0</v>
      </c>
      <c r="N521" s="194">
        <f t="shared" si="277"/>
        <v>0</v>
      </c>
      <c r="O521" s="194">
        <f t="shared" si="277"/>
        <v>0</v>
      </c>
      <c r="P521" s="194">
        <f t="shared" si="277"/>
        <v>0</v>
      </c>
      <c r="Q521" s="194">
        <f t="shared" si="277"/>
        <v>0</v>
      </c>
      <c r="R521" s="194">
        <f t="shared" si="277"/>
        <v>0</v>
      </c>
      <c r="S521" s="194">
        <f t="shared" si="277"/>
        <v>0</v>
      </c>
      <c r="T521" s="194">
        <f t="shared" si="277"/>
        <v>0</v>
      </c>
      <c r="U521" s="194">
        <f t="shared" si="277"/>
        <v>0</v>
      </c>
      <c r="V521" s="194">
        <f t="shared" si="277"/>
        <v>0</v>
      </c>
      <c r="W521" s="194">
        <f t="shared" si="277"/>
        <v>0</v>
      </c>
      <c r="X521" s="194">
        <f t="shared" si="277"/>
        <v>0</v>
      </c>
      <c r="Y521" s="194">
        <f t="shared" si="277"/>
        <v>0</v>
      </c>
      <c r="Z521" s="194">
        <f t="shared" si="277"/>
        <v>0</v>
      </c>
      <c r="AA521" s="194">
        <f t="shared" si="277"/>
        <v>0</v>
      </c>
      <c r="AB521" s="194">
        <f t="shared" si="277"/>
        <v>0</v>
      </c>
      <c r="AC521" s="194">
        <f t="shared" si="277"/>
        <v>0</v>
      </c>
      <c r="AD521" s="194">
        <f t="shared" si="277"/>
        <v>0</v>
      </c>
      <c r="AE521" s="194">
        <f t="shared" si="277"/>
        <v>0</v>
      </c>
      <c r="AF521" s="194">
        <f t="shared" si="277"/>
        <v>0</v>
      </c>
      <c r="AG521" s="194">
        <f t="shared" si="277"/>
        <v>0</v>
      </c>
      <c r="AH521" s="194">
        <f t="shared" si="277"/>
        <v>0</v>
      </c>
      <c r="AI521" s="194">
        <f t="shared" si="277"/>
        <v>0</v>
      </c>
      <c r="AJ521" s="194">
        <f t="shared" si="277"/>
        <v>0</v>
      </c>
      <c r="AK521" s="194">
        <f t="shared" si="277"/>
        <v>0</v>
      </c>
      <c r="AL521" s="194">
        <f t="shared" si="277"/>
        <v>0</v>
      </c>
      <c r="AM521" s="194">
        <f t="shared" si="277"/>
        <v>0</v>
      </c>
      <c r="AN521" s="194">
        <f t="shared" si="277"/>
        <v>0</v>
      </c>
      <c r="AO521" s="194">
        <f t="shared" si="277"/>
        <v>0</v>
      </c>
      <c r="AP521" s="194">
        <f t="shared" si="277"/>
        <v>0</v>
      </c>
    </row>
    <row r="522" spans="1:42" x14ac:dyDescent="0.2">
      <c r="A522" s="24" t="str">
        <f>Inputs!B127</f>
        <v>Utility ($/kWh)</v>
      </c>
    </row>
    <row r="523" spans="1:42" x14ac:dyDescent="0.2">
      <c r="A523" s="28" t="s">
        <v>43</v>
      </c>
      <c r="C523" s="142">
        <f t="shared" ref="C523:AP523" si="278">IF(AND(C$2&lt;=pbi_uti_term,C$2&lt;=analysis_period),pbi_uti_amount*(1+pbi_uti_escal/100)^B$2,0)</f>
        <v>0</v>
      </c>
      <c r="D523" s="142">
        <f t="shared" si="278"/>
        <v>0</v>
      </c>
      <c r="E523" s="142">
        <f t="shared" si="278"/>
        <v>0</v>
      </c>
      <c r="F523" s="142">
        <f t="shared" si="278"/>
        <v>0</v>
      </c>
      <c r="G523" s="142">
        <f t="shared" si="278"/>
        <v>0</v>
      </c>
      <c r="H523" s="142">
        <f t="shared" si="278"/>
        <v>0</v>
      </c>
      <c r="I523" s="142">
        <f t="shared" si="278"/>
        <v>0</v>
      </c>
      <c r="J523" s="142">
        <f t="shared" si="278"/>
        <v>0</v>
      </c>
      <c r="K523" s="142">
        <f t="shared" si="278"/>
        <v>0</v>
      </c>
      <c r="L523" s="142">
        <f t="shared" si="278"/>
        <v>0</v>
      </c>
      <c r="M523" s="142">
        <f t="shared" si="278"/>
        <v>0</v>
      </c>
      <c r="N523" s="142">
        <f t="shared" si="278"/>
        <v>0</v>
      </c>
      <c r="O523" s="142">
        <f t="shared" si="278"/>
        <v>0</v>
      </c>
      <c r="P523" s="142">
        <f t="shared" si="278"/>
        <v>0</v>
      </c>
      <c r="Q523" s="142">
        <f t="shared" si="278"/>
        <v>0</v>
      </c>
      <c r="R523" s="142">
        <f t="shared" si="278"/>
        <v>0</v>
      </c>
      <c r="S523" s="142">
        <f t="shared" si="278"/>
        <v>0</v>
      </c>
      <c r="T523" s="142">
        <f t="shared" si="278"/>
        <v>0</v>
      </c>
      <c r="U523" s="142">
        <f t="shared" si="278"/>
        <v>0</v>
      </c>
      <c r="V523" s="142">
        <f t="shared" si="278"/>
        <v>0</v>
      </c>
      <c r="W523" s="142">
        <f t="shared" si="278"/>
        <v>0</v>
      </c>
      <c r="X523" s="142">
        <f t="shared" si="278"/>
        <v>0</v>
      </c>
      <c r="Y523" s="142">
        <f t="shared" si="278"/>
        <v>0</v>
      </c>
      <c r="Z523" s="142">
        <f t="shared" si="278"/>
        <v>0</v>
      </c>
      <c r="AA523" s="142">
        <f t="shared" si="278"/>
        <v>0</v>
      </c>
      <c r="AB523" s="142">
        <f t="shared" si="278"/>
        <v>0</v>
      </c>
      <c r="AC523" s="142">
        <f t="shared" si="278"/>
        <v>0</v>
      </c>
      <c r="AD523" s="142">
        <f t="shared" si="278"/>
        <v>0</v>
      </c>
      <c r="AE523" s="142">
        <f t="shared" si="278"/>
        <v>0</v>
      </c>
      <c r="AF523" s="142">
        <f t="shared" si="278"/>
        <v>0</v>
      </c>
      <c r="AG523" s="142">
        <f t="shared" si="278"/>
        <v>0</v>
      </c>
      <c r="AH523" s="142">
        <f t="shared" si="278"/>
        <v>0</v>
      </c>
      <c r="AI523" s="142">
        <f t="shared" si="278"/>
        <v>0</v>
      </c>
      <c r="AJ523" s="142">
        <f t="shared" si="278"/>
        <v>0</v>
      </c>
      <c r="AK523" s="142">
        <f t="shared" si="278"/>
        <v>0</v>
      </c>
      <c r="AL523" s="142">
        <f t="shared" si="278"/>
        <v>0</v>
      </c>
      <c r="AM523" s="142">
        <f t="shared" si="278"/>
        <v>0</v>
      </c>
      <c r="AN523" s="142">
        <f t="shared" si="278"/>
        <v>0</v>
      </c>
      <c r="AO523" s="142">
        <f t="shared" si="278"/>
        <v>0</v>
      </c>
      <c r="AP523" s="142">
        <f t="shared" si="278"/>
        <v>0</v>
      </c>
    </row>
    <row r="524" spans="1:42" x14ac:dyDescent="0.2">
      <c r="A524" s="28" t="s">
        <v>44</v>
      </c>
      <c r="C524" s="169">
        <f>C$5</f>
        <v>37211992</v>
      </c>
      <c r="D524" s="169">
        <f t="shared" ref="D524:AP524" si="279">D$5</f>
        <v>37025932</v>
      </c>
      <c r="E524" s="169">
        <f t="shared" si="279"/>
        <v>36840804</v>
      </c>
      <c r="F524" s="169">
        <f t="shared" si="279"/>
        <v>36656600</v>
      </c>
      <c r="G524" s="169">
        <f t="shared" si="279"/>
        <v>36473316</v>
      </c>
      <c r="H524" s="169">
        <f t="shared" si="279"/>
        <v>36290948</v>
      </c>
      <c r="I524" s="169">
        <f t="shared" si="279"/>
        <v>36109496</v>
      </c>
      <c r="J524" s="169">
        <f t="shared" si="279"/>
        <v>35928948</v>
      </c>
      <c r="K524" s="169">
        <f t="shared" si="279"/>
        <v>35749304</v>
      </c>
      <c r="L524" s="169">
        <f t="shared" si="279"/>
        <v>35570556</v>
      </c>
      <c r="M524" s="169">
        <f t="shared" si="279"/>
        <v>35392704</v>
      </c>
      <c r="N524" s="169">
        <f t="shared" si="279"/>
        <v>35215740</v>
      </c>
      <c r="O524" s="169">
        <f t="shared" si="279"/>
        <v>35039660</v>
      </c>
      <c r="P524" s="169">
        <f t="shared" si="279"/>
        <v>34864464</v>
      </c>
      <c r="Q524" s="169">
        <f t="shared" si="279"/>
        <v>34690140</v>
      </c>
      <c r="R524" s="169">
        <f t="shared" si="279"/>
        <v>34516688</v>
      </c>
      <c r="S524" s="169">
        <f t="shared" si="279"/>
        <v>34344108</v>
      </c>
      <c r="T524" s="169">
        <f t="shared" si="279"/>
        <v>34172384</v>
      </c>
      <c r="U524" s="169">
        <f t="shared" si="279"/>
        <v>34001524</v>
      </c>
      <c r="V524" s="169">
        <f t="shared" si="279"/>
        <v>33831516</v>
      </c>
      <c r="W524" s="169">
        <f t="shared" si="279"/>
        <v>33662360</v>
      </c>
      <c r="X524" s="169">
        <f t="shared" si="279"/>
        <v>33494046</v>
      </c>
      <c r="Y524" s="169">
        <f t="shared" si="279"/>
        <v>33326576</v>
      </c>
      <c r="Z524" s="169">
        <f t="shared" si="279"/>
        <v>33159944</v>
      </c>
      <c r="AA524" s="169">
        <f t="shared" si="279"/>
        <v>32994144</v>
      </c>
      <c r="AB524" s="169">
        <f t="shared" si="279"/>
        <v>0</v>
      </c>
      <c r="AC524" s="169">
        <f t="shared" si="279"/>
        <v>0</v>
      </c>
      <c r="AD524" s="169">
        <f t="shared" si="279"/>
        <v>0</v>
      </c>
      <c r="AE524" s="169">
        <f t="shared" si="279"/>
        <v>0</v>
      </c>
      <c r="AF524" s="169">
        <f t="shared" si="279"/>
        <v>0</v>
      </c>
      <c r="AG524" s="169">
        <f t="shared" si="279"/>
        <v>0</v>
      </c>
      <c r="AH524" s="169">
        <f t="shared" si="279"/>
        <v>0</v>
      </c>
      <c r="AI524" s="169">
        <f t="shared" si="279"/>
        <v>0</v>
      </c>
      <c r="AJ524" s="169">
        <f t="shared" si="279"/>
        <v>0</v>
      </c>
      <c r="AK524" s="169">
        <f t="shared" si="279"/>
        <v>0</v>
      </c>
      <c r="AL524" s="169">
        <f t="shared" si="279"/>
        <v>0</v>
      </c>
      <c r="AM524" s="169">
        <f t="shared" si="279"/>
        <v>0</v>
      </c>
      <c r="AN524" s="169">
        <f t="shared" si="279"/>
        <v>0</v>
      </c>
      <c r="AO524" s="169">
        <f t="shared" si="279"/>
        <v>0</v>
      </c>
      <c r="AP524" s="169">
        <f t="shared" si="279"/>
        <v>0</v>
      </c>
    </row>
    <row r="525" spans="1:42" x14ac:dyDescent="0.2">
      <c r="A525" s="28" t="s">
        <v>13</v>
      </c>
      <c r="C525" s="194">
        <f>C523*C524</f>
        <v>0</v>
      </c>
      <c r="D525" s="194">
        <f t="shared" ref="D525:AP525" si="280">D523*D524</f>
        <v>0</v>
      </c>
      <c r="E525" s="194">
        <f t="shared" si="280"/>
        <v>0</v>
      </c>
      <c r="F525" s="194">
        <f t="shared" si="280"/>
        <v>0</v>
      </c>
      <c r="G525" s="194">
        <f t="shared" si="280"/>
        <v>0</v>
      </c>
      <c r="H525" s="194">
        <f t="shared" si="280"/>
        <v>0</v>
      </c>
      <c r="I525" s="194">
        <f t="shared" si="280"/>
        <v>0</v>
      </c>
      <c r="J525" s="194">
        <f t="shared" si="280"/>
        <v>0</v>
      </c>
      <c r="K525" s="194">
        <f t="shared" si="280"/>
        <v>0</v>
      </c>
      <c r="L525" s="194">
        <f t="shared" si="280"/>
        <v>0</v>
      </c>
      <c r="M525" s="194">
        <f t="shared" si="280"/>
        <v>0</v>
      </c>
      <c r="N525" s="194">
        <f t="shared" si="280"/>
        <v>0</v>
      </c>
      <c r="O525" s="194">
        <f t="shared" si="280"/>
        <v>0</v>
      </c>
      <c r="P525" s="194">
        <f t="shared" si="280"/>
        <v>0</v>
      </c>
      <c r="Q525" s="194">
        <f t="shared" si="280"/>
        <v>0</v>
      </c>
      <c r="R525" s="194">
        <f t="shared" si="280"/>
        <v>0</v>
      </c>
      <c r="S525" s="194">
        <f t="shared" si="280"/>
        <v>0</v>
      </c>
      <c r="T525" s="194">
        <f t="shared" si="280"/>
        <v>0</v>
      </c>
      <c r="U525" s="194">
        <f t="shared" si="280"/>
        <v>0</v>
      </c>
      <c r="V525" s="194">
        <f t="shared" si="280"/>
        <v>0</v>
      </c>
      <c r="W525" s="194">
        <f t="shared" si="280"/>
        <v>0</v>
      </c>
      <c r="X525" s="194">
        <f t="shared" si="280"/>
        <v>0</v>
      </c>
      <c r="Y525" s="194">
        <f t="shared" si="280"/>
        <v>0</v>
      </c>
      <c r="Z525" s="194">
        <f t="shared" si="280"/>
        <v>0</v>
      </c>
      <c r="AA525" s="194">
        <f t="shared" si="280"/>
        <v>0</v>
      </c>
      <c r="AB525" s="194">
        <f t="shared" si="280"/>
        <v>0</v>
      </c>
      <c r="AC525" s="194">
        <f t="shared" si="280"/>
        <v>0</v>
      </c>
      <c r="AD525" s="194">
        <f t="shared" si="280"/>
        <v>0</v>
      </c>
      <c r="AE525" s="194">
        <f t="shared" si="280"/>
        <v>0</v>
      </c>
      <c r="AF525" s="194">
        <f t="shared" si="280"/>
        <v>0</v>
      </c>
      <c r="AG525" s="194">
        <f t="shared" si="280"/>
        <v>0</v>
      </c>
      <c r="AH525" s="194">
        <f t="shared" si="280"/>
        <v>0</v>
      </c>
      <c r="AI525" s="194">
        <f t="shared" si="280"/>
        <v>0</v>
      </c>
      <c r="AJ525" s="194">
        <f t="shared" si="280"/>
        <v>0</v>
      </c>
      <c r="AK525" s="194">
        <f t="shared" si="280"/>
        <v>0</v>
      </c>
      <c r="AL525" s="194">
        <f t="shared" si="280"/>
        <v>0</v>
      </c>
      <c r="AM525" s="194">
        <f t="shared" si="280"/>
        <v>0</v>
      </c>
      <c r="AN525" s="194">
        <f t="shared" si="280"/>
        <v>0</v>
      </c>
      <c r="AO525" s="194">
        <f t="shared" si="280"/>
        <v>0</v>
      </c>
      <c r="AP525" s="194">
        <f t="shared" si="280"/>
        <v>0</v>
      </c>
    </row>
    <row r="526" spans="1:42" x14ac:dyDescent="0.2">
      <c r="A526" s="24" t="str">
        <f>Inputs!B128</f>
        <v>Other ($/kWh)</v>
      </c>
    </row>
    <row r="527" spans="1:42" x14ac:dyDescent="0.2">
      <c r="A527" s="28" t="s">
        <v>43</v>
      </c>
      <c r="C527" s="149">
        <f t="shared" ref="C527:AP527" si="281">IF(AND(C$2&lt;=pbi_oth_term,C$2&lt;=analysis_period),pbi_oth_amount*(1+pbi_oth_escal/100)^B$2,0)</f>
        <v>0</v>
      </c>
      <c r="D527" s="149">
        <f t="shared" si="281"/>
        <v>0</v>
      </c>
      <c r="E527" s="149">
        <f t="shared" si="281"/>
        <v>0</v>
      </c>
      <c r="F527" s="149">
        <f t="shared" si="281"/>
        <v>0</v>
      </c>
      <c r="G527" s="149">
        <f t="shared" si="281"/>
        <v>0</v>
      </c>
      <c r="H527" s="149">
        <f t="shared" si="281"/>
        <v>0</v>
      </c>
      <c r="I527" s="149">
        <f t="shared" si="281"/>
        <v>0</v>
      </c>
      <c r="J527" s="149">
        <f t="shared" si="281"/>
        <v>0</v>
      </c>
      <c r="K527" s="149">
        <f t="shared" si="281"/>
        <v>0</v>
      </c>
      <c r="L527" s="149">
        <f t="shared" si="281"/>
        <v>0</v>
      </c>
      <c r="M527" s="149">
        <f t="shared" si="281"/>
        <v>0</v>
      </c>
      <c r="N527" s="149">
        <f t="shared" si="281"/>
        <v>0</v>
      </c>
      <c r="O527" s="149">
        <f t="shared" si="281"/>
        <v>0</v>
      </c>
      <c r="P527" s="149">
        <f t="shared" si="281"/>
        <v>0</v>
      </c>
      <c r="Q527" s="149">
        <f t="shared" si="281"/>
        <v>0</v>
      </c>
      <c r="R527" s="149">
        <f t="shared" si="281"/>
        <v>0</v>
      </c>
      <c r="S527" s="149">
        <f t="shared" si="281"/>
        <v>0</v>
      </c>
      <c r="T527" s="149">
        <f t="shared" si="281"/>
        <v>0</v>
      </c>
      <c r="U527" s="149">
        <f t="shared" si="281"/>
        <v>0</v>
      </c>
      <c r="V527" s="149">
        <f t="shared" si="281"/>
        <v>0</v>
      </c>
      <c r="W527" s="149">
        <f t="shared" si="281"/>
        <v>0</v>
      </c>
      <c r="X527" s="149">
        <f t="shared" si="281"/>
        <v>0</v>
      </c>
      <c r="Y527" s="149">
        <f t="shared" si="281"/>
        <v>0</v>
      </c>
      <c r="Z527" s="149">
        <f t="shared" si="281"/>
        <v>0</v>
      </c>
      <c r="AA527" s="149">
        <f t="shared" si="281"/>
        <v>0</v>
      </c>
      <c r="AB527" s="149">
        <f t="shared" si="281"/>
        <v>0</v>
      </c>
      <c r="AC527" s="149">
        <f t="shared" si="281"/>
        <v>0</v>
      </c>
      <c r="AD527" s="149">
        <f t="shared" si="281"/>
        <v>0</v>
      </c>
      <c r="AE527" s="149">
        <f t="shared" si="281"/>
        <v>0</v>
      </c>
      <c r="AF527" s="149">
        <f t="shared" si="281"/>
        <v>0</v>
      </c>
      <c r="AG527" s="149">
        <f t="shared" si="281"/>
        <v>0</v>
      </c>
      <c r="AH527" s="149">
        <f t="shared" si="281"/>
        <v>0</v>
      </c>
      <c r="AI527" s="149">
        <f t="shared" si="281"/>
        <v>0</v>
      </c>
      <c r="AJ527" s="149">
        <f t="shared" si="281"/>
        <v>0</v>
      </c>
      <c r="AK527" s="149">
        <f t="shared" si="281"/>
        <v>0</v>
      </c>
      <c r="AL527" s="149">
        <f t="shared" si="281"/>
        <v>0</v>
      </c>
      <c r="AM527" s="149">
        <f t="shared" si="281"/>
        <v>0</v>
      </c>
      <c r="AN527" s="149">
        <f t="shared" si="281"/>
        <v>0</v>
      </c>
      <c r="AO527" s="149">
        <f t="shared" si="281"/>
        <v>0</v>
      </c>
      <c r="AP527" s="149">
        <f t="shared" si="281"/>
        <v>0</v>
      </c>
    </row>
    <row r="528" spans="1:42" x14ac:dyDescent="0.2">
      <c r="A528" s="28" t="s">
        <v>44</v>
      </c>
      <c r="C528" s="169">
        <f>C$5</f>
        <v>37211992</v>
      </c>
      <c r="D528" s="169">
        <f t="shared" ref="D528:AP528" si="282">D$5</f>
        <v>37025932</v>
      </c>
      <c r="E528" s="169">
        <f t="shared" si="282"/>
        <v>36840804</v>
      </c>
      <c r="F528" s="169">
        <f t="shared" si="282"/>
        <v>36656600</v>
      </c>
      <c r="G528" s="169">
        <f t="shared" si="282"/>
        <v>36473316</v>
      </c>
      <c r="H528" s="169">
        <f t="shared" si="282"/>
        <v>36290948</v>
      </c>
      <c r="I528" s="169">
        <f t="shared" si="282"/>
        <v>36109496</v>
      </c>
      <c r="J528" s="169">
        <f t="shared" si="282"/>
        <v>35928948</v>
      </c>
      <c r="K528" s="169">
        <f t="shared" si="282"/>
        <v>35749304</v>
      </c>
      <c r="L528" s="169">
        <f t="shared" si="282"/>
        <v>35570556</v>
      </c>
      <c r="M528" s="169">
        <f t="shared" si="282"/>
        <v>35392704</v>
      </c>
      <c r="N528" s="169">
        <f t="shared" si="282"/>
        <v>35215740</v>
      </c>
      <c r="O528" s="169">
        <f t="shared" si="282"/>
        <v>35039660</v>
      </c>
      <c r="P528" s="169">
        <f t="shared" si="282"/>
        <v>34864464</v>
      </c>
      <c r="Q528" s="169">
        <f t="shared" si="282"/>
        <v>34690140</v>
      </c>
      <c r="R528" s="169">
        <f t="shared" si="282"/>
        <v>34516688</v>
      </c>
      <c r="S528" s="169">
        <f t="shared" si="282"/>
        <v>34344108</v>
      </c>
      <c r="T528" s="169">
        <f t="shared" si="282"/>
        <v>34172384</v>
      </c>
      <c r="U528" s="169">
        <f t="shared" si="282"/>
        <v>34001524</v>
      </c>
      <c r="V528" s="169">
        <f t="shared" si="282"/>
        <v>33831516</v>
      </c>
      <c r="W528" s="169">
        <f t="shared" si="282"/>
        <v>33662360</v>
      </c>
      <c r="X528" s="169">
        <f t="shared" si="282"/>
        <v>33494046</v>
      </c>
      <c r="Y528" s="169">
        <f t="shared" si="282"/>
        <v>33326576</v>
      </c>
      <c r="Z528" s="169">
        <f t="shared" si="282"/>
        <v>33159944</v>
      </c>
      <c r="AA528" s="169">
        <f t="shared" si="282"/>
        <v>32994144</v>
      </c>
      <c r="AB528" s="169">
        <f t="shared" si="282"/>
        <v>0</v>
      </c>
      <c r="AC528" s="169">
        <f t="shared" si="282"/>
        <v>0</v>
      </c>
      <c r="AD528" s="169">
        <f t="shared" si="282"/>
        <v>0</v>
      </c>
      <c r="AE528" s="169">
        <f t="shared" si="282"/>
        <v>0</v>
      </c>
      <c r="AF528" s="169">
        <f t="shared" si="282"/>
        <v>0</v>
      </c>
      <c r="AG528" s="169">
        <f t="shared" si="282"/>
        <v>0</v>
      </c>
      <c r="AH528" s="169">
        <f t="shared" si="282"/>
        <v>0</v>
      </c>
      <c r="AI528" s="169">
        <f t="shared" si="282"/>
        <v>0</v>
      </c>
      <c r="AJ528" s="169">
        <f t="shared" si="282"/>
        <v>0</v>
      </c>
      <c r="AK528" s="169">
        <f t="shared" si="282"/>
        <v>0</v>
      </c>
      <c r="AL528" s="169">
        <f t="shared" si="282"/>
        <v>0</v>
      </c>
      <c r="AM528" s="169">
        <f t="shared" si="282"/>
        <v>0</v>
      </c>
      <c r="AN528" s="169">
        <f t="shared" si="282"/>
        <v>0</v>
      </c>
      <c r="AO528" s="169">
        <f t="shared" si="282"/>
        <v>0</v>
      </c>
      <c r="AP528" s="169">
        <f t="shared" si="282"/>
        <v>0</v>
      </c>
    </row>
    <row r="529" spans="1:42" x14ac:dyDescent="0.2">
      <c r="A529" s="28" t="s">
        <v>13</v>
      </c>
      <c r="C529" s="194">
        <f>C527*C528</f>
        <v>0</v>
      </c>
      <c r="D529" s="194">
        <f t="shared" ref="D529:AP529" si="283">D527*D528</f>
        <v>0</v>
      </c>
      <c r="E529" s="194">
        <f t="shared" si="283"/>
        <v>0</v>
      </c>
      <c r="F529" s="194">
        <f t="shared" si="283"/>
        <v>0</v>
      </c>
      <c r="G529" s="194">
        <f t="shared" si="283"/>
        <v>0</v>
      </c>
      <c r="H529" s="194">
        <f t="shared" si="283"/>
        <v>0</v>
      </c>
      <c r="I529" s="194">
        <f t="shared" si="283"/>
        <v>0</v>
      </c>
      <c r="J529" s="194">
        <f t="shared" si="283"/>
        <v>0</v>
      </c>
      <c r="K529" s="194">
        <f t="shared" si="283"/>
        <v>0</v>
      </c>
      <c r="L529" s="194">
        <f t="shared" si="283"/>
        <v>0</v>
      </c>
      <c r="M529" s="194">
        <f t="shared" si="283"/>
        <v>0</v>
      </c>
      <c r="N529" s="194">
        <f t="shared" si="283"/>
        <v>0</v>
      </c>
      <c r="O529" s="194">
        <f t="shared" si="283"/>
        <v>0</v>
      </c>
      <c r="P529" s="194">
        <f t="shared" si="283"/>
        <v>0</v>
      </c>
      <c r="Q529" s="194">
        <f t="shared" si="283"/>
        <v>0</v>
      </c>
      <c r="R529" s="194">
        <f t="shared" si="283"/>
        <v>0</v>
      </c>
      <c r="S529" s="194">
        <f t="shared" si="283"/>
        <v>0</v>
      </c>
      <c r="T529" s="194">
        <f t="shared" si="283"/>
        <v>0</v>
      </c>
      <c r="U529" s="194">
        <f t="shared" si="283"/>
        <v>0</v>
      </c>
      <c r="V529" s="194">
        <f t="shared" si="283"/>
        <v>0</v>
      </c>
      <c r="W529" s="194">
        <f t="shared" si="283"/>
        <v>0</v>
      </c>
      <c r="X529" s="194">
        <f t="shared" si="283"/>
        <v>0</v>
      </c>
      <c r="Y529" s="194">
        <f t="shared" si="283"/>
        <v>0</v>
      </c>
      <c r="Z529" s="194">
        <f t="shared" si="283"/>
        <v>0</v>
      </c>
      <c r="AA529" s="194">
        <f t="shared" si="283"/>
        <v>0</v>
      </c>
      <c r="AB529" s="194">
        <f t="shared" si="283"/>
        <v>0</v>
      </c>
      <c r="AC529" s="194">
        <f t="shared" si="283"/>
        <v>0</v>
      </c>
      <c r="AD529" s="194">
        <f t="shared" si="283"/>
        <v>0</v>
      </c>
      <c r="AE529" s="194">
        <f t="shared" si="283"/>
        <v>0</v>
      </c>
      <c r="AF529" s="194">
        <f t="shared" si="283"/>
        <v>0</v>
      </c>
      <c r="AG529" s="194">
        <f t="shared" si="283"/>
        <v>0</v>
      </c>
      <c r="AH529" s="194">
        <f t="shared" si="283"/>
        <v>0</v>
      </c>
      <c r="AI529" s="194">
        <f t="shared" si="283"/>
        <v>0</v>
      </c>
      <c r="AJ529" s="194">
        <f t="shared" si="283"/>
        <v>0</v>
      </c>
      <c r="AK529" s="194">
        <f t="shared" si="283"/>
        <v>0</v>
      </c>
      <c r="AL529" s="194">
        <f t="shared" si="283"/>
        <v>0</v>
      </c>
      <c r="AM529" s="194">
        <f t="shared" si="283"/>
        <v>0</v>
      </c>
      <c r="AN529" s="194">
        <f t="shared" si="283"/>
        <v>0</v>
      </c>
      <c r="AO529" s="194">
        <f t="shared" si="283"/>
        <v>0</v>
      </c>
      <c r="AP529" s="194">
        <f t="shared" si="283"/>
        <v>0</v>
      </c>
    </row>
    <row r="530" spans="1:42" x14ac:dyDescent="0.2">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row>
    <row r="531" spans="1:42" x14ac:dyDescent="0.2">
      <c r="A531" s="4" t="s">
        <v>13</v>
      </c>
      <c r="C531" s="199">
        <f>C517+C521+C525+C529</f>
        <v>0</v>
      </c>
      <c r="D531" s="199">
        <f t="shared" ref="D531:AP531" si="284">D517+D521+D525+D529</f>
        <v>0</v>
      </c>
      <c r="E531" s="199">
        <f t="shared" si="284"/>
        <v>0</v>
      </c>
      <c r="F531" s="199">
        <f t="shared" si="284"/>
        <v>0</v>
      </c>
      <c r="G531" s="199">
        <f t="shared" si="284"/>
        <v>0</v>
      </c>
      <c r="H531" s="199">
        <f t="shared" si="284"/>
        <v>0</v>
      </c>
      <c r="I531" s="199">
        <f t="shared" si="284"/>
        <v>0</v>
      </c>
      <c r="J531" s="199">
        <f t="shared" si="284"/>
        <v>0</v>
      </c>
      <c r="K531" s="199">
        <f t="shared" si="284"/>
        <v>0</v>
      </c>
      <c r="L531" s="199">
        <f t="shared" si="284"/>
        <v>0</v>
      </c>
      <c r="M531" s="199">
        <f t="shared" si="284"/>
        <v>0</v>
      </c>
      <c r="N531" s="199">
        <f t="shared" si="284"/>
        <v>0</v>
      </c>
      <c r="O531" s="199">
        <f t="shared" si="284"/>
        <v>0</v>
      </c>
      <c r="P531" s="199">
        <f t="shared" si="284"/>
        <v>0</v>
      </c>
      <c r="Q531" s="199">
        <f t="shared" si="284"/>
        <v>0</v>
      </c>
      <c r="R531" s="199">
        <f t="shared" si="284"/>
        <v>0</v>
      </c>
      <c r="S531" s="199">
        <f t="shared" si="284"/>
        <v>0</v>
      </c>
      <c r="T531" s="199">
        <f t="shared" si="284"/>
        <v>0</v>
      </c>
      <c r="U531" s="199">
        <f t="shared" si="284"/>
        <v>0</v>
      </c>
      <c r="V531" s="199">
        <f t="shared" si="284"/>
        <v>0</v>
      </c>
      <c r="W531" s="199">
        <f t="shared" si="284"/>
        <v>0</v>
      </c>
      <c r="X531" s="199">
        <f t="shared" si="284"/>
        <v>0</v>
      </c>
      <c r="Y531" s="199">
        <f t="shared" si="284"/>
        <v>0</v>
      </c>
      <c r="Z531" s="199">
        <f t="shared" si="284"/>
        <v>0</v>
      </c>
      <c r="AA531" s="199">
        <f t="shared" si="284"/>
        <v>0</v>
      </c>
      <c r="AB531" s="199">
        <f t="shared" si="284"/>
        <v>0</v>
      </c>
      <c r="AC531" s="199">
        <f t="shared" si="284"/>
        <v>0</v>
      </c>
      <c r="AD531" s="199">
        <f t="shared" si="284"/>
        <v>0</v>
      </c>
      <c r="AE531" s="199">
        <f t="shared" si="284"/>
        <v>0</v>
      </c>
      <c r="AF531" s="199">
        <f t="shared" si="284"/>
        <v>0</v>
      </c>
      <c r="AG531" s="199">
        <f t="shared" si="284"/>
        <v>0</v>
      </c>
      <c r="AH531" s="199">
        <f t="shared" si="284"/>
        <v>0</v>
      </c>
      <c r="AI531" s="199">
        <f t="shared" si="284"/>
        <v>0</v>
      </c>
      <c r="AJ531" s="199">
        <f t="shared" si="284"/>
        <v>0</v>
      </c>
      <c r="AK531" s="199">
        <f t="shared" si="284"/>
        <v>0</v>
      </c>
      <c r="AL531" s="199">
        <f t="shared" si="284"/>
        <v>0</v>
      </c>
      <c r="AM531" s="199">
        <f t="shared" si="284"/>
        <v>0</v>
      </c>
      <c r="AN531" s="199">
        <f t="shared" si="284"/>
        <v>0</v>
      </c>
      <c r="AO531" s="199">
        <f t="shared" si="284"/>
        <v>0</v>
      </c>
      <c r="AP531" s="199">
        <f t="shared" si="284"/>
        <v>0</v>
      </c>
    </row>
    <row r="533" spans="1:42" x14ac:dyDescent="0.2">
      <c r="A533" s="114" t="s">
        <v>27</v>
      </c>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s="17" customFormat="1" x14ac:dyDescent="0.2">
      <c r="A534" s="24" t="s">
        <v>30</v>
      </c>
    </row>
    <row r="535" spans="1:42" s="17" customFormat="1" x14ac:dyDescent="0.2">
      <c r="A535" s="28" t="s">
        <v>34</v>
      </c>
      <c r="B535" s="172"/>
      <c r="C535" s="195">
        <f t="shared" ref="C535:AP535" si="285">IF(DebtPercent="Calculated",C552,C553)</f>
        <v>2036254.9984796066</v>
      </c>
      <c r="D535" s="195">
        <f t="shared" si="285"/>
        <v>2036254.9984796066</v>
      </c>
      <c r="E535" s="195">
        <f t="shared" si="285"/>
        <v>2036254.9984796066</v>
      </c>
      <c r="F535" s="195">
        <f t="shared" si="285"/>
        <v>2036254.9984796066</v>
      </c>
      <c r="G535" s="195">
        <f t="shared" si="285"/>
        <v>2036254.9984796066</v>
      </c>
      <c r="H535" s="195">
        <f t="shared" si="285"/>
        <v>2036254.9984796066</v>
      </c>
      <c r="I535" s="195">
        <f t="shared" si="285"/>
        <v>2036254.9984796066</v>
      </c>
      <c r="J535" s="195">
        <f t="shared" si="285"/>
        <v>2036254.9984796066</v>
      </c>
      <c r="K535" s="195">
        <f t="shared" si="285"/>
        <v>2036254.9984796066</v>
      </c>
      <c r="L535" s="195">
        <f t="shared" si="285"/>
        <v>2036254.9984796066</v>
      </c>
      <c r="M535" s="195">
        <f t="shared" si="285"/>
        <v>2036254.9984796066</v>
      </c>
      <c r="N535" s="195">
        <f t="shared" si="285"/>
        <v>2036254.9984796066</v>
      </c>
      <c r="O535" s="195">
        <f t="shared" si="285"/>
        <v>2036254.9984796066</v>
      </c>
      <c r="P535" s="195">
        <f t="shared" si="285"/>
        <v>2036254.9984796066</v>
      </c>
      <c r="Q535" s="195">
        <f t="shared" si="285"/>
        <v>2036254.9984796066</v>
      </c>
      <c r="R535" s="195">
        <f t="shared" si="285"/>
        <v>2036254.9984796066</v>
      </c>
      <c r="S535" s="195">
        <f t="shared" si="285"/>
        <v>2036254.9984796066</v>
      </c>
      <c r="T535" s="195">
        <f t="shared" si="285"/>
        <v>2036254.9984796066</v>
      </c>
      <c r="U535" s="195">
        <f t="shared" si="285"/>
        <v>0</v>
      </c>
      <c r="V535" s="195">
        <f t="shared" si="285"/>
        <v>0</v>
      </c>
      <c r="W535" s="195">
        <f t="shared" si="285"/>
        <v>0</v>
      </c>
      <c r="X535" s="195">
        <f t="shared" si="285"/>
        <v>0</v>
      </c>
      <c r="Y535" s="195">
        <f t="shared" si="285"/>
        <v>0</v>
      </c>
      <c r="Z535" s="195">
        <f t="shared" si="285"/>
        <v>0</v>
      </c>
      <c r="AA535" s="195">
        <f t="shared" si="285"/>
        <v>0</v>
      </c>
      <c r="AB535" s="195">
        <f t="shared" si="285"/>
        <v>0</v>
      </c>
      <c r="AC535" s="195">
        <f t="shared" si="285"/>
        <v>0</v>
      </c>
      <c r="AD535" s="195">
        <f t="shared" si="285"/>
        <v>0</v>
      </c>
      <c r="AE535" s="195">
        <f t="shared" si="285"/>
        <v>0</v>
      </c>
      <c r="AF535" s="195">
        <f t="shared" si="285"/>
        <v>0</v>
      </c>
      <c r="AG535" s="195">
        <f t="shared" si="285"/>
        <v>0</v>
      </c>
      <c r="AH535" s="195">
        <f t="shared" si="285"/>
        <v>0</v>
      </c>
      <c r="AI535" s="195">
        <f t="shared" si="285"/>
        <v>0</v>
      </c>
      <c r="AJ535" s="195">
        <f t="shared" si="285"/>
        <v>0</v>
      </c>
      <c r="AK535" s="195">
        <f t="shared" si="285"/>
        <v>0</v>
      </c>
      <c r="AL535" s="195">
        <f t="shared" si="285"/>
        <v>0</v>
      </c>
      <c r="AM535" s="195">
        <f t="shared" si="285"/>
        <v>0</v>
      </c>
      <c r="AN535" s="195">
        <f t="shared" si="285"/>
        <v>0</v>
      </c>
      <c r="AO535" s="195">
        <f t="shared" si="285"/>
        <v>0</v>
      </c>
      <c r="AP535" s="195">
        <f t="shared" si="285"/>
        <v>0</v>
      </c>
    </row>
    <row r="536" spans="1:42" s="17" customFormat="1" x14ac:dyDescent="0.2">
      <c r="A536" s="28" t="s">
        <v>222</v>
      </c>
      <c r="B536" s="168"/>
      <c r="C536" s="195">
        <f t="shared" ref="C536:AP536" si="286">IF(AND(C$2&lt;=term_tenor,C$2&lt;=analysis_period),B538*term_int_rate/100,0)</f>
        <v>1433800.62</v>
      </c>
      <c r="D536" s="195">
        <f t="shared" si="286"/>
        <v>1391628.8135064275</v>
      </c>
      <c r="E536" s="195">
        <f t="shared" si="286"/>
        <v>1346504.9805583048</v>
      </c>
      <c r="F536" s="195">
        <f t="shared" si="286"/>
        <v>1298222.4793038138</v>
      </c>
      <c r="G536" s="195">
        <f t="shared" si="286"/>
        <v>1246560.202961508</v>
      </c>
      <c r="H536" s="195">
        <f t="shared" si="286"/>
        <v>1191281.567275241</v>
      </c>
      <c r="I536" s="195">
        <f t="shared" si="286"/>
        <v>1132133.4270909356</v>
      </c>
      <c r="J536" s="195">
        <f t="shared" si="286"/>
        <v>1068844.9170937284</v>
      </c>
      <c r="K536" s="195">
        <f t="shared" si="286"/>
        <v>1001126.211396717</v>
      </c>
      <c r="L536" s="195">
        <f t="shared" si="286"/>
        <v>928667.19630091474</v>
      </c>
      <c r="M536" s="195">
        <f t="shared" si="286"/>
        <v>851136.0501484063</v>
      </c>
      <c r="N536" s="195">
        <f t="shared" si="286"/>
        <v>768177.72376522224</v>
      </c>
      <c r="O536" s="195">
        <f t="shared" si="286"/>
        <v>679412.31453521538</v>
      </c>
      <c r="P536" s="195">
        <f t="shared" si="286"/>
        <v>584433.32665910805</v>
      </c>
      <c r="Q536" s="195">
        <f t="shared" si="286"/>
        <v>482805.8096316731</v>
      </c>
      <c r="R536" s="195">
        <f t="shared" si="286"/>
        <v>374064.36641231773</v>
      </c>
      <c r="S536" s="195">
        <f t="shared" si="286"/>
        <v>257711.02216760756</v>
      </c>
      <c r="T536" s="195">
        <f t="shared" si="286"/>
        <v>133212.94382576764</v>
      </c>
      <c r="U536" s="195">
        <f t="shared" si="286"/>
        <v>0</v>
      </c>
      <c r="V536" s="195">
        <f t="shared" si="286"/>
        <v>0</v>
      </c>
      <c r="W536" s="195">
        <f t="shared" si="286"/>
        <v>0</v>
      </c>
      <c r="X536" s="195">
        <f t="shared" si="286"/>
        <v>0</v>
      </c>
      <c r="Y536" s="195">
        <f t="shared" si="286"/>
        <v>0</v>
      </c>
      <c r="Z536" s="195">
        <f t="shared" si="286"/>
        <v>0</v>
      </c>
      <c r="AA536" s="195">
        <f t="shared" si="286"/>
        <v>0</v>
      </c>
      <c r="AB536" s="195">
        <f t="shared" si="286"/>
        <v>0</v>
      </c>
      <c r="AC536" s="195">
        <f t="shared" si="286"/>
        <v>0</v>
      </c>
      <c r="AD536" s="195">
        <f t="shared" si="286"/>
        <v>0</v>
      </c>
      <c r="AE536" s="195">
        <f t="shared" si="286"/>
        <v>0</v>
      </c>
      <c r="AF536" s="195">
        <f t="shared" si="286"/>
        <v>0</v>
      </c>
      <c r="AG536" s="195">
        <f t="shared" si="286"/>
        <v>0</v>
      </c>
      <c r="AH536" s="195">
        <f t="shared" si="286"/>
        <v>0</v>
      </c>
      <c r="AI536" s="195">
        <f t="shared" si="286"/>
        <v>0</v>
      </c>
      <c r="AJ536" s="195">
        <f t="shared" si="286"/>
        <v>0</v>
      </c>
      <c r="AK536" s="195">
        <f t="shared" si="286"/>
        <v>0</v>
      </c>
      <c r="AL536" s="195">
        <f t="shared" si="286"/>
        <v>0</v>
      </c>
      <c r="AM536" s="195">
        <f t="shared" si="286"/>
        <v>0</v>
      </c>
      <c r="AN536" s="195">
        <f t="shared" si="286"/>
        <v>0</v>
      </c>
      <c r="AO536" s="195">
        <f t="shared" si="286"/>
        <v>0</v>
      </c>
      <c r="AP536" s="195">
        <f t="shared" si="286"/>
        <v>0</v>
      </c>
    </row>
    <row r="537" spans="1:42" s="17" customFormat="1" x14ac:dyDescent="0.2">
      <c r="A537" s="28" t="s">
        <v>221</v>
      </c>
      <c r="B537" s="172"/>
      <c r="C537" s="195">
        <f>C535-C536</f>
        <v>602454.37847960647</v>
      </c>
      <c r="D537" s="195">
        <f t="shared" ref="D537:AP537" si="287">D535-D536</f>
        <v>644626.18497317913</v>
      </c>
      <c r="E537" s="195">
        <f t="shared" si="287"/>
        <v>689750.01792130177</v>
      </c>
      <c r="F537" s="195">
        <f t="shared" si="287"/>
        <v>738032.51917579281</v>
      </c>
      <c r="G537" s="195">
        <f t="shared" si="287"/>
        <v>789694.79551809863</v>
      </c>
      <c r="H537" s="195">
        <f t="shared" si="287"/>
        <v>844973.43120436557</v>
      </c>
      <c r="I537" s="195">
        <f t="shared" si="287"/>
        <v>904121.57138867094</v>
      </c>
      <c r="J537" s="195">
        <f t="shared" si="287"/>
        <v>967410.08138587815</v>
      </c>
      <c r="K537" s="195">
        <f t="shared" si="287"/>
        <v>1035128.7870828896</v>
      </c>
      <c r="L537" s="195">
        <f t="shared" si="287"/>
        <v>1107587.8021786918</v>
      </c>
      <c r="M537" s="195">
        <f t="shared" si="287"/>
        <v>1185118.9483312003</v>
      </c>
      <c r="N537" s="195">
        <f t="shared" si="287"/>
        <v>1268077.2747143842</v>
      </c>
      <c r="O537" s="195">
        <f t="shared" si="287"/>
        <v>1356842.6839443911</v>
      </c>
      <c r="P537" s="195">
        <f t="shared" si="287"/>
        <v>1451821.6718204985</v>
      </c>
      <c r="Q537" s="195">
        <f t="shared" si="287"/>
        <v>1553449.1888479334</v>
      </c>
      <c r="R537" s="195">
        <f t="shared" si="287"/>
        <v>1662190.6320672887</v>
      </c>
      <c r="S537" s="195">
        <f t="shared" si="287"/>
        <v>1778543.9763119989</v>
      </c>
      <c r="T537" s="195">
        <f t="shared" si="287"/>
        <v>1903042.054653839</v>
      </c>
      <c r="U537" s="195">
        <f t="shared" si="287"/>
        <v>0</v>
      </c>
      <c r="V537" s="195">
        <f t="shared" si="287"/>
        <v>0</v>
      </c>
      <c r="W537" s="195">
        <f t="shared" si="287"/>
        <v>0</v>
      </c>
      <c r="X537" s="195">
        <f t="shared" si="287"/>
        <v>0</v>
      </c>
      <c r="Y537" s="195">
        <f t="shared" si="287"/>
        <v>0</v>
      </c>
      <c r="Z537" s="195">
        <f t="shared" si="287"/>
        <v>0</v>
      </c>
      <c r="AA537" s="195">
        <f t="shared" si="287"/>
        <v>0</v>
      </c>
      <c r="AB537" s="195">
        <f t="shared" si="287"/>
        <v>0</v>
      </c>
      <c r="AC537" s="195">
        <f t="shared" si="287"/>
        <v>0</v>
      </c>
      <c r="AD537" s="195">
        <f t="shared" si="287"/>
        <v>0</v>
      </c>
      <c r="AE537" s="195">
        <f t="shared" si="287"/>
        <v>0</v>
      </c>
      <c r="AF537" s="195">
        <f t="shared" si="287"/>
        <v>0</v>
      </c>
      <c r="AG537" s="195">
        <f t="shared" si="287"/>
        <v>0</v>
      </c>
      <c r="AH537" s="195">
        <f t="shared" si="287"/>
        <v>0</v>
      </c>
      <c r="AI537" s="195">
        <f t="shared" si="287"/>
        <v>0</v>
      </c>
      <c r="AJ537" s="195">
        <f t="shared" si="287"/>
        <v>0</v>
      </c>
      <c r="AK537" s="195">
        <f t="shared" si="287"/>
        <v>0</v>
      </c>
      <c r="AL537" s="195">
        <f t="shared" si="287"/>
        <v>0</v>
      </c>
      <c r="AM537" s="195">
        <f t="shared" si="287"/>
        <v>0</v>
      </c>
      <c r="AN537" s="195">
        <f t="shared" si="287"/>
        <v>0</v>
      </c>
      <c r="AO537" s="195">
        <f t="shared" si="287"/>
        <v>0</v>
      </c>
      <c r="AP537" s="195">
        <f t="shared" si="287"/>
        <v>0</v>
      </c>
    </row>
    <row r="538" spans="1:42" s="17" customFormat="1" x14ac:dyDescent="0.2">
      <c r="A538" s="28" t="s">
        <v>314</v>
      </c>
      <c r="B538" s="200">
        <f>IF(DebtPercent="Calculated",B548,B549)</f>
        <v>20482866</v>
      </c>
      <c r="C538" s="200">
        <f>B538-C537</f>
        <v>19880411.621520393</v>
      </c>
      <c r="D538" s="200">
        <f t="shared" ref="D538:AP538" si="288">C538-D537</f>
        <v>19235785.436547212</v>
      </c>
      <c r="E538" s="200">
        <f t="shared" si="288"/>
        <v>18546035.41862591</v>
      </c>
      <c r="F538" s="200">
        <f t="shared" si="288"/>
        <v>17808002.899450116</v>
      </c>
      <c r="G538" s="200">
        <f t="shared" si="288"/>
        <v>17018308.103932016</v>
      </c>
      <c r="H538" s="200">
        <f t="shared" si="288"/>
        <v>16173334.67272765</v>
      </c>
      <c r="I538" s="200">
        <f t="shared" si="288"/>
        <v>15269213.101338979</v>
      </c>
      <c r="J538" s="200">
        <f t="shared" si="288"/>
        <v>14301803.0199531</v>
      </c>
      <c r="K538" s="200">
        <f t="shared" si="288"/>
        <v>13266674.23287021</v>
      </c>
      <c r="L538" s="200">
        <f t="shared" si="288"/>
        <v>12159086.430691518</v>
      </c>
      <c r="M538" s="200">
        <f t="shared" si="288"/>
        <v>10973967.482360318</v>
      </c>
      <c r="N538" s="200">
        <f t="shared" si="288"/>
        <v>9705890.2076459341</v>
      </c>
      <c r="O538" s="200">
        <f t="shared" si="288"/>
        <v>8349047.523701543</v>
      </c>
      <c r="P538" s="200">
        <f t="shared" si="288"/>
        <v>6897225.851881044</v>
      </c>
      <c r="Q538" s="200">
        <f t="shared" si="288"/>
        <v>5343776.663033111</v>
      </c>
      <c r="R538" s="200">
        <f t="shared" si="288"/>
        <v>3681586.0309658223</v>
      </c>
      <c r="S538" s="200">
        <f t="shared" si="288"/>
        <v>1903042.0546538234</v>
      </c>
      <c r="T538" s="200">
        <f t="shared" si="288"/>
        <v>-1.5599653124809265E-8</v>
      </c>
      <c r="U538" s="200">
        <f t="shared" si="288"/>
        <v>-1.5599653124809265E-8</v>
      </c>
      <c r="V538" s="200">
        <f t="shared" si="288"/>
        <v>-1.5599653124809265E-8</v>
      </c>
      <c r="W538" s="200">
        <f t="shared" si="288"/>
        <v>-1.5599653124809265E-8</v>
      </c>
      <c r="X538" s="200">
        <f t="shared" si="288"/>
        <v>-1.5599653124809265E-8</v>
      </c>
      <c r="Y538" s="200">
        <f t="shared" si="288"/>
        <v>-1.5599653124809265E-8</v>
      </c>
      <c r="Z538" s="200">
        <f t="shared" si="288"/>
        <v>-1.5599653124809265E-8</v>
      </c>
      <c r="AA538" s="200">
        <f t="shared" si="288"/>
        <v>-1.5599653124809265E-8</v>
      </c>
      <c r="AB538" s="200">
        <f t="shared" si="288"/>
        <v>-1.5599653124809265E-8</v>
      </c>
      <c r="AC538" s="200">
        <f t="shared" si="288"/>
        <v>-1.5599653124809265E-8</v>
      </c>
      <c r="AD538" s="200">
        <f t="shared" si="288"/>
        <v>-1.5599653124809265E-8</v>
      </c>
      <c r="AE538" s="200">
        <f t="shared" si="288"/>
        <v>-1.5599653124809265E-8</v>
      </c>
      <c r="AF538" s="200">
        <f t="shared" si="288"/>
        <v>-1.5599653124809265E-8</v>
      </c>
      <c r="AG538" s="200">
        <f t="shared" si="288"/>
        <v>-1.5599653124809265E-8</v>
      </c>
      <c r="AH538" s="200">
        <f t="shared" si="288"/>
        <v>-1.5599653124809265E-8</v>
      </c>
      <c r="AI538" s="200">
        <f t="shared" si="288"/>
        <v>-1.5599653124809265E-8</v>
      </c>
      <c r="AJ538" s="200">
        <f t="shared" si="288"/>
        <v>-1.5599653124809265E-8</v>
      </c>
      <c r="AK538" s="200">
        <f t="shared" si="288"/>
        <v>-1.5599653124809265E-8</v>
      </c>
      <c r="AL538" s="200">
        <f t="shared" si="288"/>
        <v>-1.5599653124809265E-8</v>
      </c>
      <c r="AM538" s="200">
        <f t="shared" si="288"/>
        <v>-1.5599653124809265E-8</v>
      </c>
      <c r="AN538" s="200">
        <f t="shared" si="288"/>
        <v>-1.5599653124809265E-8</v>
      </c>
      <c r="AO538" s="200">
        <f t="shared" si="288"/>
        <v>-1.5599653124809265E-8</v>
      </c>
      <c r="AP538" s="200">
        <f t="shared" si="288"/>
        <v>-1.5599653124809265E-8</v>
      </c>
    </row>
    <row r="539" spans="1:42" s="17" customFormat="1" x14ac:dyDescent="0.2">
      <c r="A539" s="9"/>
      <c r="B539" s="200"/>
      <c r="C539" s="194"/>
    </row>
    <row r="540" spans="1:42" s="17" customFormat="1" x14ac:dyDescent="0.2">
      <c r="A540" s="24" t="s">
        <v>323</v>
      </c>
    </row>
    <row r="541" spans="1:42" s="17" customFormat="1" x14ac:dyDescent="0.2">
      <c r="A541" s="28" t="s">
        <v>37</v>
      </c>
      <c r="B541" s="172"/>
      <c r="C541" s="195">
        <f t="shared" ref="C541:AP541" si="289">IF(AND(C$2&lt;=term_tenor,C$2&lt;=analysis_period),C43,0)</f>
        <v>3192909.12</v>
      </c>
      <c r="D541" s="195">
        <f t="shared" si="289"/>
        <v>3198889.8480000002</v>
      </c>
      <c r="E541" s="195">
        <f t="shared" si="289"/>
        <v>3204652.1941999998</v>
      </c>
      <c r="F541" s="195">
        <f t="shared" si="289"/>
        <v>3210186.499055</v>
      </c>
      <c r="G541" s="195">
        <f t="shared" si="289"/>
        <v>3215488.9115313748</v>
      </c>
      <c r="H541" s="195">
        <f t="shared" si="289"/>
        <v>3220561.3843196593</v>
      </c>
      <c r="I541" s="195">
        <f t="shared" si="289"/>
        <v>3225381.6689276509</v>
      </c>
      <c r="J541" s="195">
        <f t="shared" si="289"/>
        <v>3229953.3106508423</v>
      </c>
      <c r="K541" s="195">
        <f t="shared" si="289"/>
        <v>3234255.6434171135</v>
      </c>
      <c r="L541" s="195">
        <f t="shared" si="289"/>
        <v>3238283.7845025416</v>
      </c>
      <c r="M541" s="195">
        <f t="shared" si="289"/>
        <v>3242038.6291151047</v>
      </c>
      <c r="N541" s="195">
        <f t="shared" si="289"/>
        <v>3245510.8448429825</v>
      </c>
      <c r="O541" s="195">
        <f t="shared" si="289"/>
        <v>3248680.8659640569</v>
      </c>
      <c r="P541" s="195">
        <f t="shared" si="289"/>
        <v>3251540.8876131587</v>
      </c>
      <c r="Q541" s="195">
        <f t="shared" si="289"/>
        <v>3254084.8598034875</v>
      </c>
      <c r="R541" s="195">
        <f t="shared" si="289"/>
        <v>3256308.4812985747</v>
      </c>
      <c r="S541" s="195">
        <f t="shared" si="289"/>
        <v>3258189.193331039</v>
      </c>
      <c r="T541" s="195">
        <f t="shared" si="289"/>
        <v>3259728.1731643155</v>
      </c>
      <c r="U541" s="195">
        <f t="shared" si="289"/>
        <v>0</v>
      </c>
      <c r="V541" s="195">
        <f t="shared" si="289"/>
        <v>0</v>
      </c>
      <c r="W541" s="195">
        <f t="shared" si="289"/>
        <v>0</v>
      </c>
      <c r="X541" s="195">
        <f t="shared" si="289"/>
        <v>0</v>
      </c>
      <c r="Y541" s="195">
        <f t="shared" si="289"/>
        <v>0</v>
      </c>
      <c r="Z541" s="195">
        <f t="shared" si="289"/>
        <v>0</v>
      </c>
      <c r="AA541" s="195">
        <f t="shared" si="289"/>
        <v>0</v>
      </c>
      <c r="AB541" s="195">
        <f t="shared" si="289"/>
        <v>0</v>
      </c>
      <c r="AC541" s="195">
        <f t="shared" si="289"/>
        <v>0</v>
      </c>
      <c r="AD541" s="195">
        <f t="shared" si="289"/>
        <v>0</v>
      </c>
      <c r="AE541" s="195">
        <f t="shared" si="289"/>
        <v>0</v>
      </c>
      <c r="AF541" s="195">
        <f t="shared" si="289"/>
        <v>0</v>
      </c>
      <c r="AG541" s="195">
        <f t="shared" si="289"/>
        <v>0</v>
      </c>
      <c r="AH541" s="195">
        <f t="shared" si="289"/>
        <v>0</v>
      </c>
      <c r="AI541" s="195">
        <f t="shared" si="289"/>
        <v>0</v>
      </c>
      <c r="AJ541" s="195">
        <f t="shared" si="289"/>
        <v>0</v>
      </c>
      <c r="AK541" s="195">
        <f t="shared" si="289"/>
        <v>0</v>
      </c>
      <c r="AL541" s="195">
        <f t="shared" si="289"/>
        <v>0</v>
      </c>
      <c r="AM541" s="195">
        <f t="shared" si="289"/>
        <v>0</v>
      </c>
      <c r="AN541" s="195">
        <f t="shared" si="289"/>
        <v>0</v>
      </c>
      <c r="AO541" s="195">
        <f t="shared" si="289"/>
        <v>0</v>
      </c>
      <c r="AP541" s="195">
        <f t="shared" si="289"/>
        <v>0</v>
      </c>
    </row>
    <row r="542" spans="1:42" s="17" customFormat="1" x14ac:dyDescent="0.2">
      <c r="A542" s="42" t="s">
        <v>310</v>
      </c>
      <c r="B542" s="172"/>
      <c r="C542" s="168">
        <f t="shared" ref="C542:AP542" si="290">IF(AND(C$2&lt;=term_tenor,C$2&lt;=analysis_period),-C572-C604-C636,0)</f>
        <v>-546659.03786193405</v>
      </c>
      <c r="D542" s="168">
        <f t="shared" si="290"/>
        <v>-546659.03786193405</v>
      </c>
      <c r="E542" s="168">
        <f t="shared" si="290"/>
        <v>-546659.03786193405</v>
      </c>
      <c r="F542" s="168">
        <f t="shared" si="290"/>
        <v>-546659.03786193405</v>
      </c>
      <c r="G542" s="168">
        <f t="shared" si="290"/>
        <v>-546659.03786193405</v>
      </c>
      <c r="H542" s="168">
        <f t="shared" si="290"/>
        <v>-546659.03786193405</v>
      </c>
      <c r="I542" s="168">
        <f t="shared" si="290"/>
        <v>-546659.03786193405</v>
      </c>
      <c r="J542" s="168">
        <f t="shared" si="290"/>
        <v>-546659.03786193405</v>
      </c>
      <c r="K542" s="168">
        <f t="shared" si="290"/>
        <v>-546659.03786193405</v>
      </c>
      <c r="L542" s="168">
        <f t="shared" si="290"/>
        <v>-546659.03786193405</v>
      </c>
      <c r="M542" s="168">
        <f t="shared" si="290"/>
        <v>-546659.03786193405</v>
      </c>
      <c r="N542" s="168">
        <f t="shared" si="290"/>
        <v>-546659.03786193405</v>
      </c>
      <c r="O542" s="168">
        <f t="shared" si="290"/>
        <v>-735195.63069374894</v>
      </c>
      <c r="P542" s="168">
        <f t="shared" si="290"/>
        <v>-735195.63069374894</v>
      </c>
      <c r="Q542" s="168">
        <f t="shared" si="290"/>
        <v>-735195.63069374894</v>
      </c>
      <c r="R542" s="168">
        <f t="shared" si="290"/>
        <v>-735195.63069374894</v>
      </c>
      <c r="S542" s="168">
        <f t="shared" si="290"/>
        <v>-735195.63069374894</v>
      </c>
      <c r="T542" s="168">
        <f t="shared" si="290"/>
        <v>-735195.63069374894</v>
      </c>
      <c r="U542" s="168">
        <f t="shared" si="290"/>
        <v>0</v>
      </c>
      <c r="V542" s="168">
        <f t="shared" si="290"/>
        <v>0</v>
      </c>
      <c r="W542" s="168">
        <f t="shared" si="290"/>
        <v>0</v>
      </c>
      <c r="X542" s="168">
        <f t="shared" si="290"/>
        <v>0</v>
      </c>
      <c r="Y542" s="168">
        <f t="shared" si="290"/>
        <v>0</v>
      </c>
      <c r="Z542" s="168">
        <f t="shared" si="290"/>
        <v>0</v>
      </c>
      <c r="AA542" s="168">
        <f t="shared" si="290"/>
        <v>0</v>
      </c>
      <c r="AB542" s="168">
        <f t="shared" si="290"/>
        <v>0</v>
      </c>
      <c r="AC542" s="168">
        <f t="shared" si="290"/>
        <v>0</v>
      </c>
      <c r="AD542" s="168">
        <f t="shared" si="290"/>
        <v>0</v>
      </c>
      <c r="AE542" s="168">
        <f t="shared" si="290"/>
        <v>0</v>
      </c>
      <c r="AF542" s="168">
        <f t="shared" si="290"/>
        <v>0</v>
      </c>
      <c r="AG542" s="168">
        <f t="shared" si="290"/>
        <v>0</v>
      </c>
      <c r="AH542" s="168">
        <f t="shared" si="290"/>
        <v>0</v>
      </c>
      <c r="AI542" s="168">
        <f t="shared" si="290"/>
        <v>0</v>
      </c>
      <c r="AJ542" s="168">
        <f t="shared" si="290"/>
        <v>0</v>
      </c>
      <c r="AK542" s="168">
        <f t="shared" si="290"/>
        <v>0</v>
      </c>
      <c r="AL542" s="168">
        <f t="shared" si="290"/>
        <v>0</v>
      </c>
      <c r="AM542" s="168">
        <f t="shared" si="290"/>
        <v>0</v>
      </c>
      <c r="AN542" s="168">
        <f t="shared" si="290"/>
        <v>0</v>
      </c>
      <c r="AO542" s="168">
        <f t="shared" si="290"/>
        <v>0</v>
      </c>
      <c r="AP542" s="168">
        <f t="shared" si="290"/>
        <v>0</v>
      </c>
    </row>
    <row r="543" spans="1:42" s="17" customFormat="1" x14ac:dyDescent="0.2">
      <c r="A543" s="28" t="s">
        <v>325</v>
      </c>
      <c r="B543" s="195"/>
      <c r="C543" s="195">
        <f>SUM(C541:C542)</f>
        <v>2646250.0821380662</v>
      </c>
      <c r="D543" s="195">
        <f t="shared" ref="D543:AP543" si="291">SUM(D541:D542)</f>
        <v>2652230.8101380663</v>
      </c>
      <c r="E543" s="195">
        <f t="shared" si="291"/>
        <v>2657993.1563380659</v>
      </c>
      <c r="F543" s="195">
        <f t="shared" si="291"/>
        <v>2663527.4611930661</v>
      </c>
      <c r="G543" s="195">
        <f t="shared" si="291"/>
        <v>2668829.8736694409</v>
      </c>
      <c r="H543" s="195">
        <f t="shared" si="291"/>
        <v>2673902.3464577254</v>
      </c>
      <c r="I543" s="195">
        <f t="shared" si="291"/>
        <v>2678722.631065717</v>
      </c>
      <c r="J543" s="195">
        <f t="shared" si="291"/>
        <v>2683294.2727889083</v>
      </c>
      <c r="K543" s="195">
        <f t="shared" si="291"/>
        <v>2687596.6055551795</v>
      </c>
      <c r="L543" s="195">
        <f t="shared" si="291"/>
        <v>2691624.7466406077</v>
      </c>
      <c r="M543" s="195">
        <f t="shared" si="291"/>
        <v>2695379.5912531707</v>
      </c>
      <c r="N543" s="195">
        <f t="shared" si="291"/>
        <v>2698851.8069810485</v>
      </c>
      <c r="O543" s="195">
        <f t="shared" si="291"/>
        <v>2513485.2352703079</v>
      </c>
      <c r="P543" s="195">
        <f t="shared" si="291"/>
        <v>2516345.2569194096</v>
      </c>
      <c r="Q543" s="195">
        <f t="shared" si="291"/>
        <v>2518889.2291097385</v>
      </c>
      <c r="R543" s="195">
        <f t="shared" si="291"/>
        <v>2521112.8506048257</v>
      </c>
      <c r="S543" s="195">
        <f t="shared" si="291"/>
        <v>2522993.56263729</v>
      </c>
      <c r="T543" s="195">
        <f t="shared" si="291"/>
        <v>2524532.5424705665</v>
      </c>
      <c r="U543" s="195">
        <f t="shared" si="291"/>
        <v>0</v>
      </c>
      <c r="V543" s="195">
        <f t="shared" si="291"/>
        <v>0</v>
      </c>
      <c r="W543" s="195">
        <f t="shared" si="291"/>
        <v>0</v>
      </c>
      <c r="X543" s="195">
        <f t="shared" si="291"/>
        <v>0</v>
      </c>
      <c r="Y543" s="195">
        <f t="shared" si="291"/>
        <v>0</v>
      </c>
      <c r="Z543" s="195">
        <f t="shared" si="291"/>
        <v>0</v>
      </c>
      <c r="AA543" s="195">
        <f t="shared" si="291"/>
        <v>0</v>
      </c>
      <c r="AB543" s="195">
        <f t="shared" si="291"/>
        <v>0</v>
      </c>
      <c r="AC543" s="195">
        <f t="shared" si="291"/>
        <v>0</v>
      </c>
      <c r="AD543" s="195">
        <f t="shared" si="291"/>
        <v>0</v>
      </c>
      <c r="AE543" s="195">
        <f t="shared" si="291"/>
        <v>0</v>
      </c>
      <c r="AF543" s="195">
        <f t="shared" si="291"/>
        <v>0</v>
      </c>
      <c r="AG543" s="195">
        <f t="shared" si="291"/>
        <v>0</v>
      </c>
      <c r="AH543" s="195">
        <f t="shared" si="291"/>
        <v>0</v>
      </c>
      <c r="AI543" s="195">
        <f t="shared" si="291"/>
        <v>0</v>
      </c>
      <c r="AJ543" s="195">
        <f t="shared" si="291"/>
        <v>0</v>
      </c>
      <c r="AK543" s="195">
        <f t="shared" si="291"/>
        <v>0</v>
      </c>
      <c r="AL543" s="195">
        <f t="shared" si="291"/>
        <v>0</v>
      </c>
      <c r="AM543" s="195">
        <f t="shared" si="291"/>
        <v>0</v>
      </c>
      <c r="AN543" s="195">
        <f t="shared" si="291"/>
        <v>0</v>
      </c>
      <c r="AO543" s="195">
        <f t="shared" si="291"/>
        <v>0</v>
      </c>
      <c r="AP543" s="195">
        <f t="shared" si="291"/>
        <v>0</v>
      </c>
    </row>
    <row r="544" spans="1:42" s="17" customFormat="1" x14ac:dyDescent="0.2">
      <c r="A544" s="28" t="s">
        <v>326</v>
      </c>
      <c r="B544" s="195"/>
      <c r="C544" s="277">
        <f>IF(AND(C$2&lt;=term_tenor,C$2&lt;=analysis_period),1/(1+term_int_rate/100),0)</f>
        <v>0.93457943925233644</v>
      </c>
      <c r="D544" s="277">
        <f t="shared" ref="D544:AP544" si="292">IF(AND(C$2&lt;=term_tenor,C$2&lt;=analysis_period),C544/(1+term_int_rate/100),0)</f>
        <v>0.87343872827321156</v>
      </c>
      <c r="E544" s="277">
        <f t="shared" si="292"/>
        <v>0.81629787689085187</v>
      </c>
      <c r="F544" s="277">
        <f t="shared" si="292"/>
        <v>0.76289521204752508</v>
      </c>
      <c r="G544" s="277">
        <f t="shared" si="292"/>
        <v>0.71298617948366827</v>
      </c>
      <c r="H544" s="277">
        <f t="shared" si="292"/>
        <v>0.66634222381651231</v>
      </c>
      <c r="I544" s="277">
        <f t="shared" si="292"/>
        <v>0.62274974188459087</v>
      </c>
      <c r="J544" s="277">
        <f t="shared" si="292"/>
        <v>0.58200910456503818</v>
      </c>
      <c r="K544" s="277">
        <f t="shared" si="292"/>
        <v>0.54393374258414784</v>
      </c>
      <c r="L544" s="277">
        <f t="shared" si="292"/>
        <v>0.50834929213471758</v>
      </c>
      <c r="M544" s="277">
        <f t="shared" si="292"/>
        <v>0.4750927963875865</v>
      </c>
      <c r="N544" s="277">
        <f t="shared" si="292"/>
        <v>0.444011959240735</v>
      </c>
      <c r="O544" s="277">
        <f t="shared" si="292"/>
        <v>0.41496444788853737</v>
      </c>
      <c r="P544" s="277">
        <f t="shared" si="292"/>
        <v>0.38781724101732462</v>
      </c>
      <c r="Q544" s="277">
        <f t="shared" si="292"/>
        <v>0.36244601964235945</v>
      </c>
      <c r="R544" s="277">
        <f t="shared" si="292"/>
        <v>0.33873459779659759</v>
      </c>
      <c r="S544" s="277">
        <f t="shared" si="292"/>
        <v>0.3165743904641099</v>
      </c>
      <c r="T544" s="277">
        <f t="shared" si="292"/>
        <v>0.29586391632159803</v>
      </c>
      <c r="U544" s="277">
        <f t="shared" si="292"/>
        <v>0.27650833301083927</v>
      </c>
      <c r="V544" s="277">
        <f t="shared" si="292"/>
        <v>0</v>
      </c>
      <c r="W544" s="277">
        <f t="shared" si="292"/>
        <v>0</v>
      </c>
      <c r="X544" s="277">
        <f t="shared" si="292"/>
        <v>0</v>
      </c>
      <c r="Y544" s="277">
        <f t="shared" si="292"/>
        <v>0</v>
      </c>
      <c r="Z544" s="277">
        <f t="shared" si="292"/>
        <v>0</v>
      </c>
      <c r="AA544" s="277">
        <f t="shared" si="292"/>
        <v>0</v>
      </c>
      <c r="AB544" s="277">
        <f t="shared" si="292"/>
        <v>0</v>
      </c>
      <c r="AC544" s="277">
        <f t="shared" si="292"/>
        <v>0</v>
      </c>
      <c r="AD544" s="277">
        <f t="shared" si="292"/>
        <v>0</v>
      </c>
      <c r="AE544" s="277">
        <f t="shared" si="292"/>
        <v>0</v>
      </c>
      <c r="AF544" s="277">
        <f t="shared" si="292"/>
        <v>0</v>
      </c>
      <c r="AG544" s="277">
        <f t="shared" si="292"/>
        <v>0</v>
      </c>
      <c r="AH544" s="277">
        <f t="shared" si="292"/>
        <v>0</v>
      </c>
      <c r="AI544" s="277">
        <f t="shared" si="292"/>
        <v>0</v>
      </c>
      <c r="AJ544" s="277">
        <f t="shared" si="292"/>
        <v>0</v>
      </c>
      <c r="AK544" s="277">
        <f t="shared" si="292"/>
        <v>0</v>
      </c>
      <c r="AL544" s="277">
        <f t="shared" si="292"/>
        <v>0</v>
      </c>
      <c r="AM544" s="277">
        <f t="shared" si="292"/>
        <v>0</v>
      </c>
      <c r="AN544" s="277">
        <f t="shared" si="292"/>
        <v>0</v>
      </c>
      <c r="AO544" s="277">
        <f t="shared" si="292"/>
        <v>0</v>
      </c>
      <c r="AP544" s="277">
        <f t="shared" si="292"/>
        <v>0</v>
      </c>
    </row>
    <row r="545" spans="1:42" s="17" customFormat="1" x14ac:dyDescent="0.2">
      <c r="A545" s="28" t="s">
        <v>324</v>
      </c>
      <c r="B545" s="195"/>
      <c r="C545" s="195">
        <f>C543*C544</f>
        <v>2473130.917886043</v>
      </c>
      <c r="D545" s="195">
        <f t="shared" ref="D545:AP545" si="293">D543*D544</f>
        <v>2316561.1058940222</v>
      </c>
      <c r="E545" s="195">
        <f t="shared" si="293"/>
        <v>2169714.1703091771</v>
      </c>
      <c r="F545" s="195">
        <f t="shared" si="293"/>
        <v>2031992.3473012904</v>
      </c>
      <c r="G545" s="195">
        <f t="shared" si="293"/>
        <v>1902838.8153194557</v>
      </c>
      <c r="H545" s="195">
        <f t="shared" si="293"/>
        <v>1781734.0358068312</v>
      </c>
      <c r="I545" s="195">
        <f t="shared" si="293"/>
        <v>1668173.8270765874</v>
      </c>
      <c r="J545" s="195">
        <f t="shared" si="293"/>
        <v>1561701.6969903677</v>
      </c>
      <c r="K545" s="195">
        <f t="shared" si="293"/>
        <v>1461874.4802160806</v>
      </c>
      <c r="L545" s="195">
        <f t="shared" si="293"/>
        <v>1368285.5346470415</v>
      </c>
      <c r="M545" s="195">
        <f t="shared" si="293"/>
        <v>1280555.4273344988</v>
      </c>
      <c r="N545" s="195">
        <f t="shared" si="293"/>
        <v>1198322.4785180534</v>
      </c>
      <c r="O545" s="195">
        <f t="shared" si="293"/>
        <v>1043007.0129299337</v>
      </c>
      <c r="P545" s="195">
        <f t="shared" si="293"/>
        <v>975882.07498551637</v>
      </c>
      <c r="Q545" s="195">
        <f t="shared" si="293"/>
        <v>912961.37501083594</v>
      </c>
      <c r="R545" s="195">
        <f t="shared" si="293"/>
        <v>853988.1474494593</v>
      </c>
      <c r="S545" s="195">
        <f t="shared" si="293"/>
        <v>798715.14923677314</v>
      </c>
      <c r="T545" s="195">
        <f t="shared" si="293"/>
        <v>746918.08489666285</v>
      </c>
      <c r="U545" s="195">
        <f t="shared" si="293"/>
        <v>0</v>
      </c>
      <c r="V545" s="195">
        <f t="shared" si="293"/>
        <v>0</v>
      </c>
      <c r="W545" s="195">
        <f t="shared" si="293"/>
        <v>0</v>
      </c>
      <c r="X545" s="195">
        <f t="shared" si="293"/>
        <v>0</v>
      </c>
      <c r="Y545" s="195">
        <f t="shared" si="293"/>
        <v>0</v>
      </c>
      <c r="Z545" s="195">
        <f t="shared" si="293"/>
        <v>0</v>
      </c>
      <c r="AA545" s="195">
        <f t="shared" si="293"/>
        <v>0</v>
      </c>
      <c r="AB545" s="195">
        <f t="shared" si="293"/>
        <v>0</v>
      </c>
      <c r="AC545" s="195">
        <f t="shared" si="293"/>
        <v>0</v>
      </c>
      <c r="AD545" s="195">
        <f t="shared" si="293"/>
        <v>0</v>
      </c>
      <c r="AE545" s="195">
        <f t="shared" si="293"/>
        <v>0</v>
      </c>
      <c r="AF545" s="195">
        <f t="shared" si="293"/>
        <v>0</v>
      </c>
      <c r="AG545" s="195">
        <f t="shared" si="293"/>
        <v>0</v>
      </c>
      <c r="AH545" s="195">
        <f t="shared" si="293"/>
        <v>0</v>
      </c>
      <c r="AI545" s="195">
        <f t="shared" si="293"/>
        <v>0</v>
      </c>
      <c r="AJ545" s="195">
        <f t="shared" si="293"/>
        <v>0</v>
      </c>
      <c r="AK545" s="195">
        <f t="shared" si="293"/>
        <v>0</v>
      </c>
      <c r="AL545" s="195">
        <f t="shared" si="293"/>
        <v>0</v>
      </c>
      <c r="AM545" s="195">
        <f t="shared" si="293"/>
        <v>0</v>
      </c>
      <c r="AN545" s="195">
        <f t="shared" si="293"/>
        <v>0</v>
      </c>
      <c r="AO545" s="195">
        <f t="shared" si="293"/>
        <v>0</v>
      </c>
      <c r="AP545" s="195">
        <f t="shared" si="293"/>
        <v>0</v>
      </c>
    </row>
    <row r="546" spans="1:42" s="17" customFormat="1" x14ac:dyDescent="0.2">
      <c r="A546" s="28"/>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c r="AA546" s="195"/>
      <c r="AB546" s="195"/>
      <c r="AC546" s="195"/>
      <c r="AD546" s="195"/>
      <c r="AE546" s="195"/>
      <c r="AF546" s="195"/>
      <c r="AG546" s="195"/>
      <c r="AH546" s="195"/>
      <c r="AI546" s="195"/>
      <c r="AJ546" s="195"/>
      <c r="AK546" s="195"/>
      <c r="AL546" s="195"/>
      <c r="AM546" s="195"/>
      <c r="AN546" s="195"/>
      <c r="AO546" s="195"/>
      <c r="AP546" s="195"/>
    </row>
    <row r="547" spans="1:42" s="17" customFormat="1" x14ac:dyDescent="0.2">
      <c r="A547" s="24" t="s">
        <v>315</v>
      </c>
      <c r="B547" s="195"/>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row>
    <row r="548" spans="1:42" s="17" customFormat="1" x14ac:dyDescent="0.2">
      <c r="A548" s="28" t="s">
        <v>313</v>
      </c>
      <c r="B548" s="244" t="str">
        <f>IF(DebtServiceCoverageRatio="Calculated","N/A",SUM(C548:AP548))</f>
        <v>N/A</v>
      </c>
      <c r="C548" s="200" t="str">
        <f t="shared" ref="C548:AP548" si="294">IF(DebtServiceCoverageRatio="Calculated","N/A",IF(AND(C$2&lt;=term_tenor,C$2&lt;=analysis_period),IF(C555=0,0,C545/C555),0))</f>
        <v>N/A</v>
      </c>
      <c r="D548" s="200" t="str">
        <f t="shared" si="294"/>
        <v>N/A</v>
      </c>
      <c r="E548" s="200" t="str">
        <f t="shared" si="294"/>
        <v>N/A</v>
      </c>
      <c r="F548" s="200" t="str">
        <f t="shared" si="294"/>
        <v>N/A</v>
      </c>
      <c r="G548" s="200" t="str">
        <f t="shared" si="294"/>
        <v>N/A</v>
      </c>
      <c r="H548" s="200" t="str">
        <f t="shared" si="294"/>
        <v>N/A</v>
      </c>
      <c r="I548" s="200" t="str">
        <f t="shared" si="294"/>
        <v>N/A</v>
      </c>
      <c r="J548" s="200" t="str">
        <f t="shared" si="294"/>
        <v>N/A</v>
      </c>
      <c r="K548" s="200" t="str">
        <f t="shared" si="294"/>
        <v>N/A</v>
      </c>
      <c r="L548" s="200" t="str">
        <f t="shared" si="294"/>
        <v>N/A</v>
      </c>
      <c r="M548" s="200" t="str">
        <f t="shared" si="294"/>
        <v>N/A</v>
      </c>
      <c r="N548" s="200" t="str">
        <f t="shared" si="294"/>
        <v>N/A</v>
      </c>
      <c r="O548" s="200" t="str">
        <f t="shared" si="294"/>
        <v>N/A</v>
      </c>
      <c r="P548" s="200" t="str">
        <f t="shared" si="294"/>
        <v>N/A</v>
      </c>
      <c r="Q548" s="200" t="str">
        <f t="shared" si="294"/>
        <v>N/A</v>
      </c>
      <c r="R548" s="200" t="str">
        <f t="shared" si="294"/>
        <v>N/A</v>
      </c>
      <c r="S548" s="200" t="str">
        <f t="shared" si="294"/>
        <v>N/A</v>
      </c>
      <c r="T548" s="200" t="str">
        <f t="shared" si="294"/>
        <v>N/A</v>
      </c>
      <c r="U548" s="200" t="str">
        <f t="shared" si="294"/>
        <v>N/A</v>
      </c>
      <c r="V548" s="200" t="str">
        <f t="shared" si="294"/>
        <v>N/A</v>
      </c>
      <c r="W548" s="200" t="str">
        <f t="shared" si="294"/>
        <v>N/A</v>
      </c>
      <c r="X548" s="200" t="str">
        <f t="shared" si="294"/>
        <v>N/A</v>
      </c>
      <c r="Y548" s="200" t="str">
        <f t="shared" si="294"/>
        <v>N/A</v>
      </c>
      <c r="Z548" s="200" t="str">
        <f t="shared" si="294"/>
        <v>N/A</v>
      </c>
      <c r="AA548" s="200" t="str">
        <f t="shared" si="294"/>
        <v>N/A</v>
      </c>
      <c r="AB548" s="200" t="str">
        <f t="shared" si="294"/>
        <v>N/A</v>
      </c>
      <c r="AC548" s="200" t="str">
        <f t="shared" si="294"/>
        <v>N/A</v>
      </c>
      <c r="AD548" s="200" t="str">
        <f t="shared" si="294"/>
        <v>N/A</v>
      </c>
      <c r="AE548" s="200" t="str">
        <f t="shared" si="294"/>
        <v>N/A</v>
      </c>
      <c r="AF548" s="200" t="str">
        <f t="shared" si="294"/>
        <v>N/A</v>
      </c>
      <c r="AG548" s="200" t="str">
        <f t="shared" si="294"/>
        <v>N/A</v>
      </c>
      <c r="AH548" s="200" t="str">
        <f t="shared" si="294"/>
        <v>N/A</v>
      </c>
      <c r="AI548" s="200" t="str">
        <f t="shared" si="294"/>
        <v>N/A</v>
      </c>
      <c r="AJ548" s="200" t="str">
        <f t="shared" si="294"/>
        <v>N/A</v>
      </c>
      <c r="AK548" s="200" t="str">
        <f t="shared" si="294"/>
        <v>N/A</v>
      </c>
      <c r="AL548" s="200" t="str">
        <f t="shared" si="294"/>
        <v>N/A</v>
      </c>
      <c r="AM548" s="200" t="str">
        <f t="shared" si="294"/>
        <v>N/A</v>
      </c>
      <c r="AN548" s="200" t="str">
        <f t="shared" si="294"/>
        <v>N/A</v>
      </c>
      <c r="AO548" s="200" t="str">
        <f t="shared" si="294"/>
        <v>N/A</v>
      </c>
      <c r="AP548" s="200" t="str">
        <f t="shared" si="294"/>
        <v>N/A</v>
      </c>
    </row>
    <row r="549" spans="1:42" s="17" customFormat="1" x14ac:dyDescent="0.2">
      <c r="A549" s="28" t="s">
        <v>312</v>
      </c>
      <c r="B549" s="244">
        <f>MortgageSizeOfDebt</f>
        <v>20482866</v>
      </c>
      <c r="C549" s="200"/>
      <c r="D549" s="200"/>
      <c r="E549" s="200"/>
      <c r="F549" s="200"/>
      <c r="G549" s="200"/>
      <c r="H549" s="200"/>
      <c r="I549" s="200"/>
      <c r="J549" s="200"/>
      <c r="K549" s="200"/>
      <c r="L549" s="200"/>
      <c r="M549" s="200"/>
      <c r="N549" s="200"/>
      <c r="O549" s="200"/>
      <c r="P549" s="200"/>
      <c r="Q549" s="200"/>
      <c r="R549" s="200"/>
      <c r="S549" s="200"/>
      <c r="T549" s="200"/>
      <c r="U549" s="200"/>
      <c r="V549" s="200"/>
      <c r="W549" s="200"/>
      <c r="X549" s="200"/>
      <c r="Y549" s="200"/>
      <c r="Z549" s="200"/>
      <c r="AA549" s="200"/>
      <c r="AB549" s="200"/>
      <c r="AC549" s="200"/>
      <c r="AD549" s="200"/>
      <c r="AE549" s="200"/>
      <c r="AF549" s="200"/>
      <c r="AG549" s="200"/>
      <c r="AH549" s="200"/>
      <c r="AI549" s="200"/>
      <c r="AJ549" s="200"/>
      <c r="AK549" s="200"/>
      <c r="AL549" s="200"/>
      <c r="AM549" s="200"/>
      <c r="AN549" s="200"/>
      <c r="AO549" s="200"/>
      <c r="AP549" s="200"/>
    </row>
    <row r="550" spans="1:42" s="17" customFormat="1" x14ac:dyDescent="0.2">
      <c r="A550" s="24"/>
      <c r="B550" s="195"/>
      <c r="C550" s="200"/>
      <c r="D550" s="200"/>
      <c r="E550" s="200"/>
      <c r="F550" s="200"/>
      <c r="G550" s="200"/>
      <c r="H550" s="200"/>
      <c r="I550" s="200"/>
      <c r="J550" s="200"/>
      <c r="K550" s="200"/>
      <c r="L550" s="200"/>
      <c r="M550" s="200"/>
      <c r="N550" s="200"/>
      <c r="O550" s="200"/>
      <c r="P550" s="200"/>
      <c r="Q550" s="200"/>
      <c r="R550" s="200"/>
      <c r="S550" s="200"/>
      <c r="T550" s="200"/>
      <c r="U550" s="200"/>
      <c r="V550" s="200"/>
      <c r="W550" s="200"/>
      <c r="X550" s="200"/>
      <c r="Y550" s="200"/>
      <c r="Z550" s="200"/>
      <c r="AA550" s="200"/>
      <c r="AB550" s="200"/>
      <c r="AC550" s="200"/>
      <c r="AD550" s="200"/>
      <c r="AE550" s="200"/>
      <c r="AF550" s="200"/>
      <c r="AG550" s="200"/>
      <c r="AH550" s="200"/>
      <c r="AI550" s="200"/>
      <c r="AJ550" s="200"/>
      <c r="AK550" s="200"/>
      <c r="AL550" s="200"/>
      <c r="AM550" s="200"/>
      <c r="AN550" s="200"/>
      <c r="AO550" s="200"/>
      <c r="AP550" s="200"/>
    </row>
    <row r="551" spans="1:42" s="17" customFormat="1" x14ac:dyDescent="0.2">
      <c r="A551" s="24" t="s">
        <v>316</v>
      </c>
      <c r="C551" s="200"/>
      <c r="D551" s="200"/>
      <c r="E551" s="200"/>
      <c r="F551" s="200"/>
      <c r="G551" s="200"/>
      <c r="H551" s="200"/>
      <c r="I551" s="200"/>
      <c r="J551" s="200"/>
      <c r="K551" s="200"/>
      <c r="L551" s="200"/>
      <c r="M551" s="200"/>
      <c r="N551" s="200"/>
      <c r="O551" s="200"/>
      <c r="P551" s="200"/>
      <c r="Q551" s="200"/>
      <c r="R551" s="200"/>
      <c r="S551" s="200"/>
      <c r="T551" s="200"/>
      <c r="U551" s="200"/>
      <c r="V551" s="200"/>
      <c r="W551" s="200"/>
      <c r="X551" s="200"/>
      <c r="Y551" s="200"/>
      <c r="Z551" s="200"/>
      <c r="AA551" s="200"/>
      <c r="AB551" s="200"/>
      <c r="AC551" s="200"/>
      <c r="AD551" s="200"/>
      <c r="AE551" s="200"/>
      <c r="AF551" s="200"/>
      <c r="AG551" s="200"/>
      <c r="AH551" s="200"/>
      <c r="AI551" s="200"/>
      <c r="AJ551" s="200"/>
      <c r="AK551" s="200"/>
      <c r="AL551" s="200"/>
      <c r="AM551" s="200"/>
      <c r="AN551" s="200"/>
      <c r="AO551" s="200"/>
      <c r="AP551" s="200"/>
    </row>
    <row r="552" spans="1:42" s="17" customFormat="1" x14ac:dyDescent="0.2">
      <c r="A552" s="28" t="s">
        <v>313</v>
      </c>
      <c r="B552" s="195"/>
      <c r="C552" s="200" t="str">
        <f t="shared" ref="C552:AP552" si="295">IF(DebtPercent="Calculated",IF(C555=0,0,C543/C555),"N/A")</f>
        <v>N/A</v>
      </c>
      <c r="D552" s="200" t="str">
        <f t="shared" si="295"/>
        <v>N/A</v>
      </c>
      <c r="E552" s="200" t="str">
        <f t="shared" si="295"/>
        <v>N/A</v>
      </c>
      <c r="F552" s="200" t="str">
        <f t="shared" si="295"/>
        <v>N/A</v>
      </c>
      <c r="G552" s="200" t="str">
        <f t="shared" si="295"/>
        <v>N/A</v>
      </c>
      <c r="H552" s="200" t="str">
        <f t="shared" si="295"/>
        <v>N/A</v>
      </c>
      <c r="I552" s="200" t="str">
        <f t="shared" si="295"/>
        <v>N/A</v>
      </c>
      <c r="J552" s="200" t="str">
        <f t="shared" si="295"/>
        <v>N/A</v>
      </c>
      <c r="K552" s="200" t="str">
        <f t="shared" si="295"/>
        <v>N/A</v>
      </c>
      <c r="L552" s="200" t="str">
        <f t="shared" si="295"/>
        <v>N/A</v>
      </c>
      <c r="M552" s="200" t="str">
        <f t="shared" si="295"/>
        <v>N/A</v>
      </c>
      <c r="N552" s="200" t="str">
        <f t="shared" si="295"/>
        <v>N/A</v>
      </c>
      <c r="O552" s="200" t="str">
        <f t="shared" si="295"/>
        <v>N/A</v>
      </c>
      <c r="P552" s="200" t="str">
        <f t="shared" si="295"/>
        <v>N/A</v>
      </c>
      <c r="Q552" s="200" t="str">
        <f t="shared" si="295"/>
        <v>N/A</v>
      </c>
      <c r="R552" s="200" t="str">
        <f t="shared" si="295"/>
        <v>N/A</v>
      </c>
      <c r="S552" s="200" t="str">
        <f t="shared" si="295"/>
        <v>N/A</v>
      </c>
      <c r="T552" s="200" t="str">
        <f t="shared" si="295"/>
        <v>N/A</v>
      </c>
      <c r="U552" s="200" t="str">
        <f t="shared" si="295"/>
        <v>N/A</v>
      </c>
      <c r="V552" s="200" t="str">
        <f t="shared" si="295"/>
        <v>N/A</v>
      </c>
      <c r="W552" s="200" t="str">
        <f t="shared" si="295"/>
        <v>N/A</v>
      </c>
      <c r="X552" s="200" t="str">
        <f t="shared" si="295"/>
        <v>N/A</v>
      </c>
      <c r="Y552" s="200" t="str">
        <f t="shared" si="295"/>
        <v>N/A</v>
      </c>
      <c r="Z552" s="200" t="str">
        <f t="shared" si="295"/>
        <v>N/A</v>
      </c>
      <c r="AA552" s="200" t="str">
        <f t="shared" si="295"/>
        <v>N/A</v>
      </c>
      <c r="AB552" s="200" t="str">
        <f t="shared" si="295"/>
        <v>N/A</v>
      </c>
      <c r="AC552" s="200" t="str">
        <f t="shared" si="295"/>
        <v>N/A</v>
      </c>
      <c r="AD552" s="200" t="str">
        <f t="shared" si="295"/>
        <v>N/A</v>
      </c>
      <c r="AE552" s="200" t="str">
        <f t="shared" si="295"/>
        <v>N/A</v>
      </c>
      <c r="AF552" s="200" t="str">
        <f t="shared" si="295"/>
        <v>N/A</v>
      </c>
      <c r="AG552" s="200" t="str">
        <f t="shared" si="295"/>
        <v>N/A</v>
      </c>
      <c r="AH552" s="200" t="str">
        <f t="shared" si="295"/>
        <v>N/A</v>
      </c>
      <c r="AI552" s="200" t="str">
        <f t="shared" si="295"/>
        <v>N/A</v>
      </c>
      <c r="AJ552" s="200" t="str">
        <f t="shared" si="295"/>
        <v>N/A</v>
      </c>
      <c r="AK552" s="200" t="str">
        <f t="shared" si="295"/>
        <v>N/A</v>
      </c>
      <c r="AL552" s="200" t="str">
        <f t="shared" si="295"/>
        <v>N/A</v>
      </c>
      <c r="AM552" s="200" t="str">
        <f t="shared" si="295"/>
        <v>N/A</v>
      </c>
      <c r="AN552" s="200" t="str">
        <f t="shared" si="295"/>
        <v>N/A</v>
      </c>
      <c r="AO552" s="200" t="str">
        <f t="shared" si="295"/>
        <v>N/A</v>
      </c>
      <c r="AP552" s="200" t="str">
        <f t="shared" si="295"/>
        <v>N/A</v>
      </c>
    </row>
    <row r="553" spans="1:42" s="17" customFormat="1" x14ac:dyDescent="0.2">
      <c r="A553" s="28" t="s">
        <v>312</v>
      </c>
      <c r="B553" s="195"/>
      <c r="C553" s="200">
        <f t="shared" ref="C553:AP553" si="296">IF(DebtPercent="Calculated","N/A",IF(AND(C$2&lt;=term_tenor,C$2&lt;=analysis_period),-PMT(term_int_rate/100,term_tenor,$B$549),0))</f>
        <v>2036254.9984796066</v>
      </c>
      <c r="D553" s="200">
        <f t="shared" si="296"/>
        <v>2036254.9984796066</v>
      </c>
      <c r="E553" s="200">
        <f t="shared" si="296"/>
        <v>2036254.9984796066</v>
      </c>
      <c r="F553" s="200">
        <f t="shared" si="296"/>
        <v>2036254.9984796066</v>
      </c>
      <c r="G553" s="200">
        <f t="shared" si="296"/>
        <v>2036254.9984796066</v>
      </c>
      <c r="H553" s="200">
        <f t="shared" si="296"/>
        <v>2036254.9984796066</v>
      </c>
      <c r="I553" s="200">
        <f t="shared" si="296"/>
        <v>2036254.9984796066</v>
      </c>
      <c r="J553" s="200">
        <f t="shared" si="296"/>
        <v>2036254.9984796066</v>
      </c>
      <c r="K553" s="200">
        <f t="shared" si="296"/>
        <v>2036254.9984796066</v>
      </c>
      <c r="L553" s="200">
        <f t="shared" si="296"/>
        <v>2036254.9984796066</v>
      </c>
      <c r="M553" s="200">
        <f t="shared" si="296"/>
        <v>2036254.9984796066</v>
      </c>
      <c r="N553" s="200">
        <f t="shared" si="296"/>
        <v>2036254.9984796066</v>
      </c>
      <c r="O553" s="200">
        <f t="shared" si="296"/>
        <v>2036254.9984796066</v>
      </c>
      <c r="P553" s="200">
        <f t="shared" si="296"/>
        <v>2036254.9984796066</v>
      </c>
      <c r="Q553" s="200">
        <f t="shared" si="296"/>
        <v>2036254.9984796066</v>
      </c>
      <c r="R553" s="200">
        <f t="shared" si="296"/>
        <v>2036254.9984796066</v>
      </c>
      <c r="S553" s="200">
        <f t="shared" si="296"/>
        <v>2036254.9984796066</v>
      </c>
      <c r="T553" s="200">
        <f t="shared" si="296"/>
        <v>2036254.9984796066</v>
      </c>
      <c r="U553" s="200">
        <f t="shared" si="296"/>
        <v>0</v>
      </c>
      <c r="V553" s="200">
        <f t="shared" si="296"/>
        <v>0</v>
      </c>
      <c r="W553" s="200">
        <f t="shared" si="296"/>
        <v>0</v>
      </c>
      <c r="X553" s="200">
        <f t="shared" si="296"/>
        <v>0</v>
      </c>
      <c r="Y553" s="200">
        <f t="shared" si="296"/>
        <v>0</v>
      </c>
      <c r="Z553" s="200">
        <f t="shared" si="296"/>
        <v>0</v>
      </c>
      <c r="AA553" s="200">
        <f t="shared" si="296"/>
        <v>0</v>
      </c>
      <c r="AB553" s="200">
        <f t="shared" si="296"/>
        <v>0</v>
      </c>
      <c r="AC553" s="200">
        <f t="shared" si="296"/>
        <v>0</v>
      </c>
      <c r="AD553" s="200">
        <f t="shared" si="296"/>
        <v>0</v>
      </c>
      <c r="AE553" s="200">
        <f t="shared" si="296"/>
        <v>0</v>
      </c>
      <c r="AF553" s="200">
        <f t="shared" si="296"/>
        <v>0</v>
      </c>
      <c r="AG553" s="200">
        <f t="shared" si="296"/>
        <v>0</v>
      </c>
      <c r="AH553" s="200">
        <f t="shared" si="296"/>
        <v>0</v>
      </c>
      <c r="AI553" s="200">
        <f t="shared" si="296"/>
        <v>0</v>
      </c>
      <c r="AJ553" s="200">
        <f t="shared" si="296"/>
        <v>0</v>
      </c>
      <c r="AK553" s="200">
        <f t="shared" si="296"/>
        <v>0</v>
      </c>
      <c r="AL553" s="200">
        <f t="shared" si="296"/>
        <v>0</v>
      </c>
      <c r="AM553" s="200">
        <f t="shared" si="296"/>
        <v>0</v>
      </c>
      <c r="AN553" s="200">
        <f t="shared" si="296"/>
        <v>0</v>
      </c>
      <c r="AO553" s="200">
        <f t="shared" si="296"/>
        <v>0</v>
      </c>
      <c r="AP553" s="200">
        <f t="shared" si="296"/>
        <v>0</v>
      </c>
    </row>
    <row r="554" spans="1:42" s="17" customFormat="1" x14ac:dyDescent="0.2">
      <c r="A554" s="28"/>
      <c r="B554" s="195"/>
      <c r="C554" s="200"/>
      <c r="D554" s="200"/>
      <c r="E554" s="200"/>
      <c r="F554" s="200"/>
      <c r="G554" s="200"/>
      <c r="H554" s="200"/>
      <c r="I554" s="200"/>
      <c r="J554" s="200"/>
      <c r="K554" s="200"/>
      <c r="L554" s="200"/>
      <c r="M554" s="200"/>
      <c r="N554" s="200"/>
      <c r="O554" s="200"/>
      <c r="P554" s="200"/>
      <c r="Q554" s="200"/>
      <c r="R554" s="200"/>
      <c r="S554" s="200"/>
      <c r="T554" s="200"/>
      <c r="U554" s="200"/>
      <c r="V554" s="200"/>
      <c r="W554" s="200"/>
      <c r="X554" s="200"/>
      <c r="Y554" s="200"/>
      <c r="Z554" s="200"/>
      <c r="AA554" s="200"/>
      <c r="AB554" s="200"/>
      <c r="AC554" s="200"/>
      <c r="AD554" s="200"/>
      <c r="AE554" s="200"/>
      <c r="AF554" s="200"/>
      <c r="AG554" s="200"/>
      <c r="AH554" s="200"/>
      <c r="AI554" s="200"/>
      <c r="AJ554" s="200"/>
      <c r="AK554" s="200"/>
      <c r="AL554" s="200"/>
      <c r="AM554" s="200"/>
      <c r="AN554" s="200"/>
      <c r="AO554" s="200"/>
      <c r="AP554" s="200"/>
    </row>
    <row r="555" spans="1:42" s="17" customFormat="1" x14ac:dyDescent="0.2">
      <c r="A555" s="24" t="s">
        <v>311</v>
      </c>
      <c r="B555" s="152">
        <f>SMALL(C555:AP555,COUNTIF(C555:AP555,0)+1)</f>
        <v>1.234366637354865</v>
      </c>
      <c r="C555" s="158">
        <f t="shared" ref="C555:AP555" si="297">IF(DebtServiceCoverageRatio="Calculated",IF(AND(C$2&lt;=term_tenor,C$2&lt;=analysis_period),C543/C553,0),IF(AND(C$2&lt;=term_tenor,C$2&lt;=analysis_period),DebtServiceCoverageRatio,0))</f>
        <v>1.2995671387492822</v>
      </c>
      <c r="D555" s="158">
        <f t="shared" si="297"/>
        <v>1.3025042600845107</v>
      </c>
      <c r="E555" s="158">
        <f t="shared" si="297"/>
        <v>1.3053341346357343</v>
      </c>
      <c r="F555" s="158">
        <f t="shared" si="297"/>
        <v>1.3080520186233158</v>
      </c>
      <c r="G555" s="158">
        <f t="shared" si="297"/>
        <v>1.3106560208137752</v>
      </c>
      <c r="H555" s="158">
        <f t="shared" si="297"/>
        <v>1.3131471001688029</v>
      </c>
      <c r="I555" s="158">
        <f t="shared" si="297"/>
        <v>1.3155143305066488</v>
      </c>
      <c r="J555" s="158">
        <f t="shared" si="297"/>
        <v>1.3177594529135208</v>
      </c>
      <c r="K555" s="158">
        <f t="shared" si="297"/>
        <v>1.3198723183304177</v>
      </c>
      <c r="L555" s="158">
        <f t="shared" si="297"/>
        <v>1.3218505288632025</v>
      </c>
      <c r="M555" s="158">
        <f t="shared" si="297"/>
        <v>1.32369452414639</v>
      </c>
      <c r="N555" s="158">
        <f t="shared" si="297"/>
        <v>1.3253997210546702</v>
      </c>
      <c r="O555" s="158">
        <f t="shared" si="297"/>
        <v>1.234366637354865</v>
      </c>
      <c r="P555" s="158">
        <f t="shared" si="297"/>
        <v>1.2357711872031096</v>
      </c>
      <c r="Q555" s="158">
        <f t="shared" si="297"/>
        <v>1.2370205259117824</v>
      </c>
      <c r="R555" s="158">
        <f t="shared" si="297"/>
        <v>1.2381125411538554</v>
      </c>
      <c r="S555" s="158">
        <f t="shared" si="297"/>
        <v>1.2390361543721746</v>
      </c>
      <c r="T555" s="158">
        <f t="shared" si="297"/>
        <v>1.2397919437180205</v>
      </c>
      <c r="U555" s="158">
        <f t="shared" si="297"/>
        <v>0</v>
      </c>
      <c r="V555" s="158">
        <f t="shared" si="297"/>
        <v>0</v>
      </c>
      <c r="W555" s="158">
        <f t="shared" si="297"/>
        <v>0</v>
      </c>
      <c r="X555" s="158">
        <f t="shared" si="297"/>
        <v>0</v>
      </c>
      <c r="Y555" s="158">
        <f t="shared" si="297"/>
        <v>0</v>
      </c>
      <c r="Z555" s="158">
        <f t="shared" si="297"/>
        <v>0</v>
      </c>
      <c r="AA555" s="158">
        <f t="shared" si="297"/>
        <v>0</v>
      </c>
      <c r="AB555" s="158">
        <f t="shared" si="297"/>
        <v>0</v>
      </c>
      <c r="AC555" s="158">
        <f t="shared" si="297"/>
        <v>0</v>
      </c>
      <c r="AD555" s="158">
        <f t="shared" si="297"/>
        <v>0</v>
      </c>
      <c r="AE555" s="158">
        <f t="shared" si="297"/>
        <v>0</v>
      </c>
      <c r="AF555" s="158">
        <f t="shared" si="297"/>
        <v>0</v>
      </c>
      <c r="AG555" s="158">
        <f t="shared" si="297"/>
        <v>0</v>
      </c>
      <c r="AH555" s="158">
        <f t="shared" si="297"/>
        <v>0</v>
      </c>
      <c r="AI555" s="158">
        <f t="shared" si="297"/>
        <v>0</v>
      </c>
      <c r="AJ555" s="158">
        <f t="shared" si="297"/>
        <v>0</v>
      </c>
      <c r="AK555" s="158">
        <f t="shared" si="297"/>
        <v>0</v>
      </c>
      <c r="AL555" s="158">
        <f t="shared" si="297"/>
        <v>0</v>
      </c>
      <c r="AM555" s="158">
        <f t="shared" si="297"/>
        <v>0</v>
      </c>
      <c r="AN555" s="158">
        <f t="shared" si="297"/>
        <v>0</v>
      </c>
      <c r="AO555" s="158">
        <f t="shared" si="297"/>
        <v>0</v>
      </c>
      <c r="AP555" s="158">
        <f t="shared" si="297"/>
        <v>0</v>
      </c>
    </row>
    <row r="556" spans="1:42" x14ac:dyDescent="0.2">
      <c r="A556" s="32"/>
      <c r="B556" s="249"/>
    </row>
    <row r="557" spans="1:42" x14ac:dyDescent="0.2">
      <c r="A557" s="114" t="s">
        <v>83</v>
      </c>
      <c r="B557" s="296"/>
      <c r="C557" s="296"/>
      <c r="D557" s="296"/>
      <c r="E557" s="296"/>
      <c r="F557" s="296"/>
      <c r="G557" s="296"/>
      <c r="H557" s="296"/>
      <c r="I557" s="296"/>
      <c r="J557" s="296"/>
      <c r="K557" s="296"/>
      <c r="L557" s="296"/>
      <c r="M557" s="296"/>
      <c r="N557" s="296"/>
      <c r="O557" s="296"/>
      <c r="P557" s="296"/>
      <c r="Q557" s="296"/>
      <c r="R557" s="296"/>
      <c r="S557" s="296"/>
      <c r="T557" s="296"/>
      <c r="U557" s="296"/>
      <c r="V557" s="296"/>
      <c r="W557" s="296"/>
      <c r="X557" s="296"/>
      <c r="Y557" s="296"/>
      <c r="Z557" s="296"/>
      <c r="AA557" s="296"/>
      <c r="AB557" s="296"/>
      <c r="AC557" s="296"/>
      <c r="AD557" s="296"/>
      <c r="AE557" s="296"/>
      <c r="AF557" s="296"/>
      <c r="AG557" s="296"/>
      <c r="AH557" s="296"/>
      <c r="AI557" s="296"/>
      <c r="AJ557" s="296"/>
      <c r="AK557" s="296"/>
      <c r="AL557" s="296"/>
      <c r="AM557" s="296"/>
      <c r="AN557" s="296"/>
      <c r="AO557" s="296"/>
      <c r="AP557" s="296"/>
    </row>
    <row r="558" spans="1:42" x14ac:dyDescent="0.2">
      <c r="A558" s="26" t="s">
        <v>26</v>
      </c>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row>
    <row r="559" spans="1:42" x14ac:dyDescent="0.2">
      <c r="A559" s="4" t="s">
        <v>28</v>
      </c>
      <c r="B559" s="224">
        <v>0</v>
      </c>
      <c r="C559" s="224">
        <f>B562</f>
        <v>1018127.4992398033</v>
      </c>
      <c r="D559" s="224">
        <f t="shared" ref="D559:AP559" si="298">C562</f>
        <v>1018127.4992398033</v>
      </c>
      <c r="E559" s="224">
        <f t="shared" si="298"/>
        <v>1018127.4992398033</v>
      </c>
      <c r="F559" s="224">
        <f t="shared" si="298"/>
        <v>1018127.4992398033</v>
      </c>
      <c r="G559" s="224">
        <f t="shared" si="298"/>
        <v>1018127.4992398033</v>
      </c>
      <c r="H559" s="224">
        <f t="shared" si="298"/>
        <v>1018127.4992398033</v>
      </c>
      <c r="I559" s="224">
        <f t="shared" si="298"/>
        <v>1018127.4992398033</v>
      </c>
      <c r="J559" s="224">
        <f t="shared" si="298"/>
        <v>1018127.4992398033</v>
      </c>
      <c r="K559" s="224">
        <f t="shared" si="298"/>
        <v>1018127.4992398033</v>
      </c>
      <c r="L559" s="224">
        <f t="shared" si="298"/>
        <v>1018127.4992398033</v>
      </c>
      <c r="M559" s="224">
        <f t="shared" si="298"/>
        <v>1018127.4992398033</v>
      </c>
      <c r="N559" s="224">
        <f t="shared" si="298"/>
        <v>1018127.4992398033</v>
      </c>
      <c r="O559" s="224">
        <f t="shared" si="298"/>
        <v>1018127.4992398033</v>
      </c>
      <c r="P559" s="224">
        <f t="shared" si="298"/>
        <v>1018127.4992398033</v>
      </c>
      <c r="Q559" s="224">
        <f t="shared" si="298"/>
        <v>1018127.4992398033</v>
      </c>
      <c r="R559" s="224">
        <f t="shared" si="298"/>
        <v>1018127.4992398033</v>
      </c>
      <c r="S559" s="224">
        <f t="shared" si="298"/>
        <v>1018127.4992398033</v>
      </c>
      <c r="T559" s="224">
        <f t="shared" si="298"/>
        <v>1018127.4992398033</v>
      </c>
      <c r="U559" s="224">
        <f t="shared" si="298"/>
        <v>0</v>
      </c>
      <c r="V559" s="224">
        <f t="shared" si="298"/>
        <v>0</v>
      </c>
      <c r="W559" s="224">
        <f t="shared" si="298"/>
        <v>0</v>
      </c>
      <c r="X559" s="224">
        <f t="shared" si="298"/>
        <v>0</v>
      </c>
      <c r="Y559" s="224">
        <f t="shared" si="298"/>
        <v>0</v>
      </c>
      <c r="Z559" s="224">
        <f t="shared" si="298"/>
        <v>0</v>
      </c>
      <c r="AA559" s="224">
        <f t="shared" si="298"/>
        <v>0</v>
      </c>
      <c r="AB559" s="224">
        <f t="shared" si="298"/>
        <v>0</v>
      </c>
      <c r="AC559" s="224">
        <f t="shared" si="298"/>
        <v>0</v>
      </c>
      <c r="AD559" s="224">
        <f t="shared" si="298"/>
        <v>0</v>
      </c>
      <c r="AE559" s="224">
        <f t="shared" si="298"/>
        <v>0</v>
      </c>
      <c r="AF559" s="224">
        <f t="shared" si="298"/>
        <v>0</v>
      </c>
      <c r="AG559" s="224">
        <f t="shared" si="298"/>
        <v>0</v>
      </c>
      <c r="AH559" s="224">
        <f t="shared" si="298"/>
        <v>0</v>
      </c>
      <c r="AI559" s="224">
        <f t="shared" si="298"/>
        <v>0</v>
      </c>
      <c r="AJ559" s="224">
        <f t="shared" si="298"/>
        <v>0</v>
      </c>
      <c r="AK559" s="224">
        <f t="shared" si="298"/>
        <v>0</v>
      </c>
      <c r="AL559" s="224">
        <f t="shared" si="298"/>
        <v>0</v>
      </c>
      <c r="AM559" s="224">
        <f t="shared" si="298"/>
        <v>0</v>
      </c>
      <c r="AN559" s="224">
        <f t="shared" si="298"/>
        <v>0</v>
      </c>
      <c r="AO559" s="224">
        <f t="shared" si="298"/>
        <v>0</v>
      </c>
      <c r="AP559" s="224">
        <f t="shared" si="298"/>
        <v>0</v>
      </c>
    </row>
    <row r="560" spans="1:42" x14ac:dyDescent="0.2">
      <c r="A560" s="4" t="s">
        <v>29</v>
      </c>
      <c r="B560" s="224">
        <f t="shared" ref="B560:AP560" si="299">IF(B2&lt;MIN(term_tenor,analysis_period),B562-B559,0)</f>
        <v>1018127.4992398033</v>
      </c>
      <c r="C560" s="224">
        <f t="shared" si="299"/>
        <v>0</v>
      </c>
      <c r="D560" s="224">
        <f t="shared" si="299"/>
        <v>0</v>
      </c>
      <c r="E560" s="224">
        <f t="shared" si="299"/>
        <v>0</v>
      </c>
      <c r="F560" s="224">
        <f t="shared" si="299"/>
        <v>0</v>
      </c>
      <c r="G560" s="224">
        <f t="shared" si="299"/>
        <v>0</v>
      </c>
      <c r="H560" s="224">
        <f t="shared" si="299"/>
        <v>0</v>
      </c>
      <c r="I560" s="224">
        <f t="shared" si="299"/>
        <v>0</v>
      </c>
      <c r="J560" s="224">
        <f t="shared" si="299"/>
        <v>0</v>
      </c>
      <c r="K560" s="224">
        <f t="shared" si="299"/>
        <v>0</v>
      </c>
      <c r="L560" s="224">
        <f t="shared" si="299"/>
        <v>0</v>
      </c>
      <c r="M560" s="224">
        <f t="shared" si="299"/>
        <v>0</v>
      </c>
      <c r="N560" s="224">
        <f t="shared" si="299"/>
        <v>0</v>
      </c>
      <c r="O560" s="224">
        <f t="shared" si="299"/>
        <v>0</v>
      </c>
      <c r="P560" s="224">
        <f t="shared" si="299"/>
        <v>0</v>
      </c>
      <c r="Q560" s="224">
        <f t="shared" si="299"/>
        <v>0</v>
      </c>
      <c r="R560" s="224">
        <f t="shared" si="299"/>
        <v>0</v>
      </c>
      <c r="S560" s="224">
        <f t="shared" si="299"/>
        <v>0</v>
      </c>
      <c r="T560" s="224">
        <f t="shared" si="299"/>
        <v>0</v>
      </c>
      <c r="U560" s="224">
        <f t="shared" si="299"/>
        <v>0</v>
      </c>
      <c r="V560" s="224">
        <f t="shared" si="299"/>
        <v>0</v>
      </c>
      <c r="W560" s="224">
        <f t="shared" si="299"/>
        <v>0</v>
      </c>
      <c r="X560" s="224">
        <f t="shared" si="299"/>
        <v>0</v>
      </c>
      <c r="Y560" s="224">
        <f t="shared" si="299"/>
        <v>0</v>
      </c>
      <c r="Z560" s="224">
        <f t="shared" si="299"/>
        <v>0</v>
      </c>
      <c r="AA560" s="224">
        <f t="shared" si="299"/>
        <v>0</v>
      </c>
      <c r="AB560" s="224">
        <f t="shared" si="299"/>
        <v>0</v>
      </c>
      <c r="AC560" s="224">
        <f t="shared" si="299"/>
        <v>0</v>
      </c>
      <c r="AD560" s="224">
        <f t="shared" si="299"/>
        <v>0</v>
      </c>
      <c r="AE560" s="224">
        <f t="shared" si="299"/>
        <v>0</v>
      </c>
      <c r="AF560" s="224">
        <f t="shared" si="299"/>
        <v>0</v>
      </c>
      <c r="AG560" s="224">
        <f t="shared" si="299"/>
        <v>0</v>
      </c>
      <c r="AH560" s="224">
        <f t="shared" si="299"/>
        <v>0</v>
      </c>
      <c r="AI560" s="224">
        <f t="shared" si="299"/>
        <v>0</v>
      </c>
      <c r="AJ560" s="224">
        <f t="shared" si="299"/>
        <v>0</v>
      </c>
      <c r="AK560" s="224">
        <f t="shared" si="299"/>
        <v>0</v>
      </c>
      <c r="AL560" s="224">
        <f t="shared" si="299"/>
        <v>0</v>
      </c>
      <c r="AM560" s="224">
        <f t="shared" si="299"/>
        <v>0</v>
      </c>
      <c r="AN560" s="224">
        <f t="shared" si="299"/>
        <v>0</v>
      </c>
      <c r="AO560" s="224">
        <f t="shared" si="299"/>
        <v>0</v>
      </c>
      <c r="AP560" s="224">
        <f t="shared" si="299"/>
        <v>0</v>
      </c>
    </row>
    <row r="561" spans="1:42" x14ac:dyDescent="0.2">
      <c r="A561" s="4" t="s">
        <v>35</v>
      </c>
      <c r="B561" s="225">
        <v>0</v>
      </c>
      <c r="C561" s="225">
        <f t="shared" ref="C561:AP561" si="300">IF(C$2=term_tenor,-C559,0)</f>
        <v>0</v>
      </c>
      <c r="D561" s="225">
        <f t="shared" si="300"/>
        <v>0</v>
      </c>
      <c r="E561" s="225">
        <f t="shared" si="300"/>
        <v>0</v>
      </c>
      <c r="F561" s="225">
        <f t="shared" si="300"/>
        <v>0</v>
      </c>
      <c r="G561" s="225">
        <f t="shared" si="300"/>
        <v>0</v>
      </c>
      <c r="H561" s="225">
        <f t="shared" si="300"/>
        <v>0</v>
      </c>
      <c r="I561" s="225">
        <f t="shared" si="300"/>
        <v>0</v>
      </c>
      <c r="J561" s="225">
        <f t="shared" si="300"/>
        <v>0</v>
      </c>
      <c r="K561" s="225">
        <f t="shared" si="300"/>
        <v>0</v>
      </c>
      <c r="L561" s="225">
        <f t="shared" si="300"/>
        <v>0</v>
      </c>
      <c r="M561" s="225">
        <f t="shared" si="300"/>
        <v>0</v>
      </c>
      <c r="N561" s="225">
        <f t="shared" si="300"/>
        <v>0</v>
      </c>
      <c r="O561" s="225">
        <f t="shared" si="300"/>
        <v>0</v>
      </c>
      <c r="P561" s="225">
        <f t="shared" si="300"/>
        <v>0</v>
      </c>
      <c r="Q561" s="225">
        <f t="shared" si="300"/>
        <v>0</v>
      </c>
      <c r="R561" s="225">
        <f t="shared" si="300"/>
        <v>0</v>
      </c>
      <c r="S561" s="225">
        <f t="shared" si="300"/>
        <v>0</v>
      </c>
      <c r="T561" s="225">
        <f t="shared" si="300"/>
        <v>-1018127.4992398033</v>
      </c>
      <c r="U561" s="225">
        <f t="shared" si="300"/>
        <v>0</v>
      </c>
      <c r="V561" s="225">
        <f t="shared" si="300"/>
        <v>0</v>
      </c>
      <c r="W561" s="225">
        <f t="shared" si="300"/>
        <v>0</v>
      </c>
      <c r="X561" s="225">
        <f t="shared" si="300"/>
        <v>0</v>
      </c>
      <c r="Y561" s="225">
        <f t="shared" si="300"/>
        <v>0</v>
      </c>
      <c r="Z561" s="225">
        <f t="shared" si="300"/>
        <v>0</v>
      </c>
      <c r="AA561" s="225">
        <f t="shared" si="300"/>
        <v>0</v>
      </c>
      <c r="AB561" s="225">
        <f t="shared" si="300"/>
        <v>0</v>
      </c>
      <c r="AC561" s="225">
        <f t="shared" si="300"/>
        <v>0</v>
      </c>
      <c r="AD561" s="225">
        <f t="shared" si="300"/>
        <v>0</v>
      </c>
      <c r="AE561" s="225">
        <f t="shared" si="300"/>
        <v>0</v>
      </c>
      <c r="AF561" s="225">
        <f t="shared" si="300"/>
        <v>0</v>
      </c>
      <c r="AG561" s="225">
        <f t="shared" si="300"/>
        <v>0</v>
      </c>
      <c r="AH561" s="225">
        <f t="shared" si="300"/>
        <v>0</v>
      </c>
      <c r="AI561" s="225">
        <f t="shared" si="300"/>
        <v>0</v>
      </c>
      <c r="AJ561" s="225">
        <f t="shared" si="300"/>
        <v>0</v>
      </c>
      <c r="AK561" s="225">
        <f t="shared" si="300"/>
        <v>0</v>
      </c>
      <c r="AL561" s="225">
        <f t="shared" si="300"/>
        <v>0</v>
      </c>
      <c r="AM561" s="225">
        <f t="shared" si="300"/>
        <v>0</v>
      </c>
      <c r="AN561" s="225">
        <f t="shared" si="300"/>
        <v>0</v>
      </c>
      <c r="AO561" s="225">
        <f t="shared" si="300"/>
        <v>0</v>
      </c>
      <c r="AP561" s="225">
        <f t="shared" si="300"/>
        <v>0</v>
      </c>
    </row>
    <row r="562" spans="1:42" x14ac:dyDescent="0.2">
      <c r="A562" s="4" t="s">
        <v>31</v>
      </c>
      <c r="B562" s="224">
        <f>IF(B2&lt;=MIN(term_tenor,analysis_period),(dscr_reserve_months/12)*C535,0)</f>
        <v>1018127.4992398033</v>
      </c>
      <c r="C562" s="224">
        <f t="shared" ref="B562:AO562" si="301">IF(C2&lt;=MIN(term_tenor,analysis_period),(dscr_reserve_months/12)*D535,0)</f>
        <v>1018127.4992398033</v>
      </c>
      <c r="D562" s="224">
        <f t="shared" si="301"/>
        <v>1018127.4992398033</v>
      </c>
      <c r="E562" s="224">
        <f t="shared" si="301"/>
        <v>1018127.4992398033</v>
      </c>
      <c r="F562" s="224">
        <f t="shared" si="301"/>
        <v>1018127.4992398033</v>
      </c>
      <c r="G562" s="224">
        <f t="shared" si="301"/>
        <v>1018127.4992398033</v>
      </c>
      <c r="H562" s="224">
        <f t="shared" si="301"/>
        <v>1018127.4992398033</v>
      </c>
      <c r="I562" s="224">
        <f t="shared" si="301"/>
        <v>1018127.4992398033</v>
      </c>
      <c r="J562" s="224">
        <f t="shared" si="301"/>
        <v>1018127.4992398033</v>
      </c>
      <c r="K562" s="224">
        <f t="shared" si="301"/>
        <v>1018127.4992398033</v>
      </c>
      <c r="L562" s="224">
        <f t="shared" si="301"/>
        <v>1018127.4992398033</v>
      </c>
      <c r="M562" s="224">
        <f t="shared" si="301"/>
        <v>1018127.4992398033</v>
      </c>
      <c r="N562" s="224">
        <f t="shared" si="301"/>
        <v>1018127.4992398033</v>
      </c>
      <c r="O562" s="224">
        <f t="shared" si="301"/>
        <v>1018127.4992398033</v>
      </c>
      <c r="P562" s="224">
        <f t="shared" si="301"/>
        <v>1018127.4992398033</v>
      </c>
      <c r="Q562" s="224">
        <f t="shared" si="301"/>
        <v>1018127.4992398033</v>
      </c>
      <c r="R562" s="224">
        <f t="shared" si="301"/>
        <v>1018127.4992398033</v>
      </c>
      <c r="S562" s="224">
        <f t="shared" si="301"/>
        <v>1018127.4992398033</v>
      </c>
      <c r="T562" s="224">
        <f t="shared" si="301"/>
        <v>0</v>
      </c>
      <c r="U562" s="224">
        <f t="shared" si="301"/>
        <v>0</v>
      </c>
      <c r="V562" s="224">
        <f t="shared" si="301"/>
        <v>0</v>
      </c>
      <c r="W562" s="224">
        <f t="shared" si="301"/>
        <v>0</v>
      </c>
      <c r="X562" s="224">
        <f t="shared" si="301"/>
        <v>0</v>
      </c>
      <c r="Y562" s="224">
        <f t="shared" si="301"/>
        <v>0</v>
      </c>
      <c r="Z562" s="224">
        <f t="shared" si="301"/>
        <v>0</v>
      </c>
      <c r="AA562" s="224">
        <f t="shared" si="301"/>
        <v>0</v>
      </c>
      <c r="AB562" s="224">
        <f t="shared" si="301"/>
        <v>0</v>
      </c>
      <c r="AC562" s="224">
        <f t="shared" si="301"/>
        <v>0</v>
      </c>
      <c r="AD562" s="224">
        <f t="shared" si="301"/>
        <v>0</v>
      </c>
      <c r="AE562" s="224">
        <f t="shared" si="301"/>
        <v>0</v>
      </c>
      <c r="AF562" s="224">
        <f t="shared" si="301"/>
        <v>0</v>
      </c>
      <c r="AG562" s="224">
        <f t="shared" si="301"/>
        <v>0</v>
      </c>
      <c r="AH562" s="224">
        <f t="shared" si="301"/>
        <v>0</v>
      </c>
      <c r="AI562" s="224">
        <f t="shared" si="301"/>
        <v>0</v>
      </c>
      <c r="AJ562" s="224">
        <f t="shared" si="301"/>
        <v>0</v>
      </c>
      <c r="AK562" s="224">
        <f t="shared" si="301"/>
        <v>0</v>
      </c>
      <c r="AL562" s="224">
        <f t="shared" si="301"/>
        <v>0</v>
      </c>
      <c r="AM562" s="224">
        <f t="shared" si="301"/>
        <v>0</v>
      </c>
      <c r="AN562" s="224">
        <f t="shared" si="301"/>
        <v>0</v>
      </c>
      <c r="AO562" s="224">
        <f t="shared" si="301"/>
        <v>0</v>
      </c>
      <c r="AP562" s="224">
        <f>IF(AP2&lt;=MIN(term_tenor,analysis_period),(dscr_reserve_months/12)*AQ538,0)</f>
        <v>0</v>
      </c>
    </row>
    <row r="563" spans="1:42" x14ac:dyDescent="0.2">
      <c r="B563" s="21"/>
      <c r="C563" s="21"/>
      <c r="D563" s="21"/>
      <c r="E563" s="21"/>
      <c r="F563" s="21"/>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row>
    <row r="564" spans="1:42" x14ac:dyDescent="0.2">
      <c r="A564" s="26"/>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row>
    <row r="565" spans="1:42" x14ac:dyDescent="0.2">
      <c r="A565" s="4" t="s">
        <v>28</v>
      </c>
      <c r="B565" s="224">
        <v>0</v>
      </c>
      <c r="C565" s="224">
        <f>B568</f>
        <v>245105.44</v>
      </c>
      <c r="D565" s="224">
        <f t="shared" ref="D565:AP565" si="302">C568</f>
        <v>251233.07599999997</v>
      </c>
      <c r="E565" s="224">
        <f t="shared" si="302"/>
        <v>257513.90289999999</v>
      </c>
      <c r="F565" s="224">
        <f t="shared" si="302"/>
        <v>263951.75047249999</v>
      </c>
      <c r="G565" s="224">
        <f t="shared" si="302"/>
        <v>270550.54423431249</v>
      </c>
      <c r="H565" s="224">
        <f t="shared" si="302"/>
        <v>277314.30784017022</v>
      </c>
      <c r="I565" s="224">
        <f t="shared" si="302"/>
        <v>284247.16553617449</v>
      </c>
      <c r="J565" s="224">
        <f t="shared" si="302"/>
        <v>291353.34467457887</v>
      </c>
      <c r="K565" s="224">
        <f t="shared" si="302"/>
        <v>298637.17829144327</v>
      </c>
      <c r="L565" s="224">
        <f t="shared" si="302"/>
        <v>306103.10774872929</v>
      </c>
      <c r="M565" s="224">
        <f t="shared" si="302"/>
        <v>313755.68544244755</v>
      </c>
      <c r="N565" s="224">
        <f t="shared" si="302"/>
        <v>321599.57757850876</v>
      </c>
      <c r="O565" s="224">
        <f t="shared" si="302"/>
        <v>329639.56701797142</v>
      </c>
      <c r="P565" s="224">
        <f t="shared" si="302"/>
        <v>337880.55619342066</v>
      </c>
      <c r="Q565" s="224">
        <f t="shared" si="302"/>
        <v>346327.57009825623</v>
      </c>
      <c r="R565" s="224">
        <f t="shared" si="302"/>
        <v>354985.75935071264</v>
      </c>
      <c r="S565" s="224">
        <f t="shared" si="302"/>
        <v>363860.40333448042</v>
      </c>
      <c r="T565" s="224">
        <f t="shared" si="302"/>
        <v>372956.91341784236</v>
      </c>
      <c r="U565" s="224">
        <f t="shared" si="302"/>
        <v>382280.83625328843</v>
      </c>
      <c r="V565" s="224">
        <f t="shared" si="302"/>
        <v>391837.85715962067</v>
      </c>
      <c r="W565" s="224">
        <f t="shared" si="302"/>
        <v>401633.80358861119</v>
      </c>
      <c r="X565" s="224">
        <f t="shared" si="302"/>
        <v>411674.6486783264</v>
      </c>
      <c r="Y565" s="224">
        <f t="shared" si="302"/>
        <v>421966.51489528455</v>
      </c>
      <c r="Z565" s="224">
        <f t="shared" si="302"/>
        <v>432515.67776766664</v>
      </c>
      <c r="AA565" s="224">
        <f t="shared" si="302"/>
        <v>443328.56971185829</v>
      </c>
      <c r="AB565" s="224">
        <f t="shared" si="302"/>
        <v>0</v>
      </c>
      <c r="AC565" s="224">
        <f t="shared" si="302"/>
        <v>0</v>
      </c>
      <c r="AD565" s="224">
        <f t="shared" si="302"/>
        <v>0</v>
      </c>
      <c r="AE565" s="224">
        <f t="shared" si="302"/>
        <v>0</v>
      </c>
      <c r="AF565" s="224">
        <f t="shared" si="302"/>
        <v>0</v>
      </c>
      <c r="AG565" s="224">
        <f t="shared" si="302"/>
        <v>0</v>
      </c>
      <c r="AH565" s="224">
        <f t="shared" si="302"/>
        <v>0</v>
      </c>
      <c r="AI565" s="224">
        <f t="shared" si="302"/>
        <v>0</v>
      </c>
      <c r="AJ565" s="224">
        <f t="shared" si="302"/>
        <v>0</v>
      </c>
      <c r="AK565" s="224">
        <f t="shared" si="302"/>
        <v>0</v>
      </c>
      <c r="AL565" s="224">
        <f t="shared" si="302"/>
        <v>0</v>
      </c>
      <c r="AM565" s="224">
        <f t="shared" si="302"/>
        <v>0</v>
      </c>
      <c r="AN565" s="224">
        <f t="shared" si="302"/>
        <v>0</v>
      </c>
      <c r="AO565" s="224">
        <f t="shared" si="302"/>
        <v>0</v>
      </c>
      <c r="AP565" s="224">
        <f t="shared" si="302"/>
        <v>0</v>
      </c>
    </row>
    <row r="566" spans="1:42" x14ac:dyDescent="0.2">
      <c r="A566" s="4" t="s">
        <v>29</v>
      </c>
      <c r="B566" s="224">
        <f t="shared" ref="B566:AP566" si="303">IF(B$2&lt;analysis_period,B568-B565,0)</f>
        <v>245105.44</v>
      </c>
      <c r="C566" s="224">
        <f t="shared" si="303"/>
        <v>6127.6359999999695</v>
      </c>
      <c r="D566" s="224">
        <f t="shared" si="303"/>
        <v>6280.8269000000146</v>
      </c>
      <c r="E566" s="224">
        <f t="shared" si="303"/>
        <v>6437.8475725000026</v>
      </c>
      <c r="F566" s="224">
        <f t="shared" si="303"/>
        <v>6598.7937618124997</v>
      </c>
      <c r="G566" s="224">
        <f t="shared" si="303"/>
        <v>6763.7636058577336</v>
      </c>
      <c r="H566" s="224">
        <f t="shared" si="303"/>
        <v>6932.8576960042701</v>
      </c>
      <c r="I566" s="224">
        <f t="shared" si="303"/>
        <v>7106.1791384043754</v>
      </c>
      <c r="J566" s="224">
        <f t="shared" si="303"/>
        <v>7283.8336168644018</v>
      </c>
      <c r="K566" s="224">
        <f t="shared" si="303"/>
        <v>7465.9294572860235</v>
      </c>
      <c r="L566" s="224">
        <f t="shared" si="303"/>
        <v>7652.5776937182527</v>
      </c>
      <c r="M566" s="224">
        <f t="shared" si="303"/>
        <v>7843.8921360612148</v>
      </c>
      <c r="N566" s="224">
        <f t="shared" si="303"/>
        <v>8039.9894394626608</v>
      </c>
      <c r="O566" s="224">
        <f t="shared" si="303"/>
        <v>8240.9891754492419</v>
      </c>
      <c r="P566" s="224">
        <f t="shared" si="303"/>
        <v>8447.0139048355632</v>
      </c>
      <c r="Q566" s="224">
        <f t="shared" si="303"/>
        <v>8658.1892524564173</v>
      </c>
      <c r="R566" s="224">
        <f t="shared" si="303"/>
        <v>8874.6439837677754</v>
      </c>
      <c r="S566" s="224">
        <f t="shared" si="303"/>
        <v>9096.5100833619363</v>
      </c>
      <c r="T566" s="224">
        <f t="shared" si="303"/>
        <v>9323.9228354460793</v>
      </c>
      <c r="U566" s="224">
        <f t="shared" si="303"/>
        <v>9557.02090633224</v>
      </c>
      <c r="V566" s="224">
        <f t="shared" si="303"/>
        <v>9795.9464289905154</v>
      </c>
      <c r="W566" s="224">
        <f t="shared" si="303"/>
        <v>10040.845089715207</v>
      </c>
      <c r="X566" s="224">
        <f t="shared" si="303"/>
        <v>10291.866216958151</v>
      </c>
      <c r="Y566" s="224">
        <f t="shared" si="303"/>
        <v>10549.16287238209</v>
      </c>
      <c r="Z566" s="224">
        <f t="shared" si="303"/>
        <v>10812.891944191651</v>
      </c>
      <c r="AA566" s="224">
        <f t="shared" si="303"/>
        <v>0</v>
      </c>
      <c r="AB566" s="224">
        <f t="shared" si="303"/>
        <v>0</v>
      </c>
      <c r="AC566" s="224">
        <f t="shared" si="303"/>
        <v>0</v>
      </c>
      <c r="AD566" s="224">
        <f t="shared" si="303"/>
        <v>0</v>
      </c>
      <c r="AE566" s="224">
        <f t="shared" si="303"/>
        <v>0</v>
      </c>
      <c r="AF566" s="224">
        <f t="shared" si="303"/>
        <v>0</v>
      </c>
      <c r="AG566" s="224">
        <f t="shared" si="303"/>
        <v>0</v>
      </c>
      <c r="AH566" s="224">
        <f t="shared" si="303"/>
        <v>0</v>
      </c>
      <c r="AI566" s="224">
        <f t="shared" si="303"/>
        <v>0</v>
      </c>
      <c r="AJ566" s="224">
        <f t="shared" si="303"/>
        <v>0</v>
      </c>
      <c r="AK566" s="224">
        <f t="shared" si="303"/>
        <v>0</v>
      </c>
      <c r="AL566" s="224">
        <f t="shared" si="303"/>
        <v>0</v>
      </c>
      <c r="AM566" s="224">
        <f t="shared" si="303"/>
        <v>0</v>
      </c>
      <c r="AN566" s="224">
        <f t="shared" si="303"/>
        <v>0</v>
      </c>
      <c r="AO566" s="224">
        <f t="shared" si="303"/>
        <v>0</v>
      </c>
      <c r="AP566" s="224">
        <f t="shared" si="303"/>
        <v>0</v>
      </c>
    </row>
    <row r="567" spans="1:42" x14ac:dyDescent="0.2">
      <c r="A567" s="4" t="s">
        <v>35</v>
      </c>
      <c r="B567" s="225">
        <v>0</v>
      </c>
      <c r="C567" s="225">
        <f t="shared" ref="C567:AP567" si="304">IF(C$2=analysis_period,-C565,0)</f>
        <v>0</v>
      </c>
      <c r="D567" s="225">
        <f t="shared" si="304"/>
        <v>0</v>
      </c>
      <c r="E567" s="225">
        <f t="shared" si="304"/>
        <v>0</v>
      </c>
      <c r="F567" s="225">
        <f t="shared" si="304"/>
        <v>0</v>
      </c>
      <c r="G567" s="225">
        <f t="shared" si="304"/>
        <v>0</v>
      </c>
      <c r="H567" s="225">
        <f t="shared" si="304"/>
        <v>0</v>
      </c>
      <c r="I567" s="225">
        <f t="shared" si="304"/>
        <v>0</v>
      </c>
      <c r="J567" s="225">
        <f t="shared" si="304"/>
        <v>0</v>
      </c>
      <c r="K567" s="225">
        <f t="shared" si="304"/>
        <v>0</v>
      </c>
      <c r="L567" s="225">
        <f t="shared" si="304"/>
        <v>0</v>
      </c>
      <c r="M567" s="225">
        <f t="shared" si="304"/>
        <v>0</v>
      </c>
      <c r="N567" s="225">
        <f t="shared" si="304"/>
        <v>0</v>
      </c>
      <c r="O567" s="225">
        <f t="shared" si="304"/>
        <v>0</v>
      </c>
      <c r="P567" s="225">
        <f t="shared" si="304"/>
        <v>0</v>
      </c>
      <c r="Q567" s="225">
        <f t="shared" si="304"/>
        <v>0</v>
      </c>
      <c r="R567" s="225">
        <f t="shared" si="304"/>
        <v>0</v>
      </c>
      <c r="S567" s="225">
        <f t="shared" si="304"/>
        <v>0</v>
      </c>
      <c r="T567" s="225">
        <f t="shared" si="304"/>
        <v>0</v>
      </c>
      <c r="U567" s="225">
        <f t="shared" si="304"/>
        <v>0</v>
      </c>
      <c r="V567" s="225">
        <f t="shared" si="304"/>
        <v>0</v>
      </c>
      <c r="W567" s="225">
        <f t="shared" si="304"/>
        <v>0</v>
      </c>
      <c r="X567" s="225">
        <f t="shared" si="304"/>
        <v>0</v>
      </c>
      <c r="Y567" s="225">
        <f t="shared" si="304"/>
        <v>0</v>
      </c>
      <c r="Z567" s="225">
        <f t="shared" si="304"/>
        <v>0</v>
      </c>
      <c r="AA567" s="225">
        <f t="shared" si="304"/>
        <v>-443328.56971185829</v>
      </c>
      <c r="AB567" s="225">
        <f t="shared" si="304"/>
        <v>0</v>
      </c>
      <c r="AC567" s="225">
        <f t="shared" si="304"/>
        <v>0</v>
      </c>
      <c r="AD567" s="225">
        <f t="shared" si="304"/>
        <v>0</v>
      </c>
      <c r="AE567" s="225">
        <f t="shared" si="304"/>
        <v>0</v>
      </c>
      <c r="AF567" s="225">
        <f t="shared" si="304"/>
        <v>0</v>
      </c>
      <c r="AG567" s="225">
        <f t="shared" si="304"/>
        <v>0</v>
      </c>
      <c r="AH567" s="225">
        <f t="shared" si="304"/>
        <v>0</v>
      </c>
      <c r="AI567" s="225">
        <f t="shared" si="304"/>
        <v>0</v>
      </c>
      <c r="AJ567" s="225">
        <f t="shared" si="304"/>
        <v>0</v>
      </c>
      <c r="AK567" s="225">
        <f t="shared" si="304"/>
        <v>0</v>
      </c>
      <c r="AL567" s="225">
        <f t="shared" si="304"/>
        <v>0</v>
      </c>
      <c r="AM567" s="225">
        <f t="shared" si="304"/>
        <v>0</v>
      </c>
      <c r="AN567" s="225">
        <f t="shared" si="304"/>
        <v>0</v>
      </c>
      <c r="AO567" s="225">
        <f t="shared" si="304"/>
        <v>0</v>
      </c>
      <c r="AP567" s="225">
        <f t="shared" si="304"/>
        <v>0</v>
      </c>
    </row>
    <row r="568" spans="1:42" s="17" customFormat="1" x14ac:dyDescent="0.2">
      <c r="A568" s="17" t="s">
        <v>31</v>
      </c>
      <c r="B568" s="218">
        <f t="shared" ref="B568:AP568" si="305">C$41*(months_working_reserve/12)</f>
        <v>245105.44</v>
      </c>
      <c r="C568" s="218">
        <f t="shared" si="305"/>
        <v>251233.07599999997</v>
      </c>
      <c r="D568" s="218">
        <f t="shared" si="305"/>
        <v>257513.90289999999</v>
      </c>
      <c r="E568" s="218">
        <f t="shared" si="305"/>
        <v>263951.75047249999</v>
      </c>
      <c r="F568" s="218">
        <f t="shared" si="305"/>
        <v>270550.54423431249</v>
      </c>
      <c r="G568" s="218">
        <f t="shared" si="305"/>
        <v>277314.30784017022</v>
      </c>
      <c r="H568" s="218">
        <f t="shared" si="305"/>
        <v>284247.16553617449</v>
      </c>
      <c r="I568" s="218">
        <f t="shared" si="305"/>
        <v>291353.34467457887</v>
      </c>
      <c r="J568" s="218">
        <f t="shared" si="305"/>
        <v>298637.17829144327</v>
      </c>
      <c r="K568" s="218">
        <f t="shared" si="305"/>
        <v>306103.10774872929</v>
      </c>
      <c r="L568" s="218">
        <f t="shared" si="305"/>
        <v>313755.68544244755</v>
      </c>
      <c r="M568" s="218">
        <f t="shared" si="305"/>
        <v>321599.57757850876</v>
      </c>
      <c r="N568" s="218">
        <f t="shared" si="305"/>
        <v>329639.56701797142</v>
      </c>
      <c r="O568" s="218">
        <f t="shared" si="305"/>
        <v>337880.55619342066</v>
      </c>
      <c r="P568" s="218">
        <f t="shared" si="305"/>
        <v>346327.57009825623</v>
      </c>
      <c r="Q568" s="218">
        <f t="shared" si="305"/>
        <v>354985.75935071264</v>
      </c>
      <c r="R568" s="218">
        <f t="shared" si="305"/>
        <v>363860.40333448042</v>
      </c>
      <c r="S568" s="218">
        <f t="shared" si="305"/>
        <v>372956.91341784236</v>
      </c>
      <c r="T568" s="218">
        <f t="shared" si="305"/>
        <v>382280.83625328843</v>
      </c>
      <c r="U568" s="218">
        <f t="shared" si="305"/>
        <v>391837.85715962067</v>
      </c>
      <c r="V568" s="218">
        <f t="shared" si="305"/>
        <v>401633.80358861119</v>
      </c>
      <c r="W568" s="218">
        <f t="shared" si="305"/>
        <v>411674.6486783264</v>
      </c>
      <c r="X568" s="218">
        <f t="shared" si="305"/>
        <v>421966.51489528455</v>
      </c>
      <c r="Y568" s="218">
        <f t="shared" si="305"/>
        <v>432515.67776766664</v>
      </c>
      <c r="Z568" s="218">
        <f t="shared" si="305"/>
        <v>443328.56971185829</v>
      </c>
      <c r="AA568" s="218">
        <f t="shared" si="305"/>
        <v>0</v>
      </c>
      <c r="AB568" s="218">
        <f t="shared" si="305"/>
        <v>0</v>
      </c>
      <c r="AC568" s="218">
        <f t="shared" si="305"/>
        <v>0</v>
      </c>
      <c r="AD568" s="218">
        <f t="shared" si="305"/>
        <v>0</v>
      </c>
      <c r="AE568" s="218">
        <f t="shared" si="305"/>
        <v>0</v>
      </c>
      <c r="AF568" s="218">
        <f t="shared" si="305"/>
        <v>0</v>
      </c>
      <c r="AG568" s="218">
        <f t="shared" si="305"/>
        <v>0</v>
      </c>
      <c r="AH568" s="218">
        <f t="shared" si="305"/>
        <v>0</v>
      </c>
      <c r="AI568" s="218">
        <f t="shared" si="305"/>
        <v>0</v>
      </c>
      <c r="AJ568" s="218">
        <f t="shared" si="305"/>
        <v>0</v>
      </c>
      <c r="AK568" s="218">
        <f t="shared" si="305"/>
        <v>0</v>
      </c>
      <c r="AL568" s="218">
        <f t="shared" si="305"/>
        <v>0</v>
      </c>
      <c r="AM568" s="218">
        <f t="shared" si="305"/>
        <v>0</v>
      </c>
      <c r="AN568" s="218">
        <f t="shared" si="305"/>
        <v>0</v>
      </c>
      <c r="AO568" s="218">
        <f t="shared" si="305"/>
        <v>0</v>
      </c>
      <c r="AP568" s="218">
        <f t="shared" si="305"/>
        <v>0</v>
      </c>
    </row>
    <row r="569" spans="1:42" x14ac:dyDescent="0.2">
      <c r="B569" s="21"/>
      <c r="C569" s="21"/>
      <c r="D569" s="21"/>
      <c r="E569" s="21"/>
      <c r="F569" s="21"/>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row>
    <row r="570" spans="1:42" x14ac:dyDescent="0.2">
      <c r="A570" s="26" t="s">
        <v>109</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row>
    <row r="571" spans="1:42" x14ac:dyDescent="0.2">
      <c r="A571" s="4" t="s">
        <v>28</v>
      </c>
      <c r="B571" s="224">
        <v>0</v>
      </c>
      <c r="C571" s="224">
        <f>B574</f>
        <v>0</v>
      </c>
      <c r="D571" s="224">
        <f t="shared" ref="D571:AP571" si="306">C574</f>
        <v>546659.03786193405</v>
      </c>
      <c r="E571" s="224">
        <f t="shared" si="306"/>
        <v>1093318.0757238681</v>
      </c>
      <c r="F571" s="224">
        <f t="shared" si="306"/>
        <v>1639977.1135858023</v>
      </c>
      <c r="G571" s="224">
        <f t="shared" si="306"/>
        <v>2186636.1514477362</v>
      </c>
      <c r="H571" s="224">
        <f t="shared" si="306"/>
        <v>2733295.1893096701</v>
      </c>
      <c r="I571" s="224">
        <f t="shared" si="306"/>
        <v>3279954.2271716041</v>
      </c>
      <c r="J571" s="224">
        <f t="shared" si="306"/>
        <v>3826613.265033538</v>
      </c>
      <c r="K571" s="224">
        <f t="shared" si="306"/>
        <v>4373272.3028954724</v>
      </c>
      <c r="L571" s="224">
        <f t="shared" si="306"/>
        <v>4919931.3407574063</v>
      </c>
      <c r="M571" s="224">
        <f t="shared" si="306"/>
        <v>5466590.3786193402</v>
      </c>
      <c r="N571" s="224">
        <f t="shared" si="306"/>
        <v>6013249.4164812742</v>
      </c>
      <c r="O571" s="224">
        <f t="shared" si="306"/>
        <v>0</v>
      </c>
      <c r="P571" s="224">
        <f t="shared" si="306"/>
        <v>735195.63069374894</v>
      </c>
      <c r="Q571" s="224">
        <f t="shared" si="306"/>
        <v>1470391.2613874979</v>
      </c>
      <c r="R571" s="224">
        <f t="shared" si="306"/>
        <v>2205586.8920812467</v>
      </c>
      <c r="S571" s="224">
        <f t="shared" si="306"/>
        <v>2940782.5227749958</v>
      </c>
      <c r="T571" s="224">
        <f t="shared" si="306"/>
        <v>3675978.1534687448</v>
      </c>
      <c r="U571" s="224">
        <f t="shared" si="306"/>
        <v>4411173.7841624934</v>
      </c>
      <c r="V571" s="224">
        <f t="shared" si="306"/>
        <v>5146369.414856242</v>
      </c>
      <c r="W571" s="224">
        <f t="shared" si="306"/>
        <v>5881565.0455499906</v>
      </c>
      <c r="X571" s="224">
        <f t="shared" si="306"/>
        <v>6616760.6762437392</v>
      </c>
      <c r="Y571" s="224">
        <f t="shared" si="306"/>
        <v>7351956.3069374878</v>
      </c>
      <c r="Z571" s="224">
        <f t="shared" si="306"/>
        <v>8087151.9376312364</v>
      </c>
      <c r="AA571" s="224">
        <f t="shared" si="306"/>
        <v>0</v>
      </c>
      <c r="AB571" s="224">
        <f t="shared" si="306"/>
        <v>0</v>
      </c>
      <c r="AC571" s="224">
        <f t="shared" si="306"/>
        <v>0</v>
      </c>
      <c r="AD571" s="224">
        <f t="shared" si="306"/>
        <v>0</v>
      </c>
      <c r="AE571" s="224">
        <f t="shared" si="306"/>
        <v>0</v>
      </c>
      <c r="AF571" s="224">
        <f t="shared" si="306"/>
        <v>0</v>
      </c>
      <c r="AG571" s="224">
        <f t="shared" si="306"/>
        <v>0</v>
      </c>
      <c r="AH571" s="224">
        <f t="shared" si="306"/>
        <v>0</v>
      </c>
      <c r="AI571" s="224">
        <f t="shared" si="306"/>
        <v>0</v>
      </c>
      <c r="AJ571" s="224">
        <f t="shared" si="306"/>
        <v>0</v>
      </c>
      <c r="AK571" s="224">
        <f t="shared" si="306"/>
        <v>0</v>
      </c>
      <c r="AL571" s="224">
        <f t="shared" si="306"/>
        <v>0</v>
      </c>
      <c r="AM571" s="224">
        <f t="shared" si="306"/>
        <v>0</v>
      </c>
      <c r="AN571" s="224">
        <f t="shared" si="306"/>
        <v>0</v>
      </c>
      <c r="AO571" s="224">
        <f t="shared" si="306"/>
        <v>0</v>
      </c>
      <c r="AP571" s="224">
        <f t="shared" si="306"/>
        <v>0</v>
      </c>
    </row>
    <row r="572" spans="1:42" x14ac:dyDescent="0.2">
      <c r="A572" s="4" t="s">
        <v>86</v>
      </c>
      <c r="B572" s="224">
        <v>0</v>
      </c>
      <c r="C572" s="224">
        <f>C600</f>
        <v>546659.03786193405</v>
      </c>
      <c r="D572" s="224">
        <f t="shared" ref="D572:AP572" si="307">D600</f>
        <v>546659.03786193405</v>
      </c>
      <c r="E572" s="224">
        <f t="shared" si="307"/>
        <v>546659.03786193405</v>
      </c>
      <c r="F572" s="224">
        <f t="shared" si="307"/>
        <v>546659.03786193405</v>
      </c>
      <c r="G572" s="224">
        <f t="shared" si="307"/>
        <v>546659.03786193405</v>
      </c>
      <c r="H572" s="224">
        <f t="shared" si="307"/>
        <v>546659.03786193405</v>
      </c>
      <c r="I572" s="224">
        <f t="shared" si="307"/>
        <v>546659.03786193405</v>
      </c>
      <c r="J572" s="224">
        <f t="shared" si="307"/>
        <v>546659.03786193405</v>
      </c>
      <c r="K572" s="224">
        <f t="shared" si="307"/>
        <v>546659.03786193405</v>
      </c>
      <c r="L572" s="224">
        <f t="shared" si="307"/>
        <v>546659.03786193405</v>
      </c>
      <c r="M572" s="224">
        <f t="shared" si="307"/>
        <v>546659.03786193405</v>
      </c>
      <c r="N572" s="224">
        <f t="shared" si="307"/>
        <v>546659.03786193405</v>
      </c>
      <c r="O572" s="224">
        <f t="shared" si="307"/>
        <v>735195.63069374894</v>
      </c>
      <c r="P572" s="224">
        <f t="shared" si="307"/>
        <v>735195.63069374894</v>
      </c>
      <c r="Q572" s="224">
        <f t="shared" si="307"/>
        <v>735195.63069374894</v>
      </c>
      <c r="R572" s="224">
        <f t="shared" si="307"/>
        <v>735195.63069374894</v>
      </c>
      <c r="S572" s="224">
        <f t="shared" si="307"/>
        <v>735195.63069374894</v>
      </c>
      <c r="T572" s="224">
        <f t="shared" si="307"/>
        <v>735195.63069374894</v>
      </c>
      <c r="U572" s="224">
        <f t="shared" si="307"/>
        <v>735195.63069374894</v>
      </c>
      <c r="V572" s="224">
        <f t="shared" si="307"/>
        <v>735195.63069374894</v>
      </c>
      <c r="W572" s="224">
        <f t="shared" si="307"/>
        <v>735195.63069374894</v>
      </c>
      <c r="X572" s="224">
        <f t="shared" si="307"/>
        <v>735195.63069374894</v>
      </c>
      <c r="Y572" s="224">
        <f t="shared" si="307"/>
        <v>735195.63069374894</v>
      </c>
      <c r="Z572" s="224">
        <f t="shared" si="307"/>
        <v>735195.63069374894</v>
      </c>
      <c r="AA572" s="224">
        <f t="shared" si="307"/>
        <v>0</v>
      </c>
      <c r="AB572" s="224">
        <f t="shared" si="307"/>
        <v>0</v>
      </c>
      <c r="AC572" s="224">
        <f t="shared" si="307"/>
        <v>0</v>
      </c>
      <c r="AD572" s="224">
        <f t="shared" si="307"/>
        <v>0</v>
      </c>
      <c r="AE572" s="224">
        <f t="shared" si="307"/>
        <v>0</v>
      </c>
      <c r="AF572" s="224">
        <f t="shared" si="307"/>
        <v>0</v>
      </c>
      <c r="AG572" s="224">
        <f t="shared" si="307"/>
        <v>0</v>
      </c>
      <c r="AH572" s="224">
        <f t="shared" si="307"/>
        <v>0</v>
      </c>
      <c r="AI572" s="224">
        <f t="shared" si="307"/>
        <v>0</v>
      </c>
      <c r="AJ572" s="224">
        <f t="shared" si="307"/>
        <v>0</v>
      </c>
      <c r="AK572" s="224">
        <f t="shared" si="307"/>
        <v>0</v>
      </c>
      <c r="AL572" s="224">
        <f t="shared" si="307"/>
        <v>0</v>
      </c>
      <c r="AM572" s="224">
        <f t="shared" si="307"/>
        <v>0</v>
      </c>
      <c r="AN572" s="224">
        <f t="shared" si="307"/>
        <v>0</v>
      </c>
      <c r="AO572" s="224">
        <f t="shared" si="307"/>
        <v>0</v>
      </c>
      <c r="AP572" s="224">
        <f t="shared" si="307"/>
        <v>0</v>
      </c>
    </row>
    <row r="573" spans="1:42" x14ac:dyDescent="0.2">
      <c r="A573" s="4" t="s">
        <v>35</v>
      </c>
      <c r="B573" s="225">
        <v>0</v>
      </c>
      <c r="C573" s="225">
        <f>-C588</f>
        <v>0</v>
      </c>
      <c r="D573" s="225">
        <f t="shared" ref="D573:AP573" si="308">-D588</f>
        <v>0</v>
      </c>
      <c r="E573" s="225">
        <f t="shared" si="308"/>
        <v>0</v>
      </c>
      <c r="F573" s="225">
        <f t="shared" si="308"/>
        <v>0</v>
      </c>
      <c r="G573" s="225">
        <f t="shared" si="308"/>
        <v>0</v>
      </c>
      <c r="H573" s="225">
        <f t="shared" si="308"/>
        <v>0</v>
      </c>
      <c r="I573" s="225">
        <f t="shared" si="308"/>
        <v>0</v>
      </c>
      <c r="J573" s="225">
        <f t="shared" si="308"/>
        <v>0</v>
      </c>
      <c r="K573" s="225">
        <f t="shared" si="308"/>
        <v>0</v>
      </c>
      <c r="L573" s="225">
        <f t="shared" si="308"/>
        <v>0</v>
      </c>
      <c r="M573" s="225">
        <f t="shared" si="308"/>
        <v>0</v>
      </c>
      <c r="N573" s="225">
        <f t="shared" si="308"/>
        <v>-6559908.454343209</v>
      </c>
      <c r="O573" s="225">
        <f t="shared" si="308"/>
        <v>0</v>
      </c>
      <c r="P573" s="225">
        <f t="shared" si="308"/>
        <v>0</v>
      </c>
      <c r="Q573" s="225">
        <f t="shared" si="308"/>
        <v>0</v>
      </c>
      <c r="R573" s="225">
        <f t="shared" si="308"/>
        <v>0</v>
      </c>
      <c r="S573" s="225">
        <f t="shared" si="308"/>
        <v>0</v>
      </c>
      <c r="T573" s="225">
        <f t="shared" si="308"/>
        <v>0</v>
      </c>
      <c r="U573" s="225">
        <f t="shared" si="308"/>
        <v>0</v>
      </c>
      <c r="V573" s="225">
        <f t="shared" si="308"/>
        <v>0</v>
      </c>
      <c r="W573" s="225">
        <f t="shared" si="308"/>
        <v>0</v>
      </c>
      <c r="X573" s="225">
        <f t="shared" si="308"/>
        <v>0</v>
      </c>
      <c r="Y573" s="225">
        <f t="shared" si="308"/>
        <v>0</v>
      </c>
      <c r="Z573" s="225">
        <f t="shared" si="308"/>
        <v>-8822347.5683249868</v>
      </c>
      <c r="AA573" s="225">
        <f t="shared" si="308"/>
        <v>0</v>
      </c>
      <c r="AB573" s="225">
        <f t="shared" si="308"/>
        <v>0</v>
      </c>
      <c r="AC573" s="225">
        <f t="shared" si="308"/>
        <v>0</v>
      </c>
      <c r="AD573" s="225">
        <f t="shared" si="308"/>
        <v>0</v>
      </c>
      <c r="AE573" s="225">
        <f t="shared" si="308"/>
        <v>0</v>
      </c>
      <c r="AF573" s="225">
        <f t="shared" si="308"/>
        <v>0</v>
      </c>
      <c r="AG573" s="225">
        <f t="shared" si="308"/>
        <v>0</v>
      </c>
      <c r="AH573" s="225">
        <f t="shared" si="308"/>
        <v>0</v>
      </c>
      <c r="AI573" s="225">
        <f t="shared" si="308"/>
        <v>0</v>
      </c>
      <c r="AJ573" s="225">
        <f t="shared" si="308"/>
        <v>0</v>
      </c>
      <c r="AK573" s="225">
        <f t="shared" si="308"/>
        <v>0</v>
      </c>
      <c r="AL573" s="225">
        <f t="shared" si="308"/>
        <v>0</v>
      </c>
      <c r="AM573" s="225">
        <f t="shared" si="308"/>
        <v>0</v>
      </c>
      <c r="AN573" s="225">
        <f t="shared" si="308"/>
        <v>0</v>
      </c>
      <c r="AO573" s="225">
        <f t="shared" si="308"/>
        <v>0</v>
      </c>
      <c r="AP573" s="225">
        <f t="shared" si="308"/>
        <v>0</v>
      </c>
    </row>
    <row r="574" spans="1:42" x14ac:dyDescent="0.2">
      <c r="A574" s="4" t="s">
        <v>31</v>
      </c>
      <c r="B574" s="224">
        <f>SUM(B571:B573)</f>
        <v>0</v>
      </c>
      <c r="C574" s="224">
        <f>SUM(C571:C573)</f>
        <v>546659.03786193405</v>
      </c>
      <c r="D574" s="224">
        <f t="shared" ref="D574:AP574" si="309">SUM(D571:D573)</f>
        <v>1093318.0757238681</v>
      </c>
      <c r="E574" s="224">
        <f t="shared" si="309"/>
        <v>1639977.1135858023</v>
      </c>
      <c r="F574" s="224">
        <f t="shared" si="309"/>
        <v>2186636.1514477362</v>
      </c>
      <c r="G574" s="224">
        <f t="shared" si="309"/>
        <v>2733295.1893096701</v>
      </c>
      <c r="H574" s="224">
        <f t="shared" si="309"/>
        <v>3279954.2271716041</v>
      </c>
      <c r="I574" s="224">
        <f t="shared" si="309"/>
        <v>3826613.265033538</v>
      </c>
      <c r="J574" s="224">
        <f t="shared" si="309"/>
        <v>4373272.3028954724</v>
      </c>
      <c r="K574" s="224">
        <f t="shared" si="309"/>
        <v>4919931.3407574063</v>
      </c>
      <c r="L574" s="224">
        <f t="shared" si="309"/>
        <v>5466590.3786193402</v>
      </c>
      <c r="M574" s="224">
        <f t="shared" si="309"/>
        <v>6013249.4164812742</v>
      </c>
      <c r="N574" s="224">
        <f t="shared" si="309"/>
        <v>0</v>
      </c>
      <c r="O574" s="224">
        <f t="shared" si="309"/>
        <v>735195.63069374894</v>
      </c>
      <c r="P574" s="224">
        <f t="shared" si="309"/>
        <v>1470391.2613874979</v>
      </c>
      <c r="Q574" s="224">
        <f t="shared" si="309"/>
        <v>2205586.8920812467</v>
      </c>
      <c r="R574" s="224">
        <f t="shared" si="309"/>
        <v>2940782.5227749958</v>
      </c>
      <c r="S574" s="224">
        <f t="shared" si="309"/>
        <v>3675978.1534687448</v>
      </c>
      <c r="T574" s="224">
        <f t="shared" si="309"/>
        <v>4411173.7841624934</v>
      </c>
      <c r="U574" s="224">
        <f t="shared" si="309"/>
        <v>5146369.414856242</v>
      </c>
      <c r="V574" s="224">
        <f t="shared" si="309"/>
        <v>5881565.0455499906</v>
      </c>
      <c r="W574" s="224">
        <f t="shared" si="309"/>
        <v>6616760.6762437392</v>
      </c>
      <c r="X574" s="224">
        <f t="shared" si="309"/>
        <v>7351956.3069374878</v>
      </c>
      <c r="Y574" s="224">
        <f t="shared" si="309"/>
        <v>8087151.9376312364</v>
      </c>
      <c r="Z574" s="224">
        <f t="shared" si="309"/>
        <v>0</v>
      </c>
      <c r="AA574" s="224">
        <f t="shared" si="309"/>
        <v>0</v>
      </c>
      <c r="AB574" s="224">
        <f t="shared" si="309"/>
        <v>0</v>
      </c>
      <c r="AC574" s="224">
        <f t="shared" si="309"/>
        <v>0</v>
      </c>
      <c r="AD574" s="224">
        <f t="shared" si="309"/>
        <v>0</v>
      </c>
      <c r="AE574" s="224">
        <f t="shared" si="309"/>
        <v>0</v>
      </c>
      <c r="AF574" s="224">
        <f t="shared" si="309"/>
        <v>0</v>
      </c>
      <c r="AG574" s="224">
        <f t="shared" si="309"/>
        <v>0</v>
      </c>
      <c r="AH574" s="224">
        <f t="shared" si="309"/>
        <v>0</v>
      </c>
      <c r="AI574" s="224">
        <f t="shared" si="309"/>
        <v>0</v>
      </c>
      <c r="AJ574" s="224">
        <f t="shared" si="309"/>
        <v>0</v>
      </c>
      <c r="AK574" s="224">
        <f t="shared" si="309"/>
        <v>0</v>
      </c>
      <c r="AL574" s="224">
        <f t="shared" si="309"/>
        <v>0</v>
      </c>
      <c r="AM574" s="224">
        <f t="shared" si="309"/>
        <v>0</v>
      </c>
      <c r="AN574" s="224">
        <f t="shared" si="309"/>
        <v>0</v>
      </c>
      <c r="AO574" s="224">
        <f t="shared" si="309"/>
        <v>0</v>
      </c>
      <c r="AP574" s="224">
        <f t="shared" si="309"/>
        <v>0</v>
      </c>
    </row>
    <row r="575" spans="1:42" x14ac:dyDescent="0.2">
      <c r="B575" s="21"/>
      <c r="C575" s="21"/>
      <c r="D575" s="21"/>
      <c r="E575" s="21"/>
      <c r="F575" s="21"/>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row>
    <row r="576" spans="1:42" x14ac:dyDescent="0.2">
      <c r="A576" s="4" t="s">
        <v>84</v>
      </c>
      <c r="B576" s="21"/>
      <c r="C576" s="21"/>
      <c r="D576" s="21"/>
      <c r="E576" s="21"/>
      <c r="F576" s="21"/>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row>
    <row r="577" spans="1:42" x14ac:dyDescent="0.2">
      <c r="A577" s="4" t="s">
        <v>85</v>
      </c>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4">
        <v>1</v>
      </c>
      <c r="B578" s="240">
        <f t="shared" ref="B578:B587" si="310">SUM(C578:AP578)</f>
        <v>6559908.454343209</v>
      </c>
      <c r="C578" s="220">
        <f t="shared" ref="C578:AP578" si="311">IF(C$2&gt;analysis_period,0,IF(C$2=equip1_reserve_freq*$A578,equip1_reserve_cost*system_capacity*1000*(1+inflation_rate/100)^B$2,0))</f>
        <v>0</v>
      </c>
      <c r="D578" s="220">
        <f t="shared" si="311"/>
        <v>0</v>
      </c>
      <c r="E578" s="220">
        <f t="shared" si="311"/>
        <v>0</v>
      </c>
      <c r="F578" s="220">
        <f t="shared" si="311"/>
        <v>0</v>
      </c>
      <c r="G578" s="220">
        <f t="shared" si="311"/>
        <v>0</v>
      </c>
      <c r="H578" s="220">
        <f t="shared" si="311"/>
        <v>0</v>
      </c>
      <c r="I578" s="220">
        <f t="shared" si="311"/>
        <v>0</v>
      </c>
      <c r="J578" s="220">
        <f t="shared" si="311"/>
        <v>0</v>
      </c>
      <c r="K578" s="220">
        <f t="shared" si="311"/>
        <v>0</v>
      </c>
      <c r="L578" s="220">
        <f t="shared" si="311"/>
        <v>0</v>
      </c>
      <c r="M578" s="220">
        <f t="shared" si="311"/>
        <v>0</v>
      </c>
      <c r="N578" s="220">
        <f t="shared" si="311"/>
        <v>6559908.454343209</v>
      </c>
      <c r="O578" s="220">
        <f t="shared" si="311"/>
        <v>0</v>
      </c>
      <c r="P578" s="220">
        <f t="shared" si="311"/>
        <v>0</v>
      </c>
      <c r="Q578" s="220">
        <f t="shared" si="311"/>
        <v>0</v>
      </c>
      <c r="R578" s="220">
        <f t="shared" si="311"/>
        <v>0</v>
      </c>
      <c r="S578" s="220">
        <f t="shared" si="311"/>
        <v>0</v>
      </c>
      <c r="T578" s="220">
        <f t="shared" si="311"/>
        <v>0</v>
      </c>
      <c r="U578" s="220">
        <f t="shared" si="311"/>
        <v>0</v>
      </c>
      <c r="V578" s="220">
        <f t="shared" si="311"/>
        <v>0</v>
      </c>
      <c r="W578" s="220">
        <f t="shared" si="311"/>
        <v>0</v>
      </c>
      <c r="X578" s="220">
        <f t="shared" si="311"/>
        <v>0</v>
      </c>
      <c r="Y578" s="220">
        <f t="shared" si="311"/>
        <v>0</v>
      </c>
      <c r="Z578" s="220">
        <f t="shared" si="311"/>
        <v>0</v>
      </c>
      <c r="AA578" s="220">
        <f t="shared" si="311"/>
        <v>0</v>
      </c>
      <c r="AB578" s="220">
        <f t="shared" si="311"/>
        <v>0</v>
      </c>
      <c r="AC578" s="220">
        <f t="shared" si="311"/>
        <v>0</v>
      </c>
      <c r="AD578" s="220">
        <f t="shared" si="311"/>
        <v>0</v>
      </c>
      <c r="AE578" s="220">
        <f t="shared" si="311"/>
        <v>0</v>
      </c>
      <c r="AF578" s="220">
        <f t="shared" si="311"/>
        <v>0</v>
      </c>
      <c r="AG578" s="220">
        <f t="shared" si="311"/>
        <v>0</v>
      </c>
      <c r="AH578" s="220">
        <f t="shared" si="311"/>
        <v>0</v>
      </c>
      <c r="AI578" s="220">
        <f t="shared" si="311"/>
        <v>0</v>
      </c>
      <c r="AJ578" s="220">
        <f t="shared" si="311"/>
        <v>0</v>
      </c>
      <c r="AK578" s="220">
        <f t="shared" si="311"/>
        <v>0</v>
      </c>
      <c r="AL578" s="220">
        <f t="shared" si="311"/>
        <v>0</v>
      </c>
      <c r="AM578" s="220">
        <f t="shared" si="311"/>
        <v>0</v>
      </c>
      <c r="AN578" s="220">
        <f t="shared" si="311"/>
        <v>0</v>
      </c>
      <c r="AO578" s="220">
        <f t="shared" si="311"/>
        <v>0</v>
      </c>
      <c r="AP578" s="220">
        <f t="shared" si="311"/>
        <v>0</v>
      </c>
    </row>
    <row r="579" spans="1:42" x14ac:dyDescent="0.2">
      <c r="A579" s="4">
        <f>A578+1</f>
        <v>2</v>
      </c>
      <c r="B579" s="240">
        <f t="shared" si="310"/>
        <v>8822347.5683249868</v>
      </c>
      <c r="C579" s="220">
        <f t="shared" ref="C579:AP579" si="312">IF(C$2&gt;analysis_period,0,IF(C$2=equip1_reserve_freq*$A579,equip1_reserve_cost*system_capacity*1000*(1+inflation_rate/100)^B$2,0))</f>
        <v>0</v>
      </c>
      <c r="D579" s="220">
        <f t="shared" si="312"/>
        <v>0</v>
      </c>
      <c r="E579" s="220">
        <f t="shared" si="312"/>
        <v>0</v>
      </c>
      <c r="F579" s="220">
        <f t="shared" si="312"/>
        <v>0</v>
      </c>
      <c r="G579" s="220">
        <f t="shared" si="312"/>
        <v>0</v>
      </c>
      <c r="H579" s="220">
        <f t="shared" si="312"/>
        <v>0</v>
      </c>
      <c r="I579" s="220">
        <f t="shared" si="312"/>
        <v>0</v>
      </c>
      <c r="J579" s="220">
        <f t="shared" si="312"/>
        <v>0</v>
      </c>
      <c r="K579" s="220">
        <f t="shared" si="312"/>
        <v>0</v>
      </c>
      <c r="L579" s="220">
        <f t="shared" si="312"/>
        <v>0</v>
      </c>
      <c r="M579" s="220">
        <f t="shared" si="312"/>
        <v>0</v>
      </c>
      <c r="N579" s="220">
        <f t="shared" si="312"/>
        <v>0</v>
      </c>
      <c r="O579" s="220">
        <f t="shared" si="312"/>
        <v>0</v>
      </c>
      <c r="P579" s="220">
        <f t="shared" si="312"/>
        <v>0</v>
      </c>
      <c r="Q579" s="220">
        <f t="shared" si="312"/>
        <v>0</v>
      </c>
      <c r="R579" s="220">
        <f t="shared" si="312"/>
        <v>0</v>
      </c>
      <c r="S579" s="220">
        <f t="shared" si="312"/>
        <v>0</v>
      </c>
      <c r="T579" s="220">
        <f t="shared" si="312"/>
        <v>0</v>
      </c>
      <c r="U579" s="220">
        <f t="shared" si="312"/>
        <v>0</v>
      </c>
      <c r="V579" s="220">
        <f t="shared" si="312"/>
        <v>0</v>
      </c>
      <c r="W579" s="220">
        <f t="shared" si="312"/>
        <v>0</v>
      </c>
      <c r="X579" s="220">
        <f t="shared" si="312"/>
        <v>0</v>
      </c>
      <c r="Y579" s="220">
        <f t="shared" si="312"/>
        <v>0</v>
      </c>
      <c r="Z579" s="220">
        <f t="shared" si="312"/>
        <v>8822347.5683249868</v>
      </c>
      <c r="AA579" s="220">
        <f t="shared" si="312"/>
        <v>0</v>
      </c>
      <c r="AB579" s="220">
        <f t="shared" si="312"/>
        <v>0</v>
      </c>
      <c r="AC579" s="220">
        <f t="shared" si="312"/>
        <v>0</v>
      </c>
      <c r="AD579" s="220">
        <f t="shared" si="312"/>
        <v>0</v>
      </c>
      <c r="AE579" s="220">
        <f t="shared" si="312"/>
        <v>0</v>
      </c>
      <c r="AF579" s="220">
        <f t="shared" si="312"/>
        <v>0</v>
      </c>
      <c r="AG579" s="220">
        <f t="shared" si="312"/>
        <v>0</v>
      </c>
      <c r="AH579" s="220">
        <f t="shared" si="312"/>
        <v>0</v>
      </c>
      <c r="AI579" s="220">
        <f t="shared" si="312"/>
        <v>0</v>
      </c>
      <c r="AJ579" s="220">
        <f t="shared" si="312"/>
        <v>0</v>
      </c>
      <c r="AK579" s="220">
        <f t="shared" si="312"/>
        <v>0</v>
      </c>
      <c r="AL579" s="220">
        <f t="shared" si="312"/>
        <v>0</v>
      </c>
      <c r="AM579" s="220">
        <f t="shared" si="312"/>
        <v>0</v>
      </c>
      <c r="AN579" s="220">
        <f t="shared" si="312"/>
        <v>0</v>
      </c>
      <c r="AO579" s="220">
        <f t="shared" si="312"/>
        <v>0</v>
      </c>
      <c r="AP579" s="220">
        <f t="shared" si="312"/>
        <v>0</v>
      </c>
    </row>
    <row r="580" spans="1:42" x14ac:dyDescent="0.2">
      <c r="A580" s="4">
        <f t="shared" ref="A580:A587" si="313">A579+1</f>
        <v>3</v>
      </c>
      <c r="B580" s="240">
        <f t="shared" si="310"/>
        <v>0</v>
      </c>
      <c r="C580" s="220">
        <f t="shared" ref="C580:AP580" si="314">IF(C$2&gt;analysis_period,0,IF(C$2=equip1_reserve_freq*$A580,equip1_reserve_cost*system_capacity*1000*(1+inflation_rate/100)^B$2,0))</f>
        <v>0</v>
      </c>
      <c r="D580" s="220">
        <f t="shared" si="314"/>
        <v>0</v>
      </c>
      <c r="E580" s="220">
        <f t="shared" si="314"/>
        <v>0</v>
      </c>
      <c r="F580" s="220">
        <f t="shared" si="314"/>
        <v>0</v>
      </c>
      <c r="G580" s="220">
        <f t="shared" si="314"/>
        <v>0</v>
      </c>
      <c r="H580" s="220">
        <f t="shared" si="314"/>
        <v>0</v>
      </c>
      <c r="I580" s="220">
        <f t="shared" si="314"/>
        <v>0</v>
      </c>
      <c r="J580" s="220">
        <f t="shared" si="314"/>
        <v>0</v>
      </c>
      <c r="K580" s="220">
        <f t="shared" si="314"/>
        <v>0</v>
      </c>
      <c r="L580" s="220">
        <f t="shared" si="314"/>
        <v>0</v>
      </c>
      <c r="M580" s="220">
        <f t="shared" si="314"/>
        <v>0</v>
      </c>
      <c r="N580" s="220">
        <f t="shared" si="314"/>
        <v>0</v>
      </c>
      <c r="O580" s="220">
        <f t="shared" si="314"/>
        <v>0</v>
      </c>
      <c r="P580" s="220">
        <f t="shared" si="314"/>
        <v>0</v>
      </c>
      <c r="Q580" s="220">
        <f t="shared" si="314"/>
        <v>0</v>
      </c>
      <c r="R580" s="220">
        <f t="shared" si="314"/>
        <v>0</v>
      </c>
      <c r="S580" s="220">
        <f t="shared" si="314"/>
        <v>0</v>
      </c>
      <c r="T580" s="220">
        <f t="shared" si="314"/>
        <v>0</v>
      </c>
      <c r="U580" s="220">
        <f t="shared" si="314"/>
        <v>0</v>
      </c>
      <c r="V580" s="220">
        <f t="shared" si="314"/>
        <v>0</v>
      </c>
      <c r="W580" s="220">
        <f t="shared" si="314"/>
        <v>0</v>
      </c>
      <c r="X580" s="220">
        <f t="shared" si="314"/>
        <v>0</v>
      </c>
      <c r="Y580" s="220">
        <f t="shared" si="314"/>
        <v>0</v>
      </c>
      <c r="Z580" s="220">
        <f t="shared" si="314"/>
        <v>0</v>
      </c>
      <c r="AA580" s="220">
        <f t="shared" si="314"/>
        <v>0</v>
      </c>
      <c r="AB580" s="220">
        <f t="shared" si="314"/>
        <v>0</v>
      </c>
      <c r="AC580" s="220">
        <f t="shared" si="314"/>
        <v>0</v>
      </c>
      <c r="AD580" s="220">
        <f t="shared" si="314"/>
        <v>0</v>
      </c>
      <c r="AE580" s="220">
        <f t="shared" si="314"/>
        <v>0</v>
      </c>
      <c r="AF580" s="220">
        <f t="shared" si="314"/>
        <v>0</v>
      </c>
      <c r="AG580" s="220">
        <f t="shared" si="314"/>
        <v>0</v>
      </c>
      <c r="AH580" s="220">
        <f t="shared" si="314"/>
        <v>0</v>
      </c>
      <c r="AI580" s="220">
        <f t="shared" si="314"/>
        <v>0</v>
      </c>
      <c r="AJ580" s="220">
        <f t="shared" si="314"/>
        <v>0</v>
      </c>
      <c r="AK580" s="220">
        <f t="shared" si="314"/>
        <v>0</v>
      </c>
      <c r="AL580" s="220">
        <f t="shared" si="314"/>
        <v>0</v>
      </c>
      <c r="AM580" s="220">
        <f t="shared" si="314"/>
        <v>0</v>
      </c>
      <c r="AN580" s="220">
        <f t="shared" si="314"/>
        <v>0</v>
      </c>
      <c r="AO580" s="220">
        <f t="shared" si="314"/>
        <v>0</v>
      </c>
      <c r="AP580" s="220">
        <f t="shared" si="314"/>
        <v>0</v>
      </c>
    </row>
    <row r="581" spans="1:42" x14ac:dyDescent="0.2">
      <c r="A581" s="4">
        <f t="shared" si="313"/>
        <v>4</v>
      </c>
      <c r="B581" s="240">
        <f t="shared" si="310"/>
        <v>0</v>
      </c>
      <c r="C581" s="220">
        <f t="shared" ref="C581:AP581" si="315">IF(C$2&gt;analysis_period,0,IF(C$2=equip1_reserve_freq*$A581,equip1_reserve_cost*system_capacity*1000*(1+inflation_rate/100)^B$2,0))</f>
        <v>0</v>
      </c>
      <c r="D581" s="220">
        <f t="shared" si="315"/>
        <v>0</v>
      </c>
      <c r="E581" s="220">
        <f t="shared" si="315"/>
        <v>0</v>
      </c>
      <c r="F581" s="220">
        <f t="shared" si="315"/>
        <v>0</v>
      </c>
      <c r="G581" s="220">
        <f t="shared" si="315"/>
        <v>0</v>
      </c>
      <c r="H581" s="220">
        <f t="shared" si="315"/>
        <v>0</v>
      </c>
      <c r="I581" s="220">
        <f t="shared" si="315"/>
        <v>0</v>
      </c>
      <c r="J581" s="220">
        <f t="shared" si="315"/>
        <v>0</v>
      </c>
      <c r="K581" s="220">
        <f t="shared" si="315"/>
        <v>0</v>
      </c>
      <c r="L581" s="220">
        <f t="shared" si="315"/>
        <v>0</v>
      </c>
      <c r="M581" s="220">
        <f t="shared" si="315"/>
        <v>0</v>
      </c>
      <c r="N581" s="220">
        <f t="shared" si="315"/>
        <v>0</v>
      </c>
      <c r="O581" s="220">
        <f t="shared" si="315"/>
        <v>0</v>
      </c>
      <c r="P581" s="220">
        <f t="shared" si="315"/>
        <v>0</v>
      </c>
      <c r="Q581" s="220">
        <f t="shared" si="315"/>
        <v>0</v>
      </c>
      <c r="R581" s="220">
        <f t="shared" si="315"/>
        <v>0</v>
      </c>
      <c r="S581" s="220">
        <f t="shared" si="315"/>
        <v>0</v>
      </c>
      <c r="T581" s="220">
        <f t="shared" si="315"/>
        <v>0</v>
      </c>
      <c r="U581" s="220">
        <f t="shared" si="315"/>
        <v>0</v>
      </c>
      <c r="V581" s="220">
        <f t="shared" si="315"/>
        <v>0</v>
      </c>
      <c r="W581" s="220">
        <f t="shared" si="315"/>
        <v>0</v>
      </c>
      <c r="X581" s="220">
        <f t="shared" si="315"/>
        <v>0</v>
      </c>
      <c r="Y581" s="220">
        <f t="shared" si="315"/>
        <v>0</v>
      </c>
      <c r="Z581" s="220">
        <f t="shared" si="315"/>
        <v>0</v>
      </c>
      <c r="AA581" s="220">
        <f t="shared" si="315"/>
        <v>0</v>
      </c>
      <c r="AB581" s="220">
        <f t="shared" si="315"/>
        <v>0</v>
      </c>
      <c r="AC581" s="220">
        <f t="shared" si="315"/>
        <v>0</v>
      </c>
      <c r="AD581" s="220">
        <f t="shared" si="315"/>
        <v>0</v>
      </c>
      <c r="AE581" s="220">
        <f t="shared" si="315"/>
        <v>0</v>
      </c>
      <c r="AF581" s="220">
        <f t="shared" si="315"/>
        <v>0</v>
      </c>
      <c r="AG581" s="220">
        <f t="shared" si="315"/>
        <v>0</v>
      </c>
      <c r="AH581" s="220">
        <f t="shared" si="315"/>
        <v>0</v>
      </c>
      <c r="AI581" s="220">
        <f t="shared" si="315"/>
        <v>0</v>
      </c>
      <c r="AJ581" s="220">
        <f t="shared" si="315"/>
        <v>0</v>
      </c>
      <c r="AK581" s="220">
        <f t="shared" si="315"/>
        <v>0</v>
      </c>
      <c r="AL581" s="220">
        <f t="shared" si="315"/>
        <v>0</v>
      </c>
      <c r="AM581" s="220">
        <f t="shared" si="315"/>
        <v>0</v>
      </c>
      <c r="AN581" s="220">
        <f t="shared" si="315"/>
        <v>0</v>
      </c>
      <c r="AO581" s="220">
        <f t="shared" si="315"/>
        <v>0</v>
      </c>
      <c r="AP581" s="220">
        <f t="shared" si="315"/>
        <v>0</v>
      </c>
    </row>
    <row r="582" spans="1:42" x14ac:dyDescent="0.2">
      <c r="A582" s="4">
        <f t="shared" si="313"/>
        <v>5</v>
      </c>
      <c r="B582" s="240">
        <f t="shared" si="310"/>
        <v>0</v>
      </c>
      <c r="C582" s="220">
        <f t="shared" ref="C582:AP582" si="316">IF(C$2&gt;analysis_period,0,IF(C$2=equip1_reserve_freq*$A582,equip1_reserve_cost*system_capacity*1000*(1+inflation_rate/100)^B$2,0))</f>
        <v>0</v>
      </c>
      <c r="D582" s="220">
        <f t="shared" si="316"/>
        <v>0</v>
      </c>
      <c r="E582" s="220">
        <f t="shared" si="316"/>
        <v>0</v>
      </c>
      <c r="F582" s="220">
        <f t="shared" si="316"/>
        <v>0</v>
      </c>
      <c r="G582" s="220">
        <f t="shared" si="316"/>
        <v>0</v>
      </c>
      <c r="H582" s="220">
        <f t="shared" si="316"/>
        <v>0</v>
      </c>
      <c r="I582" s="220">
        <f t="shared" si="316"/>
        <v>0</v>
      </c>
      <c r="J582" s="220">
        <f t="shared" si="316"/>
        <v>0</v>
      </c>
      <c r="K582" s="220">
        <f t="shared" si="316"/>
        <v>0</v>
      </c>
      <c r="L582" s="220">
        <f t="shared" si="316"/>
        <v>0</v>
      </c>
      <c r="M582" s="220">
        <f t="shared" si="316"/>
        <v>0</v>
      </c>
      <c r="N582" s="220">
        <f t="shared" si="316"/>
        <v>0</v>
      </c>
      <c r="O582" s="220">
        <f t="shared" si="316"/>
        <v>0</v>
      </c>
      <c r="P582" s="220">
        <f t="shared" si="316"/>
        <v>0</v>
      </c>
      <c r="Q582" s="220">
        <f t="shared" si="316"/>
        <v>0</v>
      </c>
      <c r="R582" s="220">
        <f t="shared" si="316"/>
        <v>0</v>
      </c>
      <c r="S582" s="220">
        <f t="shared" si="316"/>
        <v>0</v>
      </c>
      <c r="T582" s="220">
        <f t="shared" si="316"/>
        <v>0</v>
      </c>
      <c r="U582" s="220">
        <f t="shared" si="316"/>
        <v>0</v>
      </c>
      <c r="V582" s="220">
        <f t="shared" si="316"/>
        <v>0</v>
      </c>
      <c r="W582" s="220">
        <f t="shared" si="316"/>
        <v>0</v>
      </c>
      <c r="X582" s="220">
        <f t="shared" si="316"/>
        <v>0</v>
      </c>
      <c r="Y582" s="220">
        <f t="shared" si="316"/>
        <v>0</v>
      </c>
      <c r="Z582" s="220">
        <f t="shared" si="316"/>
        <v>0</v>
      </c>
      <c r="AA582" s="220">
        <f t="shared" si="316"/>
        <v>0</v>
      </c>
      <c r="AB582" s="220">
        <f t="shared" si="316"/>
        <v>0</v>
      </c>
      <c r="AC582" s="220">
        <f t="shared" si="316"/>
        <v>0</v>
      </c>
      <c r="AD582" s="220">
        <f t="shared" si="316"/>
        <v>0</v>
      </c>
      <c r="AE582" s="220">
        <f t="shared" si="316"/>
        <v>0</v>
      </c>
      <c r="AF582" s="220">
        <f t="shared" si="316"/>
        <v>0</v>
      </c>
      <c r="AG582" s="220">
        <f t="shared" si="316"/>
        <v>0</v>
      </c>
      <c r="AH582" s="220">
        <f t="shared" si="316"/>
        <v>0</v>
      </c>
      <c r="AI582" s="220">
        <f t="shared" si="316"/>
        <v>0</v>
      </c>
      <c r="AJ582" s="220">
        <f t="shared" si="316"/>
        <v>0</v>
      </c>
      <c r="AK582" s="220">
        <f t="shared" si="316"/>
        <v>0</v>
      </c>
      <c r="AL582" s="220">
        <f t="shared" si="316"/>
        <v>0</v>
      </c>
      <c r="AM582" s="220">
        <f t="shared" si="316"/>
        <v>0</v>
      </c>
      <c r="AN582" s="220">
        <f t="shared" si="316"/>
        <v>0</v>
      </c>
      <c r="AO582" s="220">
        <f t="shared" si="316"/>
        <v>0</v>
      </c>
      <c r="AP582" s="220">
        <f t="shared" si="316"/>
        <v>0</v>
      </c>
    </row>
    <row r="583" spans="1:42" x14ac:dyDescent="0.2">
      <c r="A583" s="4">
        <f t="shared" si="313"/>
        <v>6</v>
      </c>
      <c r="B583" s="240">
        <f t="shared" si="310"/>
        <v>0</v>
      </c>
      <c r="C583" s="220">
        <f t="shared" ref="C583:AP583" si="317">IF(C$2&gt;analysis_period,0,IF(C$2=equip1_reserve_freq*$A583,equip1_reserve_cost*system_capacity*1000*(1+inflation_rate/100)^B$2,0))</f>
        <v>0</v>
      </c>
      <c r="D583" s="220">
        <f t="shared" si="317"/>
        <v>0</v>
      </c>
      <c r="E583" s="220">
        <f t="shared" si="317"/>
        <v>0</v>
      </c>
      <c r="F583" s="220">
        <f t="shared" si="317"/>
        <v>0</v>
      </c>
      <c r="G583" s="220">
        <f t="shared" si="317"/>
        <v>0</v>
      </c>
      <c r="H583" s="220">
        <f t="shared" si="317"/>
        <v>0</v>
      </c>
      <c r="I583" s="220">
        <f t="shared" si="317"/>
        <v>0</v>
      </c>
      <c r="J583" s="220">
        <f t="shared" si="317"/>
        <v>0</v>
      </c>
      <c r="K583" s="220">
        <f t="shared" si="317"/>
        <v>0</v>
      </c>
      <c r="L583" s="220">
        <f t="shared" si="317"/>
        <v>0</v>
      </c>
      <c r="M583" s="220">
        <f t="shared" si="317"/>
        <v>0</v>
      </c>
      <c r="N583" s="220">
        <f t="shared" si="317"/>
        <v>0</v>
      </c>
      <c r="O583" s="220">
        <f t="shared" si="317"/>
        <v>0</v>
      </c>
      <c r="P583" s="220">
        <f t="shared" si="317"/>
        <v>0</v>
      </c>
      <c r="Q583" s="220">
        <f t="shared" si="317"/>
        <v>0</v>
      </c>
      <c r="R583" s="220">
        <f t="shared" si="317"/>
        <v>0</v>
      </c>
      <c r="S583" s="220">
        <f t="shared" si="317"/>
        <v>0</v>
      </c>
      <c r="T583" s="220">
        <f t="shared" si="317"/>
        <v>0</v>
      </c>
      <c r="U583" s="220">
        <f t="shared" si="317"/>
        <v>0</v>
      </c>
      <c r="V583" s="220">
        <f t="shared" si="317"/>
        <v>0</v>
      </c>
      <c r="W583" s="220">
        <f t="shared" si="317"/>
        <v>0</v>
      </c>
      <c r="X583" s="220">
        <f t="shared" si="317"/>
        <v>0</v>
      </c>
      <c r="Y583" s="220">
        <f t="shared" si="317"/>
        <v>0</v>
      </c>
      <c r="Z583" s="220">
        <f t="shared" si="317"/>
        <v>0</v>
      </c>
      <c r="AA583" s="220">
        <f t="shared" si="317"/>
        <v>0</v>
      </c>
      <c r="AB583" s="220">
        <f t="shared" si="317"/>
        <v>0</v>
      </c>
      <c r="AC583" s="220">
        <f t="shared" si="317"/>
        <v>0</v>
      </c>
      <c r="AD583" s="220">
        <f t="shared" si="317"/>
        <v>0</v>
      </c>
      <c r="AE583" s="220">
        <f t="shared" si="317"/>
        <v>0</v>
      </c>
      <c r="AF583" s="220">
        <f t="shared" si="317"/>
        <v>0</v>
      </c>
      <c r="AG583" s="220">
        <f t="shared" si="317"/>
        <v>0</v>
      </c>
      <c r="AH583" s="220">
        <f t="shared" si="317"/>
        <v>0</v>
      </c>
      <c r="AI583" s="220">
        <f t="shared" si="317"/>
        <v>0</v>
      </c>
      <c r="AJ583" s="220">
        <f t="shared" si="317"/>
        <v>0</v>
      </c>
      <c r="AK583" s="220">
        <f t="shared" si="317"/>
        <v>0</v>
      </c>
      <c r="AL583" s="220">
        <f t="shared" si="317"/>
        <v>0</v>
      </c>
      <c r="AM583" s="220">
        <f t="shared" si="317"/>
        <v>0</v>
      </c>
      <c r="AN583" s="220">
        <f t="shared" si="317"/>
        <v>0</v>
      </c>
      <c r="AO583" s="220">
        <f t="shared" si="317"/>
        <v>0</v>
      </c>
      <c r="AP583" s="220">
        <f t="shared" si="317"/>
        <v>0</v>
      </c>
    </row>
    <row r="584" spans="1:42" x14ac:dyDescent="0.2">
      <c r="A584" s="4">
        <f t="shared" si="313"/>
        <v>7</v>
      </c>
      <c r="B584" s="240">
        <f t="shared" si="310"/>
        <v>0</v>
      </c>
      <c r="C584" s="220">
        <f t="shared" ref="C584:AP584" si="318">IF(C$2&gt;analysis_period,0,IF(C$2=equip1_reserve_freq*$A584,equip1_reserve_cost*system_capacity*1000*(1+inflation_rate/100)^B$2,0))</f>
        <v>0</v>
      </c>
      <c r="D584" s="220">
        <f t="shared" si="318"/>
        <v>0</v>
      </c>
      <c r="E584" s="220">
        <f t="shared" si="318"/>
        <v>0</v>
      </c>
      <c r="F584" s="220">
        <f t="shared" si="318"/>
        <v>0</v>
      </c>
      <c r="G584" s="220">
        <f t="shared" si="318"/>
        <v>0</v>
      </c>
      <c r="H584" s="220">
        <f t="shared" si="318"/>
        <v>0</v>
      </c>
      <c r="I584" s="220">
        <f t="shared" si="318"/>
        <v>0</v>
      </c>
      <c r="J584" s="220">
        <f t="shared" si="318"/>
        <v>0</v>
      </c>
      <c r="K584" s="220">
        <f t="shared" si="318"/>
        <v>0</v>
      </c>
      <c r="L584" s="220">
        <f t="shared" si="318"/>
        <v>0</v>
      </c>
      <c r="M584" s="220">
        <f t="shared" si="318"/>
        <v>0</v>
      </c>
      <c r="N584" s="220">
        <f t="shared" si="318"/>
        <v>0</v>
      </c>
      <c r="O584" s="220">
        <f t="shared" si="318"/>
        <v>0</v>
      </c>
      <c r="P584" s="220">
        <f t="shared" si="318"/>
        <v>0</v>
      </c>
      <c r="Q584" s="220">
        <f t="shared" si="318"/>
        <v>0</v>
      </c>
      <c r="R584" s="220">
        <f t="shared" si="318"/>
        <v>0</v>
      </c>
      <c r="S584" s="220">
        <f t="shared" si="318"/>
        <v>0</v>
      </c>
      <c r="T584" s="220">
        <f t="shared" si="318"/>
        <v>0</v>
      </c>
      <c r="U584" s="220">
        <f t="shared" si="318"/>
        <v>0</v>
      </c>
      <c r="V584" s="220">
        <f t="shared" si="318"/>
        <v>0</v>
      </c>
      <c r="W584" s="220">
        <f t="shared" si="318"/>
        <v>0</v>
      </c>
      <c r="X584" s="220">
        <f t="shared" si="318"/>
        <v>0</v>
      </c>
      <c r="Y584" s="220">
        <f t="shared" si="318"/>
        <v>0</v>
      </c>
      <c r="Z584" s="220">
        <f t="shared" si="318"/>
        <v>0</v>
      </c>
      <c r="AA584" s="220">
        <f t="shared" si="318"/>
        <v>0</v>
      </c>
      <c r="AB584" s="220">
        <f t="shared" si="318"/>
        <v>0</v>
      </c>
      <c r="AC584" s="220">
        <f t="shared" si="318"/>
        <v>0</v>
      </c>
      <c r="AD584" s="220">
        <f t="shared" si="318"/>
        <v>0</v>
      </c>
      <c r="AE584" s="220">
        <f t="shared" si="318"/>
        <v>0</v>
      </c>
      <c r="AF584" s="220">
        <f t="shared" si="318"/>
        <v>0</v>
      </c>
      <c r="AG584" s="220">
        <f t="shared" si="318"/>
        <v>0</v>
      </c>
      <c r="AH584" s="220">
        <f t="shared" si="318"/>
        <v>0</v>
      </c>
      <c r="AI584" s="220">
        <f t="shared" si="318"/>
        <v>0</v>
      </c>
      <c r="AJ584" s="220">
        <f t="shared" si="318"/>
        <v>0</v>
      </c>
      <c r="AK584" s="220">
        <f t="shared" si="318"/>
        <v>0</v>
      </c>
      <c r="AL584" s="220">
        <f t="shared" si="318"/>
        <v>0</v>
      </c>
      <c r="AM584" s="220">
        <f t="shared" si="318"/>
        <v>0</v>
      </c>
      <c r="AN584" s="220">
        <f t="shared" si="318"/>
        <v>0</v>
      </c>
      <c r="AO584" s="220">
        <f t="shared" si="318"/>
        <v>0</v>
      </c>
      <c r="AP584" s="220">
        <f t="shared" si="318"/>
        <v>0</v>
      </c>
    </row>
    <row r="585" spans="1:42" x14ac:dyDescent="0.2">
      <c r="A585" s="4">
        <f t="shared" si="313"/>
        <v>8</v>
      </c>
      <c r="B585" s="240">
        <f t="shared" si="310"/>
        <v>0</v>
      </c>
      <c r="C585" s="220">
        <f t="shared" ref="C585:AP585" si="319">IF(C$2&gt;analysis_period,0,IF(C$2=equip1_reserve_freq*$A585,equip1_reserve_cost*system_capacity*1000*(1+inflation_rate/100)^B$2,0))</f>
        <v>0</v>
      </c>
      <c r="D585" s="220">
        <f t="shared" si="319"/>
        <v>0</v>
      </c>
      <c r="E585" s="220">
        <f t="shared" si="319"/>
        <v>0</v>
      </c>
      <c r="F585" s="220">
        <f t="shared" si="319"/>
        <v>0</v>
      </c>
      <c r="G585" s="220">
        <f t="shared" si="319"/>
        <v>0</v>
      </c>
      <c r="H585" s="220">
        <f t="shared" si="319"/>
        <v>0</v>
      </c>
      <c r="I585" s="220">
        <f t="shared" si="319"/>
        <v>0</v>
      </c>
      <c r="J585" s="220">
        <f t="shared" si="319"/>
        <v>0</v>
      </c>
      <c r="K585" s="220">
        <f t="shared" si="319"/>
        <v>0</v>
      </c>
      <c r="L585" s="220">
        <f t="shared" si="319"/>
        <v>0</v>
      </c>
      <c r="M585" s="220">
        <f t="shared" si="319"/>
        <v>0</v>
      </c>
      <c r="N585" s="220">
        <f t="shared" si="319"/>
        <v>0</v>
      </c>
      <c r="O585" s="220">
        <f t="shared" si="319"/>
        <v>0</v>
      </c>
      <c r="P585" s="220">
        <f t="shared" si="319"/>
        <v>0</v>
      </c>
      <c r="Q585" s="220">
        <f t="shared" si="319"/>
        <v>0</v>
      </c>
      <c r="R585" s="220">
        <f t="shared" si="319"/>
        <v>0</v>
      </c>
      <c r="S585" s="220">
        <f t="shared" si="319"/>
        <v>0</v>
      </c>
      <c r="T585" s="220">
        <f t="shared" si="319"/>
        <v>0</v>
      </c>
      <c r="U585" s="220">
        <f t="shared" si="319"/>
        <v>0</v>
      </c>
      <c r="V585" s="220">
        <f t="shared" si="319"/>
        <v>0</v>
      </c>
      <c r="W585" s="220">
        <f t="shared" si="319"/>
        <v>0</v>
      </c>
      <c r="X585" s="220">
        <f t="shared" si="319"/>
        <v>0</v>
      </c>
      <c r="Y585" s="220">
        <f t="shared" si="319"/>
        <v>0</v>
      </c>
      <c r="Z585" s="220">
        <f t="shared" si="319"/>
        <v>0</v>
      </c>
      <c r="AA585" s="220">
        <f t="shared" si="319"/>
        <v>0</v>
      </c>
      <c r="AB585" s="220">
        <f t="shared" si="319"/>
        <v>0</v>
      </c>
      <c r="AC585" s="220">
        <f t="shared" si="319"/>
        <v>0</v>
      </c>
      <c r="AD585" s="220">
        <f t="shared" si="319"/>
        <v>0</v>
      </c>
      <c r="AE585" s="220">
        <f t="shared" si="319"/>
        <v>0</v>
      </c>
      <c r="AF585" s="220">
        <f t="shared" si="319"/>
        <v>0</v>
      </c>
      <c r="AG585" s="220">
        <f t="shared" si="319"/>
        <v>0</v>
      </c>
      <c r="AH585" s="220">
        <f t="shared" si="319"/>
        <v>0</v>
      </c>
      <c r="AI585" s="220">
        <f t="shared" si="319"/>
        <v>0</v>
      </c>
      <c r="AJ585" s="220">
        <f t="shared" si="319"/>
        <v>0</v>
      </c>
      <c r="AK585" s="220">
        <f t="shared" si="319"/>
        <v>0</v>
      </c>
      <c r="AL585" s="220">
        <f t="shared" si="319"/>
        <v>0</v>
      </c>
      <c r="AM585" s="220">
        <f t="shared" si="319"/>
        <v>0</v>
      </c>
      <c r="AN585" s="220">
        <f t="shared" si="319"/>
        <v>0</v>
      </c>
      <c r="AO585" s="220">
        <f t="shared" si="319"/>
        <v>0</v>
      </c>
      <c r="AP585" s="220">
        <f t="shared" si="319"/>
        <v>0</v>
      </c>
    </row>
    <row r="586" spans="1:42" x14ac:dyDescent="0.2">
      <c r="A586" s="4">
        <f>A585+1</f>
        <v>9</v>
      </c>
      <c r="B586" s="240">
        <f t="shared" si="310"/>
        <v>0</v>
      </c>
      <c r="C586" s="220">
        <f t="shared" ref="C586:AP586" si="320">IF(C$2&gt;analysis_period,0,IF(C$2=equip1_reserve_freq*$A586,equip1_reserve_cost*system_capacity*1000*(1+inflation_rate/100)^B$2,0))</f>
        <v>0</v>
      </c>
      <c r="D586" s="220">
        <f t="shared" si="320"/>
        <v>0</v>
      </c>
      <c r="E586" s="220">
        <f t="shared" si="320"/>
        <v>0</v>
      </c>
      <c r="F586" s="220">
        <f t="shared" si="320"/>
        <v>0</v>
      </c>
      <c r="G586" s="220">
        <f t="shared" si="320"/>
        <v>0</v>
      </c>
      <c r="H586" s="220">
        <f t="shared" si="320"/>
        <v>0</v>
      </c>
      <c r="I586" s="220">
        <f t="shared" si="320"/>
        <v>0</v>
      </c>
      <c r="J586" s="220">
        <f t="shared" si="320"/>
        <v>0</v>
      </c>
      <c r="K586" s="220">
        <f t="shared" si="320"/>
        <v>0</v>
      </c>
      <c r="L586" s="220">
        <f t="shared" si="320"/>
        <v>0</v>
      </c>
      <c r="M586" s="220">
        <f t="shared" si="320"/>
        <v>0</v>
      </c>
      <c r="N586" s="220">
        <f t="shared" si="320"/>
        <v>0</v>
      </c>
      <c r="O586" s="220">
        <f t="shared" si="320"/>
        <v>0</v>
      </c>
      <c r="P586" s="220">
        <f t="shared" si="320"/>
        <v>0</v>
      </c>
      <c r="Q586" s="220">
        <f t="shared" si="320"/>
        <v>0</v>
      </c>
      <c r="R586" s="220">
        <f t="shared" si="320"/>
        <v>0</v>
      </c>
      <c r="S586" s="220">
        <f t="shared" si="320"/>
        <v>0</v>
      </c>
      <c r="T586" s="220">
        <f t="shared" si="320"/>
        <v>0</v>
      </c>
      <c r="U586" s="220">
        <f t="shared" si="320"/>
        <v>0</v>
      </c>
      <c r="V586" s="220">
        <f t="shared" si="320"/>
        <v>0</v>
      </c>
      <c r="W586" s="220">
        <f t="shared" si="320"/>
        <v>0</v>
      </c>
      <c r="X586" s="220">
        <f t="shared" si="320"/>
        <v>0</v>
      </c>
      <c r="Y586" s="220">
        <f t="shared" si="320"/>
        <v>0</v>
      </c>
      <c r="Z586" s="220">
        <f t="shared" si="320"/>
        <v>0</v>
      </c>
      <c r="AA586" s="220">
        <f t="shared" si="320"/>
        <v>0</v>
      </c>
      <c r="AB586" s="220">
        <f t="shared" si="320"/>
        <v>0</v>
      </c>
      <c r="AC586" s="220">
        <f t="shared" si="320"/>
        <v>0</v>
      </c>
      <c r="AD586" s="220">
        <f t="shared" si="320"/>
        <v>0</v>
      </c>
      <c r="AE586" s="220">
        <f t="shared" si="320"/>
        <v>0</v>
      </c>
      <c r="AF586" s="220">
        <f t="shared" si="320"/>
        <v>0</v>
      </c>
      <c r="AG586" s="220">
        <f t="shared" si="320"/>
        <v>0</v>
      </c>
      <c r="AH586" s="220">
        <f t="shared" si="320"/>
        <v>0</v>
      </c>
      <c r="AI586" s="220">
        <f t="shared" si="320"/>
        <v>0</v>
      </c>
      <c r="AJ586" s="220">
        <f t="shared" si="320"/>
        <v>0</v>
      </c>
      <c r="AK586" s="220">
        <f t="shared" si="320"/>
        <v>0</v>
      </c>
      <c r="AL586" s="220">
        <f t="shared" si="320"/>
        <v>0</v>
      </c>
      <c r="AM586" s="220">
        <f t="shared" si="320"/>
        <v>0</v>
      </c>
      <c r="AN586" s="220">
        <f t="shared" si="320"/>
        <v>0</v>
      </c>
      <c r="AO586" s="220">
        <f t="shared" si="320"/>
        <v>0</v>
      </c>
      <c r="AP586" s="220">
        <f t="shared" si="320"/>
        <v>0</v>
      </c>
    </row>
    <row r="587" spans="1:42" x14ac:dyDescent="0.2">
      <c r="A587" s="4">
        <f t="shared" si="313"/>
        <v>10</v>
      </c>
      <c r="B587" s="240">
        <f t="shared" si="310"/>
        <v>0</v>
      </c>
      <c r="C587" s="220">
        <f t="shared" ref="C587:AP587" si="321">IF(C$2&gt;analysis_period,0,IF(C$2=equip1_reserve_freq*$A587,equip1_reserve_cost*system_capacity*1000*(1+inflation_rate/100)^B$2,0))</f>
        <v>0</v>
      </c>
      <c r="D587" s="220">
        <f t="shared" si="321"/>
        <v>0</v>
      </c>
      <c r="E587" s="220">
        <f t="shared" si="321"/>
        <v>0</v>
      </c>
      <c r="F587" s="220">
        <f t="shared" si="321"/>
        <v>0</v>
      </c>
      <c r="G587" s="220">
        <f t="shared" si="321"/>
        <v>0</v>
      </c>
      <c r="H587" s="220">
        <f t="shared" si="321"/>
        <v>0</v>
      </c>
      <c r="I587" s="220">
        <f t="shared" si="321"/>
        <v>0</v>
      </c>
      <c r="J587" s="220">
        <f t="shared" si="321"/>
        <v>0</v>
      </c>
      <c r="K587" s="220">
        <f t="shared" si="321"/>
        <v>0</v>
      </c>
      <c r="L587" s="220">
        <f t="shared" si="321"/>
        <v>0</v>
      </c>
      <c r="M587" s="220">
        <f t="shared" si="321"/>
        <v>0</v>
      </c>
      <c r="N587" s="220">
        <f t="shared" si="321"/>
        <v>0</v>
      </c>
      <c r="O587" s="220">
        <f t="shared" si="321"/>
        <v>0</v>
      </c>
      <c r="P587" s="220">
        <f t="shared" si="321"/>
        <v>0</v>
      </c>
      <c r="Q587" s="220">
        <f t="shared" si="321"/>
        <v>0</v>
      </c>
      <c r="R587" s="220">
        <f t="shared" si="321"/>
        <v>0</v>
      </c>
      <c r="S587" s="220">
        <f t="shared" si="321"/>
        <v>0</v>
      </c>
      <c r="T587" s="220">
        <f t="shared" si="321"/>
        <v>0</v>
      </c>
      <c r="U587" s="220">
        <f t="shared" si="321"/>
        <v>0</v>
      </c>
      <c r="V587" s="220">
        <f t="shared" si="321"/>
        <v>0</v>
      </c>
      <c r="W587" s="220">
        <f t="shared" si="321"/>
        <v>0</v>
      </c>
      <c r="X587" s="220">
        <f t="shared" si="321"/>
        <v>0</v>
      </c>
      <c r="Y587" s="220">
        <f t="shared" si="321"/>
        <v>0</v>
      </c>
      <c r="Z587" s="220">
        <f t="shared" si="321"/>
        <v>0</v>
      </c>
      <c r="AA587" s="220">
        <f t="shared" si="321"/>
        <v>0</v>
      </c>
      <c r="AB587" s="220">
        <f t="shared" si="321"/>
        <v>0</v>
      </c>
      <c r="AC587" s="220">
        <f t="shared" si="321"/>
        <v>0</v>
      </c>
      <c r="AD587" s="220">
        <f t="shared" si="321"/>
        <v>0</v>
      </c>
      <c r="AE587" s="220">
        <f t="shared" si="321"/>
        <v>0</v>
      </c>
      <c r="AF587" s="220">
        <f t="shared" si="321"/>
        <v>0</v>
      </c>
      <c r="AG587" s="220">
        <f t="shared" si="321"/>
        <v>0</v>
      </c>
      <c r="AH587" s="220">
        <f t="shared" si="321"/>
        <v>0</v>
      </c>
      <c r="AI587" s="220">
        <f t="shared" si="321"/>
        <v>0</v>
      </c>
      <c r="AJ587" s="220">
        <f t="shared" si="321"/>
        <v>0</v>
      </c>
      <c r="AK587" s="220">
        <f t="shared" si="321"/>
        <v>0</v>
      </c>
      <c r="AL587" s="220">
        <f t="shared" si="321"/>
        <v>0</v>
      </c>
      <c r="AM587" s="220">
        <f t="shared" si="321"/>
        <v>0</v>
      </c>
      <c r="AN587" s="220">
        <f t="shared" si="321"/>
        <v>0</v>
      </c>
      <c r="AO587" s="220">
        <f t="shared" si="321"/>
        <v>0</v>
      </c>
      <c r="AP587" s="220">
        <f t="shared" si="321"/>
        <v>0</v>
      </c>
    </row>
    <row r="588" spans="1:42" x14ac:dyDescent="0.2">
      <c r="A588" s="38" t="s">
        <v>13</v>
      </c>
      <c r="B588" s="29"/>
      <c r="C588" s="224">
        <f>SUM(C578:C587)</f>
        <v>0</v>
      </c>
      <c r="D588" s="224">
        <f t="shared" ref="D588:AD588" si="322">SUM(D578:D587)</f>
        <v>0</v>
      </c>
      <c r="E588" s="224">
        <f t="shared" si="322"/>
        <v>0</v>
      </c>
      <c r="F588" s="224">
        <f t="shared" si="322"/>
        <v>0</v>
      </c>
      <c r="G588" s="224">
        <f t="shared" si="322"/>
        <v>0</v>
      </c>
      <c r="H588" s="224">
        <f t="shared" si="322"/>
        <v>0</v>
      </c>
      <c r="I588" s="224">
        <f t="shared" si="322"/>
        <v>0</v>
      </c>
      <c r="J588" s="224">
        <f t="shared" si="322"/>
        <v>0</v>
      </c>
      <c r="K588" s="224">
        <f t="shared" si="322"/>
        <v>0</v>
      </c>
      <c r="L588" s="224">
        <f t="shared" si="322"/>
        <v>0</v>
      </c>
      <c r="M588" s="224">
        <f t="shared" si="322"/>
        <v>0</v>
      </c>
      <c r="N588" s="224">
        <f t="shared" si="322"/>
        <v>6559908.454343209</v>
      </c>
      <c r="O588" s="224">
        <f t="shared" si="322"/>
        <v>0</v>
      </c>
      <c r="P588" s="224">
        <f t="shared" si="322"/>
        <v>0</v>
      </c>
      <c r="Q588" s="224">
        <f t="shared" si="322"/>
        <v>0</v>
      </c>
      <c r="R588" s="224">
        <f t="shared" si="322"/>
        <v>0</v>
      </c>
      <c r="S588" s="224">
        <f t="shared" si="322"/>
        <v>0</v>
      </c>
      <c r="T588" s="224">
        <f t="shared" si="322"/>
        <v>0</v>
      </c>
      <c r="U588" s="224">
        <f t="shared" si="322"/>
        <v>0</v>
      </c>
      <c r="V588" s="224">
        <f t="shared" si="322"/>
        <v>0</v>
      </c>
      <c r="W588" s="224">
        <f t="shared" si="322"/>
        <v>0</v>
      </c>
      <c r="X588" s="224">
        <f t="shared" si="322"/>
        <v>0</v>
      </c>
      <c r="Y588" s="224">
        <f t="shared" si="322"/>
        <v>0</v>
      </c>
      <c r="Z588" s="224">
        <f t="shared" si="322"/>
        <v>8822347.5683249868</v>
      </c>
      <c r="AA588" s="224">
        <f t="shared" si="322"/>
        <v>0</v>
      </c>
      <c r="AB588" s="224">
        <f t="shared" si="322"/>
        <v>0</v>
      </c>
      <c r="AC588" s="224">
        <f t="shared" si="322"/>
        <v>0</v>
      </c>
      <c r="AD588" s="224">
        <f t="shared" si="322"/>
        <v>0</v>
      </c>
      <c r="AE588" s="224">
        <f t="shared" ref="AE588" si="323">SUM(AE578:AE587)</f>
        <v>0</v>
      </c>
      <c r="AF588" s="224">
        <f t="shared" ref="AF588:AP588" si="324">SUM(AF578:AF587)</f>
        <v>0</v>
      </c>
      <c r="AG588" s="224">
        <f t="shared" si="324"/>
        <v>0</v>
      </c>
      <c r="AH588" s="224">
        <f t="shared" si="324"/>
        <v>0</v>
      </c>
      <c r="AI588" s="224">
        <f t="shared" si="324"/>
        <v>0</v>
      </c>
      <c r="AJ588" s="224">
        <f t="shared" si="324"/>
        <v>0</v>
      </c>
      <c r="AK588" s="224">
        <f t="shared" si="324"/>
        <v>0</v>
      </c>
      <c r="AL588" s="224">
        <f t="shared" si="324"/>
        <v>0</v>
      </c>
      <c r="AM588" s="224">
        <f t="shared" si="324"/>
        <v>0</v>
      </c>
      <c r="AN588" s="224">
        <f t="shared" si="324"/>
        <v>0</v>
      </c>
      <c r="AO588" s="224">
        <f t="shared" si="324"/>
        <v>0</v>
      </c>
      <c r="AP588" s="224">
        <f t="shared" si="324"/>
        <v>0</v>
      </c>
    </row>
    <row r="589" spans="1:42" x14ac:dyDescent="0.2">
      <c r="A589" s="4" t="s">
        <v>87</v>
      </c>
      <c r="B589" s="21"/>
      <c r="C589" s="21"/>
      <c r="D589" s="21"/>
      <c r="E589" s="21"/>
      <c r="F589" s="21"/>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row>
    <row r="590" spans="1:42" x14ac:dyDescent="0.2">
      <c r="A590" s="4">
        <v>1</v>
      </c>
      <c r="B590" s="240">
        <f t="shared" ref="B590:B599" si="325">SUM(C590:AP590)</f>
        <v>6559908.4543432081</v>
      </c>
      <c r="C590" s="224">
        <f t="shared" ref="C590:AP590" si="326">IF(C$2&lt;=equip1_reserve_freq*$A$578,$B$578/(equip1_reserve_freq),0)</f>
        <v>546659.03786193405</v>
      </c>
      <c r="D590" s="224">
        <f t="shared" si="326"/>
        <v>546659.03786193405</v>
      </c>
      <c r="E590" s="224">
        <f t="shared" si="326"/>
        <v>546659.03786193405</v>
      </c>
      <c r="F590" s="224">
        <f t="shared" si="326"/>
        <v>546659.03786193405</v>
      </c>
      <c r="G590" s="224">
        <f t="shared" si="326"/>
        <v>546659.03786193405</v>
      </c>
      <c r="H590" s="224">
        <f t="shared" si="326"/>
        <v>546659.03786193405</v>
      </c>
      <c r="I590" s="224">
        <f t="shared" si="326"/>
        <v>546659.03786193405</v>
      </c>
      <c r="J590" s="224">
        <f t="shared" si="326"/>
        <v>546659.03786193405</v>
      </c>
      <c r="K590" s="224">
        <f t="shared" si="326"/>
        <v>546659.03786193405</v>
      </c>
      <c r="L590" s="224">
        <f t="shared" si="326"/>
        <v>546659.03786193405</v>
      </c>
      <c r="M590" s="224">
        <f t="shared" si="326"/>
        <v>546659.03786193405</v>
      </c>
      <c r="N590" s="224">
        <f t="shared" si="326"/>
        <v>546659.03786193405</v>
      </c>
      <c r="O590" s="224">
        <f t="shared" si="326"/>
        <v>0</v>
      </c>
      <c r="P590" s="224">
        <f t="shared" si="326"/>
        <v>0</v>
      </c>
      <c r="Q590" s="224">
        <f t="shared" si="326"/>
        <v>0</v>
      </c>
      <c r="R590" s="224">
        <f t="shared" si="326"/>
        <v>0</v>
      </c>
      <c r="S590" s="224">
        <f t="shared" si="326"/>
        <v>0</v>
      </c>
      <c r="T590" s="224">
        <f t="shared" si="326"/>
        <v>0</v>
      </c>
      <c r="U590" s="224">
        <f t="shared" si="326"/>
        <v>0</v>
      </c>
      <c r="V590" s="224">
        <f t="shared" si="326"/>
        <v>0</v>
      </c>
      <c r="W590" s="224">
        <f t="shared" si="326"/>
        <v>0</v>
      </c>
      <c r="X590" s="224">
        <f t="shared" si="326"/>
        <v>0</v>
      </c>
      <c r="Y590" s="224">
        <f t="shared" si="326"/>
        <v>0</v>
      </c>
      <c r="Z590" s="224">
        <f t="shared" si="326"/>
        <v>0</v>
      </c>
      <c r="AA590" s="224">
        <f t="shared" si="326"/>
        <v>0</v>
      </c>
      <c r="AB590" s="224">
        <f t="shared" si="326"/>
        <v>0</v>
      </c>
      <c r="AC590" s="224">
        <f t="shared" si="326"/>
        <v>0</v>
      </c>
      <c r="AD590" s="224">
        <f t="shared" si="326"/>
        <v>0</v>
      </c>
      <c r="AE590" s="224">
        <f t="shared" si="326"/>
        <v>0</v>
      </c>
      <c r="AF590" s="224">
        <f t="shared" si="326"/>
        <v>0</v>
      </c>
      <c r="AG590" s="224">
        <f t="shared" si="326"/>
        <v>0</v>
      </c>
      <c r="AH590" s="224">
        <f t="shared" si="326"/>
        <v>0</v>
      </c>
      <c r="AI590" s="224">
        <f t="shared" si="326"/>
        <v>0</v>
      </c>
      <c r="AJ590" s="224">
        <f t="shared" si="326"/>
        <v>0</v>
      </c>
      <c r="AK590" s="224">
        <f t="shared" si="326"/>
        <v>0</v>
      </c>
      <c r="AL590" s="224">
        <f t="shared" si="326"/>
        <v>0</v>
      </c>
      <c r="AM590" s="224">
        <f t="shared" si="326"/>
        <v>0</v>
      </c>
      <c r="AN590" s="224">
        <f t="shared" si="326"/>
        <v>0</v>
      </c>
      <c r="AO590" s="224">
        <f t="shared" si="326"/>
        <v>0</v>
      </c>
      <c r="AP590" s="224">
        <f t="shared" si="326"/>
        <v>0</v>
      </c>
    </row>
    <row r="591" spans="1:42" x14ac:dyDescent="0.2">
      <c r="A591" s="4">
        <f>A590+1</f>
        <v>2</v>
      </c>
      <c r="B591" s="240">
        <f t="shared" si="325"/>
        <v>8822347.568324985</v>
      </c>
      <c r="C591" s="242">
        <f t="shared" ref="C591:AP591" si="327">IF(AND(C$2&gt;equip1_reserve_freq*$A578,C$2&lt;=equip1_reserve_freq*$A579),$B579/(equip1_reserve_freq),0)</f>
        <v>0</v>
      </c>
      <c r="D591" s="220">
        <f t="shared" si="327"/>
        <v>0</v>
      </c>
      <c r="E591" s="220">
        <f t="shared" si="327"/>
        <v>0</v>
      </c>
      <c r="F591" s="220">
        <f t="shared" si="327"/>
        <v>0</v>
      </c>
      <c r="G591" s="220">
        <f t="shared" si="327"/>
        <v>0</v>
      </c>
      <c r="H591" s="220">
        <f t="shared" si="327"/>
        <v>0</v>
      </c>
      <c r="I591" s="220">
        <f t="shared" si="327"/>
        <v>0</v>
      </c>
      <c r="J591" s="220">
        <f t="shared" si="327"/>
        <v>0</v>
      </c>
      <c r="K591" s="220">
        <f t="shared" si="327"/>
        <v>0</v>
      </c>
      <c r="L591" s="220">
        <f t="shared" si="327"/>
        <v>0</v>
      </c>
      <c r="M591" s="220">
        <f t="shared" si="327"/>
        <v>0</v>
      </c>
      <c r="N591" s="220">
        <f t="shared" si="327"/>
        <v>0</v>
      </c>
      <c r="O591" s="220">
        <f t="shared" si="327"/>
        <v>735195.63069374894</v>
      </c>
      <c r="P591" s="220">
        <f t="shared" si="327"/>
        <v>735195.63069374894</v>
      </c>
      <c r="Q591" s="220">
        <f t="shared" si="327"/>
        <v>735195.63069374894</v>
      </c>
      <c r="R591" s="220">
        <f t="shared" si="327"/>
        <v>735195.63069374894</v>
      </c>
      <c r="S591" s="220">
        <f t="shared" si="327"/>
        <v>735195.63069374894</v>
      </c>
      <c r="T591" s="220">
        <f t="shared" si="327"/>
        <v>735195.63069374894</v>
      </c>
      <c r="U591" s="220">
        <f t="shared" si="327"/>
        <v>735195.63069374894</v>
      </c>
      <c r="V591" s="220">
        <f t="shared" si="327"/>
        <v>735195.63069374894</v>
      </c>
      <c r="W591" s="220">
        <f t="shared" si="327"/>
        <v>735195.63069374894</v>
      </c>
      <c r="X591" s="220">
        <f t="shared" si="327"/>
        <v>735195.63069374894</v>
      </c>
      <c r="Y591" s="220">
        <f t="shared" si="327"/>
        <v>735195.63069374894</v>
      </c>
      <c r="Z591" s="220">
        <f t="shared" si="327"/>
        <v>735195.63069374894</v>
      </c>
      <c r="AA591" s="220">
        <f t="shared" si="327"/>
        <v>0</v>
      </c>
      <c r="AB591" s="220">
        <f t="shared" si="327"/>
        <v>0</v>
      </c>
      <c r="AC591" s="220">
        <f t="shared" si="327"/>
        <v>0</v>
      </c>
      <c r="AD591" s="220">
        <f t="shared" si="327"/>
        <v>0</v>
      </c>
      <c r="AE591" s="220">
        <f t="shared" si="327"/>
        <v>0</v>
      </c>
      <c r="AF591" s="220">
        <f t="shared" si="327"/>
        <v>0</v>
      </c>
      <c r="AG591" s="220">
        <f t="shared" si="327"/>
        <v>0</v>
      </c>
      <c r="AH591" s="220">
        <f t="shared" si="327"/>
        <v>0</v>
      </c>
      <c r="AI591" s="220">
        <f t="shared" si="327"/>
        <v>0</v>
      </c>
      <c r="AJ591" s="220">
        <f t="shared" si="327"/>
        <v>0</v>
      </c>
      <c r="AK591" s="220">
        <f t="shared" si="327"/>
        <v>0</v>
      </c>
      <c r="AL591" s="220">
        <f t="shared" si="327"/>
        <v>0</v>
      </c>
      <c r="AM591" s="220">
        <f t="shared" si="327"/>
        <v>0</v>
      </c>
      <c r="AN591" s="220">
        <f t="shared" si="327"/>
        <v>0</v>
      </c>
      <c r="AO591" s="220">
        <f t="shared" si="327"/>
        <v>0</v>
      </c>
      <c r="AP591" s="220">
        <f t="shared" si="327"/>
        <v>0</v>
      </c>
    </row>
    <row r="592" spans="1:42" x14ac:dyDescent="0.2">
      <c r="A592" s="4">
        <f t="shared" ref="A592:A597" si="328">A591+1</f>
        <v>3</v>
      </c>
      <c r="B592" s="240">
        <f t="shared" si="325"/>
        <v>0</v>
      </c>
      <c r="C592" s="242">
        <f t="shared" ref="C592:AP592" si="329">IF(AND(C$2&gt;equip1_reserve_freq*$A579,C$2&lt;=equip1_reserve_freq*$A580),$B580/(equip1_reserve_freq),0)</f>
        <v>0</v>
      </c>
      <c r="D592" s="220">
        <f t="shared" si="329"/>
        <v>0</v>
      </c>
      <c r="E592" s="220">
        <f t="shared" si="329"/>
        <v>0</v>
      </c>
      <c r="F592" s="220">
        <f t="shared" si="329"/>
        <v>0</v>
      </c>
      <c r="G592" s="220">
        <f t="shared" si="329"/>
        <v>0</v>
      </c>
      <c r="H592" s="220">
        <f t="shared" si="329"/>
        <v>0</v>
      </c>
      <c r="I592" s="220">
        <f t="shared" si="329"/>
        <v>0</v>
      </c>
      <c r="J592" s="220">
        <f t="shared" si="329"/>
        <v>0</v>
      </c>
      <c r="K592" s="220">
        <f t="shared" si="329"/>
        <v>0</v>
      </c>
      <c r="L592" s="220">
        <f t="shared" si="329"/>
        <v>0</v>
      </c>
      <c r="M592" s="220">
        <f t="shared" si="329"/>
        <v>0</v>
      </c>
      <c r="N592" s="220">
        <f t="shared" si="329"/>
        <v>0</v>
      </c>
      <c r="O592" s="220">
        <f t="shared" si="329"/>
        <v>0</v>
      </c>
      <c r="P592" s="220">
        <f t="shared" si="329"/>
        <v>0</v>
      </c>
      <c r="Q592" s="220">
        <f t="shared" si="329"/>
        <v>0</v>
      </c>
      <c r="R592" s="220">
        <f t="shared" si="329"/>
        <v>0</v>
      </c>
      <c r="S592" s="220">
        <f t="shared" si="329"/>
        <v>0</v>
      </c>
      <c r="T592" s="220">
        <f t="shared" si="329"/>
        <v>0</v>
      </c>
      <c r="U592" s="220">
        <f t="shared" si="329"/>
        <v>0</v>
      </c>
      <c r="V592" s="220">
        <f t="shared" si="329"/>
        <v>0</v>
      </c>
      <c r="W592" s="220">
        <f t="shared" si="329"/>
        <v>0</v>
      </c>
      <c r="X592" s="220">
        <f t="shared" si="329"/>
        <v>0</v>
      </c>
      <c r="Y592" s="220">
        <f t="shared" si="329"/>
        <v>0</v>
      </c>
      <c r="Z592" s="220">
        <f t="shared" si="329"/>
        <v>0</v>
      </c>
      <c r="AA592" s="220">
        <f t="shared" si="329"/>
        <v>0</v>
      </c>
      <c r="AB592" s="220">
        <f t="shared" si="329"/>
        <v>0</v>
      </c>
      <c r="AC592" s="220">
        <f t="shared" si="329"/>
        <v>0</v>
      </c>
      <c r="AD592" s="220">
        <f t="shared" si="329"/>
        <v>0</v>
      </c>
      <c r="AE592" s="220">
        <f t="shared" si="329"/>
        <v>0</v>
      </c>
      <c r="AF592" s="220">
        <f t="shared" si="329"/>
        <v>0</v>
      </c>
      <c r="AG592" s="220">
        <f t="shared" si="329"/>
        <v>0</v>
      </c>
      <c r="AH592" s="220">
        <f t="shared" si="329"/>
        <v>0</v>
      </c>
      <c r="AI592" s="220">
        <f t="shared" si="329"/>
        <v>0</v>
      </c>
      <c r="AJ592" s="220">
        <f t="shared" si="329"/>
        <v>0</v>
      </c>
      <c r="AK592" s="220">
        <f t="shared" si="329"/>
        <v>0</v>
      </c>
      <c r="AL592" s="220">
        <f t="shared" si="329"/>
        <v>0</v>
      </c>
      <c r="AM592" s="220">
        <f t="shared" si="329"/>
        <v>0</v>
      </c>
      <c r="AN592" s="220">
        <f t="shared" si="329"/>
        <v>0</v>
      </c>
      <c r="AO592" s="220">
        <f t="shared" si="329"/>
        <v>0</v>
      </c>
      <c r="AP592" s="220">
        <f t="shared" si="329"/>
        <v>0</v>
      </c>
    </row>
    <row r="593" spans="1:42" x14ac:dyDescent="0.2">
      <c r="A593" s="4">
        <f t="shared" si="328"/>
        <v>4</v>
      </c>
      <c r="B593" s="240">
        <f t="shared" si="325"/>
        <v>0</v>
      </c>
      <c r="C593" s="242">
        <f t="shared" ref="C593:AP593" si="330">IF(AND(C$2&gt;equip1_reserve_freq*$A580,C$2&lt;=equip1_reserve_freq*$A581),$B581/(equip1_reserve_freq),0)</f>
        <v>0</v>
      </c>
      <c r="D593" s="220">
        <f t="shared" si="330"/>
        <v>0</v>
      </c>
      <c r="E593" s="220">
        <f t="shared" si="330"/>
        <v>0</v>
      </c>
      <c r="F593" s="220">
        <f t="shared" si="330"/>
        <v>0</v>
      </c>
      <c r="G593" s="220">
        <f t="shared" si="330"/>
        <v>0</v>
      </c>
      <c r="H593" s="220">
        <f t="shared" si="330"/>
        <v>0</v>
      </c>
      <c r="I593" s="220">
        <f t="shared" si="330"/>
        <v>0</v>
      </c>
      <c r="J593" s="220">
        <f t="shared" si="330"/>
        <v>0</v>
      </c>
      <c r="K593" s="220">
        <f t="shared" si="330"/>
        <v>0</v>
      </c>
      <c r="L593" s="220">
        <f t="shared" si="330"/>
        <v>0</v>
      </c>
      <c r="M593" s="220">
        <f t="shared" si="330"/>
        <v>0</v>
      </c>
      <c r="N593" s="220">
        <f t="shared" si="330"/>
        <v>0</v>
      </c>
      <c r="O593" s="220">
        <f t="shared" si="330"/>
        <v>0</v>
      </c>
      <c r="P593" s="220">
        <f t="shared" si="330"/>
        <v>0</v>
      </c>
      <c r="Q593" s="220">
        <f t="shared" si="330"/>
        <v>0</v>
      </c>
      <c r="R593" s="220">
        <f t="shared" si="330"/>
        <v>0</v>
      </c>
      <c r="S593" s="220">
        <f t="shared" si="330"/>
        <v>0</v>
      </c>
      <c r="T593" s="220">
        <f t="shared" si="330"/>
        <v>0</v>
      </c>
      <c r="U593" s="220">
        <f t="shared" si="330"/>
        <v>0</v>
      </c>
      <c r="V593" s="220">
        <f t="shared" si="330"/>
        <v>0</v>
      </c>
      <c r="W593" s="220">
        <f t="shared" si="330"/>
        <v>0</v>
      </c>
      <c r="X593" s="220">
        <f t="shared" si="330"/>
        <v>0</v>
      </c>
      <c r="Y593" s="220">
        <f t="shared" si="330"/>
        <v>0</v>
      </c>
      <c r="Z593" s="220">
        <f t="shared" si="330"/>
        <v>0</v>
      </c>
      <c r="AA593" s="220">
        <f t="shared" si="330"/>
        <v>0</v>
      </c>
      <c r="AB593" s="220">
        <f t="shared" si="330"/>
        <v>0</v>
      </c>
      <c r="AC593" s="220">
        <f t="shared" si="330"/>
        <v>0</v>
      </c>
      <c r="AD593" s="220">
        <f t="shared" si="330"/>
        <v>0</v>
      </c>
      <c r="AE593" s="220">
        <f t="shared" si="330"/>
        <v>0</v>
      </c>
      <c r="AF593" s="220">
        <f t="shared" si="330"/>
        <v>0</v>
      </c>
      <c r="AG593" s="220">
        <f t="shared" si="330"/>
        <v>0</v>
      </c>
      <c r="AH593" s="220">
        <f t="shared" si="330"/>
        <v>0</v>
      </c>
      <c r="AI593" s="220">
        <f t="shared" si="330"/>
        <v>0</v>
      </c>
      <c r="AJ593" s="220">
        <f t="shared" si="330"/>
        <v>0</v>
      </c>
      <c r="AK593" s="220">
        <f t="shared" si="330"/>
        <v>0</v>
      </c>
      <c r="AL593" s="220">
        <f t="shared" si="330"/>
        <v>0</v>
      </c>
      <c r="AM593" s="220">
        <f t="shared" si="330"/>
        <v>0</v>
      </c>
      <c r="AN593" s="220">
        <f t="shared" si="330"/>
        <v>0</v>
      </c>
      <c r="AO593" s="220">
        <f t="shared" si="330"/>
        <v>0</v>
      </c>
      <c r="AP593" s="220">
        <f t="shared" si="330"/>
        <v>0</v>
      </c>
    </row>
    <row r="594" spans="1:42" x14ac:dyDescent="0.2">
      <c r="A594" s="4">
        <f t="shared" si="328"/>
        <v>5</v>
      </c>
      <c r="B594" s="240">
        <f t="shared" si="325"/>
        <v>0</v>
      </c>
      <c r="C594" s="242">
        <f t="shared" ref="C594:AP594" si="331">IF(AND(C$2&gt;equip1_reserve_freq*$A581,C$2&lt;=equip1_reserve_freq*$A582),$B582/(equip1_reserve_freq),0)</f>
        <v>0</v>
      </c>
      <c r="D594" s="220">
        <f t="shared" si="331"/>
        <v>0</v>
      </c>
      <c r="E594" s="220">
        <f t="shared" si="331"/>
        <v>0</v>
      </c>
      <c r="F594" s="220">
        <f t="shared" si="331"/>
        <v>0</v>
      </c>
      <c r="G594" s="220">
        <f t="shared" si="331"/>
        <v>0</v>
      </c>
      <c r="H594" s="220">
        <f t="shared" si="331"/>
        <v>0</v>
      </c>
      <c r="I594" s="220">
        <f t="shared" si="331"/>
        <v>0</v>
      </c>
      <c r="J594" s="220">
        <f t="shared" si="331"/>
        <v>0</v>
      </c>
      <c r="K594" s="220">
        <f t="shared" si="331"/>
        <v>0</v>
      </c>
      <c r="L594" s="220">
        <f t="shared" si="331"/>
        <v>0</v>
      </c>
      <c r="M594" s="220">
        <f t="shared" si="331"/>
        <v>0</v>
      </c>
      <c r="N594" s="220">
        <f t="shared" si="331"/>
        <v>0</v>
      </c>
      <c r="O594" s="220">
        <f t="shared" si="331"/>
        <v>0</v>
      </c>
      <c r="P594" s="220">
        <f t="shared" si="331"/>
        <v>0</v>
      </c>
      <c r="Q594" s="220">
        <f t="shared" si="331"/>
        <v>0</v>
      </c>
      <c r="R594" s="220">
        <f t="shared" si="331"/>
        <v>0</v>
      </c>
      <c r="S594" s="220">
        <f t="shared" si="331"/>
        <v>0</v>
      </c>
      <c r="T594" s="220">
        <f t="shared" si="331"/>
        <v>0</v>
      </c>
      <c r="U594" s="220">
        <f t="shared" si="331"/>
        <v>0</v>
      </c>
      <c r="V594" s="220">
        <f t="shared" si="331"/>
        <v>0</v>
      </c>
      <c r="W594" s="220">
        <f t="shared" si="331"/>
        <v>0</v>
      </c>
      <c r="X594" s="220">
        <f t="shared" si="331"/>
        <v>0</v>
      </c>
      <c r="Y594" s="220">
        <f t="shared" si="331"/>
        <v>0</v>
      </c>
      <c r="Z594" s="220">
        <f t="shared" si="331"/>
        <v>0</v>
      </c>
      <c r="AA594" s="220">
        <f t="shared" si="331"/>
        <v>0</v>
      </c>
      <c r="AB594" s="220">
        <f t="shared" si="331"/>
        <v>0</v>
      </c>
      <c r="AC594" s="220">
        <f t="shared" si="331"/>
        <v>0</v>
      </c>
      <c r="AD594" s="220">
        <f t="shared" si="331"/>
        <v>0</v>
      </c>
      <c r="AE594" s="220">
        <f t="shared" si="331"/>
        <v>0</v>
      </c>
      <c r="AF594" s="220">
        <f t="shared" si="331"/>
        <v>0</v>
      </c>
      <c r="AG594" s="220">
        <f t="shared" si="331"/>
        <v>0</v>
      </c>
      <c r="AH594" s="220">
        <f t="shared" si="331"/>
        <v>0</v>
      </c>
      <c r="AI594" s="220">
        <f t="shared" si="331"/>
        <v>0</v>
      </c>
      <c r="AJ594" s="220">
        <f t="shared" si="331"/>
        <v>0</v>
      </c>
      <c r="AK594" s="220">
        <f t="shared" si="331"/>
        <v>0</v>
      </c>
      <c r="AL594" s="220">
        <f t="shared" si="331"/>
        <v>0</v>
      </c>
      <c r="AM594" s="220">
        <f t="shared" si="331"/>
        <v>0</v>
      </c>
      <c r="AN594" s="220">
        <f t="shared" si="331"/>
        <v>0</v>
      </c>
      <c r="AO594" s="220">
        <f t="shared" si="331"/>
        <v>0</v>
      </c>
      <c r="AP594" s="220">
        <f t="shared" si="331"/>
        <v>0</v>
      </c>
    </row>
    <row r="595" spans="1:42" x14ac:dyDescent="0.2">
      <c r="A595" s="4">
        <f t="shared" si="328"/>
        <v>6</v>
      </c>
      <c r="B595" s="240">
        <f t="shared" si="325"/>
        <v>0</v>
      </c>
      <c r="C595" s="242">
        <f t="shared" ref="C595:AP595" si="332">IF(AND(C$2&gt;equip1_reserve_freq*$A582,C$2&lt;=equip1_reserve_freq*$A583),$B583/(equip1_reserve_freq),0)</f>
        <v>0</v>
      </c>
      <c r="D595" s="220">
        <f t="shared" si="332"/>
        <v>0</v>
      </c>
      <c r="E595" s="220">
        <f t="shared" si="332"/>
        <v>0</v>
      </c>
      <c r="F595" s="220">
        <f t="shared" si="332"/>
        <v>0</v>
      </c>
      <c r="G595" s="220">
        <f t="shared" si="332"/>
        <v>0</v>
      </c>
      <c r="H595" s="220">
        <f t="shared" si="332"/>
        <v>0</v>
      </c>
      <c r="I595" s="220">
        <f t="shared" si="332"/>
        <v>0</v>
      </c>
      <c r="J595" s="220">
        <f t="shared" si="332"/>
        <v>0</v>
      </c>
      <c r="K595" s="220">
        <f t="shared" si="332"/>
        <v>0</v>
      </c>
      <c r="L595" s="220">
        <f t="shared" si="332"/>
        <v>0</v>
      </c>
      <c r="M595" s="220">
        <f t="shared" si="332"/>
        <v>0</v>
      </c>
      <c r="N595" s="220">
        <f t="shared" si="332"/>
        <v>0</v>
      </c>
      <c r="O595" s="220">
        <f t="shared" si="332"/>
        <v>0</v>
      </c>
      <c r="P595" s="220">
        <f t="shared" si="332"/>
        <v>0</v>
      </c>
      <c r="Q595" s="220">
        <f t="shared" si="332"/>
        <v>0</v>
      </c>
      <c r="R595" s="220">
        <f t="shared" si="332"/>
        <v>0</v>
      </c>
      <c r="S595" s="220">
        <f t="shared" si="332"/>
        <v>0</v>
      </c>
      <c r="T595" s="220">
        <f t="shared" si="332"/>
        <v>0</v>
      </c>
      <c r="U595" s="220">
        <f t="shared" si="332"/>
        <v>0</v>
      </c>
      <c r="V595" s="220">
        <f t="shared" si="332"/>
        <v>0</v>
      </c>
      <c r="W595" s="220">
        <f t="shared" si="332"/>
        <v>0</v>
      </c>
      <c r="X595" s="220">
        <f t="shared" si="332"/>
        <v>0</v>
      </c>
      <c r="Y595" s="220">
        <f t="shared" si="332"/>
        <v>0</v>
      </c>
      <c r="Z595" s="220">
        <f t="shared" si="332"/>
        <v>0</v>
      </c>
      <c r="AA595" s="220">
        <f t="shared" si="332"/>
        <v>0</v>
      </c>
      <c r="AB595" s="220">
        <f t="shared" si="332"/>
        <v>0</v>
      </c>
      <c r="AC595" s="220">
        <f t="shared" si="332"/>
        <v>0</v>
      </c>
      <c r="AD595" s="220">
        <f t="shared" si="332"/>
        <v>0</v>
      </c>
      <c r="AE595" s="220">
        <f t="shared" si="332"/>
        <v>0</v>
      </c>
      <c r="AF595" s="220">
        <f t="shared" si="332"/>
        <v>0</v>
      </c>
      <c r="AG595" s="220">
        <f t="shared" si="332"/>
        <v>0</v>
      </c>
      <c r="AH595" s="220">
        <f t="shared" si="332"/>
        <v>0</v>
      </c>
      <c r="AI595" s="220">
        <f t="shared" si="332"/>
        <v>0</v>
      </c>
      <c r="AJ595" s="220">
        <f t="shared" si="332"/>
        <v>0</v>
      </c>
      <c r="AK595" s="220">
        <f t="shared" si="332"/>
        <v>0</v>
      </c>
      <c r="AL595" s="220">
        <f t="shared" si="332"/>
        <v>0</v>
      </c>
      <c r="AM595" s="220">
        <f t="shared" si="332"/>
        <v>0</v>
      </c>
      <c r="AN595" s="220">
        <f t="shared" si="332"/>
        <v>0</v>
      </c>
      <c r="AO595" s="220">
        <f t="shared" si="332"/>
        <v>0</v>
      </c>
      <c r="AP595" s="220">
        <f t="shared" si="332"/>
        <v>0</v>
      </c>
    </row>
    <row r="596" spans="1:42" x14ac:dyDescent="0.2">
      <c r="A596" s="4">
        <f t="shared" si="328"/>
        <v>7</v>
      </c>
      <c r="B596" s="240">
        <f t="shared" si="325"/>
        <v>0</v>
      </c>
      <c r="C596" s="242">
        <f t="shared" ref="C596:AP596" si="333">IF(AND(C$2&gt;equip1_reserve_freq*$A583,C$2&lt;=equip1_reserve_freq*$A584),$B584/(equip1_reserve_freq),0)</f>
        <v>0</v>
      </c>
      <c r="D596" s="220">
        <f t="shared" si="333"/>
        <v>0</v>
      </c>
      <c r="E596" s="220">
        <f t="shared" si="333"/>
        <v>0</v>
      </c>
      <c r="F596" s="220">
        <f t="shared" si="333"/>
        <v>0</v>
      </c>
      <c r="G596" s="220">
        <f t="shared" si="333"/>
        <v>0</v>
      </c>
      <c r="H596" s="220">
        <f t="shared" si="333"/>
        <v>0</v>
      </c>
      <c r="I596" s="220">
        <f t="shared" si="333"/>
        <v>0</v>
      </c>
      <c r="J596" s="220">
        <f t="shared" si="333"/>
        <v>0</v>
      </c>
      <c r="K596" s="220">
        <f t="shared" si="333"/>
        <v>0</v>
      </c>
      <c r="L596" s="220">
        <f t="shared" si="333"/>
        <v>0</v>
      </c>
      <c r="M596" s="220">
        <f t="shared" si="333"/>
        <v>0</v>
      </c>
      <c r="N596" s="220">
        <f t="shared" si="333"/>
        <v>0</v>
      </c>
      <c r="O596" s="220">
        <f t="shared" si="333"/>
        <v>0</v>
      </c>
      <c r="P596" s="220">
        <f t="shared" si="333"/>
        <v>0</v>
      </c>
      <c r="Q596" s="220">
        <f t="shared" si="333"/>
        <v>0</v>
      </c>
      <c r="R596" s="220">
        <f t="shared" si="333"/>
        <v>0</v>
      </c>
      <c r="S596" s="220">
        <f t="shared" si="333"/>
        <v>0</v>
      </c>
      <c r="T596" s="220">
        <f t="shared" si="333"/>
        <v>0</v>
      </c>
      <c r="U596" s="220">
        <f t="shared" si="333"/>
        <v>0</v>
      </c>
      <c r="V596" s="220">
        <f t="shared" si="333"/>
        <v>0</v>
      </c>
      <c r="W596" s="220">
        <f t="shared" si="333"/>
        <v>0</v>
      </c>
      <c r="X596" s="220">
        <f t="shared" si="333"/>
        <v>0</v>
      </c>
      <c r="Y596" s="220">
        <f t="shared" si="333"/>
        <v>0</v>
      </c>
      <c r="Z596" s="220">
        <f t="shared" si="333"/>
        <v>0</v>
      </c>
      <c r="AA596" s="220">
        <f t="shared" si="333"/>
        <v>0</v>
      </c>
      <c r="AB596" s="220">
        <f t="shared" si="333"/>
        <v>0</v>
      </c>
      <c r="AC596" s="220">
        <f t="shared" si="333"/>
        <v>0</v>
      </c>
      <c r="AD596" s="220">
        <f t="shared" si="333"/>
        <v>0</v>
      </c>
      <c r="AE596" s="220">
        <f t="shared" si="333"/>
        <v>0</v>
      </c>
      <c r="AF596" s="220">
        <f t="shared" si="333"/>
        <v>0</v>
      </c>
      <c r="AG596" s="220">
        <f t="shared" si="333"/>
        <v>0</v>
      </c>
      <c r="AH596" s="220">
        <f t="shared" si="333"/>
        <v>0</v>
      </c>
      <c r="AI596" s="220">
        <f t="shared" si="333"/>
        <v>0</v>
      </c>
      <c r="AJ596" s="220">
        <f t="shared" si="333"/>
        <v>0</v>
      </c>
      <c r="AK596" s="220">
        <f t="shared" si="333"/>
        <v>0</v>
      </c>
      <c r="AL596" s="220">
        <f t="shared" si="333"/>
        <v>0</v>
      </c>
      <c r="AM596" s="220">
        <f t="shared" si="333"/>
        <v>0</v>
      </c>
      <c r="AN596" s="220">
        <f t="shared" si="333"/>
        <v>0</v>
      </c>
      <c r="AO596" s="220">
        <f t="shared" si="333"/>
        <v>0</v>
      </c>
      <c r="AP596" s="220">
        <f t="shared" si="333"/>
        <v>0</v>
      </c>
    </row>
    <row r="597" spans="1:42" x14ac:dyDescent="0.2">
      <c r="A597" s="4">
        <f t="shared" si="328"/>
        <v>8</v>
      </c>
      <c r="B597" s="240">
        <f t="shared" si="325"/>
        <v>0</v>
      </c>
      <c r="C597" s="242">
        <f t="shared" ref="C597:AP597" si="334">IF(AND(C$2&gt;equip1_reserve_freq*$A584,C$2&lt;=equip1_reserve_freq*$A585),$B585/(equip1_reserve_freq),0)</f>
        <v>0</v>
      </c>
      <c r="D597" s="220">
        <f t="shared" si="334"/>
        <v>0</v>
      </c>
      <c r="E597" s="220">
        <f t="shared" si="334"/>
        <v>0</v>
      </c>
      <c r="F597" s="220">
        <f t="shared" si="334"/>
        <v>0</v>
      </c>
      <c r="G597" s="220">
        <f t="shared" si="334"/>
        <v>0</v>
      </c>
      <c r="H597" s="220">
        <f t="shared" si="334"/>
        <v>0</v>
      </c>
      <c r="I597" s="220">
        <f t="shared" si="334"/>
        <v>0</v>
      </c>
      <c r="J597" s="220">
        <f t="shared" si="334"/>
        <v>0</v>
      </c>
      <c r="K597" s="220">
        <f t="shared" si="334"/>
        <v>0</v>
      </c>
      <c r="L597" s="220">
        <f t="shared" si="334"/>
        <v>0</v>
      </c>
      <c r="M597" s="220">
        <f t="shared" si="334"/>
        <v>0</v>
      </c>
      <c r="N597" s="220">
        <f t="shared" si="334"/>
        <v>0</v>
      </c>
      <c r="O597" s="220">
        <f t="shared" si="334"/>
        <v>0</v>
      </c>
      <c r="P597" s="220">
        <f t="shared" si="334"/>
        <v>0</v>
      </c>
      <c r="Q597" s="220">
        <f t="shared" si="334"/>
        <v>0</v>
      </c>
      <c r="R597" s="220">
        <f t="shared" si="334"/>
        <v>0</v>
      </c>
      <c r="S597" s="220">
        <f t="shared" si="334"/>
        <v>0</v>
      </c>
      <c r="T597" s="220">
        <f t="shared" si="334"/>
        <v>0</v>
      </c>
      <c r="U597" s="220">
        <f t="shared" si="334"/>
        <v>0</v>
      </c>
      <c r="V597" s="220">
        <f t="shared" si="334"/>
        <v>0</v>
      </c>
      <c r="W597" s="220">
        <f t="shared" si="334"/>
        <v>0</v>
      </c>
      <c r="X597" s="220">
        <f t="shared" si="334"/>
        <v>0</v>
      </c>
      <c r="Y597" s="220">
        <f t="shared" si="334"/>
        <v>0</v>
      </c>
      <c r="Z597" s="220">
        <f t="shared" si="334"/>
        <v>0</v>
      </c>
      <c r="AA597" s="220">
        <f t="shared" si="334"/>
        <v>0</v>
      </c>
      <c r="AB597" s="220">
        <f t="shared" si="334"/>
        <v>0</v>
      </c>
      <c r="AC597" s="220">
        <f t="shared" si="334"/>
        <v>0</v>
      </c>
      <c r="AD597" s="220">
        <f t="shared" si="334"/>
        <v>0</v>
      </c>
      <c r="AE597" s="220">
        <f t="shared" si="334"/>
        <v>0</v>
      </c>
      <c r="AF597" s="220">
        <f t="shared" si="334"/>
        <v>0</v>
      </c>
      <c r="AG597" s="220">
        <f t="shared" si="334"/>
        <v>0</v>
      </c>
      <c r="AH597" s="220">
        <f t="shared" si="334"/>
        <v>0</v>
      </c>
      <c r="AI597" s="220">
        <f t="shared" si="334"/>
        <v>0</v>
      </c>
      <c r="AJ597" s="220">
        <f t="shared" si="334"/>
        <v>0</v>
      </c>
      <c r="AK597" s="220">
        <f t="shared" si="334"/>
        <v>0</v>
      </c>
      <c r="AL597" s="220">
        <f t="shared" si="334"/>
        <v>0</v>
      </c>
      <c r="AM597" s="220">
        <f t="shared" si="334"/>
        <v>0</v>
      </c>
      <c r="AN597" s="220">
        <f t="shared" si="334"/>
        <v>0</v>
      </c>
      <c r="AO597" s="220">
        <f t="shared" si="334"/>
        <v>0</v>
      </c>
      <c r="AP597" s="220">
        <f t="shared" si="334"/>
        <v>0</v>
      </c>
    </row>
    <row r="598" spans="1:42" x14ac:dyDescent="0.2">
      <c r="A598" s="4">
        <f>A597+1</f>
        <v>9</v>
      </c>
      <c r="B598" s="240">
        <f t="shared" si="325"/>
        <v>0</v>
      </c>
      <c r="C598" s="242">
        <f t="shared" ref="C598:AP598" si="335">IF(AND(C$2&gt;equip1_reserve_freq*$A585,C$2&lt;=equip1_reserve_freq*$A586),$B586/(equip1_reserve_freq),0)</f>
        <v>0</v>
      </c>
      <c r="D598" s="220">
        <f t="shared" si="335"/>
        <v>0</v>
      </c>
      <c r="E598" s="220">
        <f t="shared" si="335"/>
        <v>0</v>
      </c>
      <c r="F598" s="220">
        <f t="shared" si="335"/>
        <v>0</v>
      </c>
      <c r="G598" s="220">
        <f t="shared" si="335"/>
        <v>0</v>
      </c>
      <c r="H598" s="220">
        <f t="shared" si="335"/>
        <v>0</v>
      </c>
      <c r="I598" s="220">
        <f t="shared" si="335"/>
        <v>0</v>
      </c>
      <c r="J598" s="220">
        <f t="shared" si="335"/>
        <v>0</v>
      </c>
      <c r="K598" s="220">
        <f t="shared" si="335"/>
        <v>0</v>
      </c>
      <c r="L598" s="220">
        <f t="shared" si="335"/>
        <v>0</v>
      </c>
      <c r="M598" s="220">
        <f t="shared" si="335"/>
        <v>0</v>
      </c>
      <c r="N598" s="220">
        <f t="shared" si="335"/>
        <v>0</v>
      </c>
      <c r="O598" s="220">
        <f t="shared" si="335"/>
        <v>0</v>
      </c>
      <c r="P598" s="220">
        <f t="shared" si="335"/>
        <v>0</v>
      </c>
      <c r="Q598" s="220">
        <f t="shared" si="335"/>
        <v>0</v>
      </c>
      <c r="R598" s="220">
        <f t="shared" si="335"/>
        <v>0</v>
      </c>
      <c r="S598" s="220">
        <f t="shared" si="335"/>
        <v>0</v>
      </c>
      <c r="T598" s="220">
        <f t="shared" si="335"/>
        <v>0</v>
      </c>
      <c r="U598" s="220">
        <f t="shared" si="335"/>
        <v>0</v>
      </c>
      <c r="V598" s="220">
        <f t="shared" si="335"/>
        <v>0</v>
      </c>
      <c r="W598" s="220">
        <f t="shared" si="335"/>
        <v>0</v>
      </c>
      <c r="X598" s="220">
        <f t="shared" si="335"/>
        <v>0</v>
      </c>
      <c r="Y598" s="220">
        <f t="shared" si="335"/>
        <v>0</v>
      </c>
      <c r="Z598" s="220">
        <f t="shared" si="335"/>
        <v>0</v>
      </c>
      <c r="AA598" s="220">
        <f t="shared" si="335"/>
        <v>0</v>
      </c>
      <c r="AB598" s="220">
        <f t="shared" si="335"/>
        <v>0</v>
      </c>
      <c r="AC598" s="220">
        <f t="shared" si="335"/>
        <v>0</v>
      </c>
      <c r="AD598" s="220">
        <f t="shared" si="335"/>
        <v>0</v>
      </c>
      <c r="AE598" s="220">
        <f t="shared" si="335"/>
        <v>0</v>
      </c>
      <c r="AF598" s="220">
        <f t="shared" si="335"/>
        <v>0</v>
      </c>
      <c r="AG598" s="220">
        <f t="shared" si="335"/>
        <v>0</v>
      </c>
      <c r="AH598" s="220">
        <f t="shared" si="335"/>
        <v>0</v>
      </c>
      <c r="AI598" s="220">
        <f t="shared" si="335"/>
        <v>0</v>
      </c>
      <c r="AJ598" s="220">
        <f t="shared" si="335"/>
        <v>0</v>
      </c>
      <c r="AK598" s="220">
        <f t="shared" si="335"/>
        <v>0</v>
      </c>
      <c r="AL598" s="220">
        <f t="shared" si="335"/>
        <v>0</v>
      </c>
      <c r="AM598" s="220">
        <f t="shared" si="335"/>
        <v>0</v>
      </c>
      <c r="AN598" s="220">
        <f t="shared" si="335"/>
        <v>0</v>
      </c>
      <c r="AO598" s="220">
        <f t="shared" si="335"/>
        <v>0</v>
      </c>
      <c r="AP598" s="220">
        <f t="shared" si="335"/>
        <v>0</v>
      </c>
    </row>
    <row r="599" spans="1:42" x14ac:dyDescent="0.2">
      <c r="A599" s="4">
        <f t="shared" ref="A599" si="336">A598+1</f>
        <v>10</v>
      </c>
      <c r="B599" s="240">
        <f t="shared" si="325"/>
        <v>0</v>
      </c>
      <c r="C599" s="241">
        <f t="shared" ref="C599:AP599" si="337">IF(AND(C$2&gt;equip1_reserve_freq*$A586,C$2&lt;=equip1_reserve_freq*$A587),$B587/(equip1_reserve_freq),0)</f>
        <v>0</v>
      </c>
      <c r="D599" s="225">
        <f t="shared" si="337"/>
        <v>0</v>
      </c>
      <c r="E599" s="225">
        <f t="shared" si="337"/>
        <v>0</v>
      </c>
      <c r="F599" s="225">
        <f t="shared" si="337"/>
        <v>0</v>
      </c>
      <c r="G599" s="225">
        <f t="shared" si="337"/>
        <v>0</v>
      </c>
      <c r="H599" s="225">
        <f t="shared" si="337"/>
        <v>0</v>
      </c>
      <c r="I599" s="225">
        <f t="shared" si="337"/>
        <v>0</v>
      </c>
      <c r="J599" s="225">
        <f t="shared" si="337"/>
        <v>0</v>
      </c>
      <c r="K599" s="225">
        <f t="shared" si="337"/>
        <v>0</v>
      </c>
      <c r="L599" s="225">
        <f t="shared" si="337"/>
        <v>0</v>
      </c>
      <c r="M599" s="225">
        <f t="shared" si="337"/>
        <v>0</v>
      </c>
      <c r="N599" s="225">
        <f t="shared" si="337"/>
        <v>0</v>
      </c>
      <c r="O599" s="225">
        <f t="shared" si="337"/>
        <v>0</v>
      </c>
      <c r="P599" s="225">
        <f t="shared" si="337"/>
        <v>0</v>
      </c>
      <c r="Q599" s="225">
        <f t="shared" si="337"/>
        <v>0</v>
      </c>
      <c r="R599" s="225">
        <f t="shared" si="337"/>
        <v>0</v>
      </c>
      <c r="S599" s="225">
        <f t="shared" si="337"/>
        <v>0</v>
      </c>
      <c r="T599" s="225">
        <f t="shared" si="337"/>
        <v>0</v>
      </c>
      <c r="U599" s="225">
        <f t="shared" si="337"/>
        <v>0</v>
      </c>
      <c r="V599" s="225">
        <f t="shared" si="337"/>
        <v>0</v>
      </c>
      <c r="W599" s="225">
        <f t="shared" si="337"/>
        <v>0</v>
      </c>
      <c r="X599" s="225">
        <f t="shared" si="337"/>
        <v>0</v>
      </c>
      <c r="Y599" s="225">
        <f t="shared" si="337"/>
        <v>0</v>
      </c>
      <c r="Z599" s="225">
        <f t="shared" si="337"/>
        <v>0</v>
      </c>
      <c r="AA599" s="225">
        <f t="shared" si="337"/>
        <v>0</v>
      </c>
      <c r="AB599" s="225">
        <f t="shared" si="337"/>
        <v>0</v>
      </c>
      <c r="AC599" s="225">
        <f t="shared" si="337"/>
        <v>0</v>
      </c>
      <c r="AD599" s="225">
        <f t="shared" si="337"/>
        <v>0</v>
      </c>
      <c r="AE599" s="225">
        <f t="shared" si="337"/>
        <v>0</v>
      </c>
      <c r="AF599" s="225">
        <f t="shared" si="337"/>
        <v>0</v>
      </c>
      <c r="AG599" s="225">
        <f t="shared" si="337"/>
        <v>0</v>
      </c>
      <c r="AH599" s="225">
        <f t="shared" si="337"/>
        <v>0</v>
      </c>
      <c r="AI599" s="225">
        <f t="shared" si="337"/>
        <v>0</v>
      </c>
      <c r="AJ599" s="225">
        <f t="shared" si="337"/>
        <v>0</v>
      </c>
      <c r="AK599" s="225">
        <f t="shared" si="337"/>
        <v>0</v>
      </c>
      <c r="AL599" s="225">
        <f t="shared" si="337"/>
        <v>0</v>
      </c>
      <c r="AM599" s="225">
        <f t="shared" si="337"/>
        <v>0</v>
      </c>
      <c r="AN599" s="225">
        <f t="shared" si="337"/>
        <v>0</v>
      </c>
      <c r="AO599" s="225">
        <f t="shared" si="337"/>
        <v>0</v>
      </c>
      <c r="AP599" s="225">
        <f t="shared" si="337"/>
        <v>0</v>
      </c>
    </row>
    <row r="600" spans="1:42" x14ac:dyDescent="0.2">
      <c r="A600" s="38" t="s">
        <v>13</v>
      </c>
      <c r="B600" s="29"/>
      <c r="C600" s="21">
        <f>SUM(C590:C599)</f>
        <v>546659.03786193405</v>
      </c>
      <c r="D600" s="21">
        <f t="shared" ref="D600:AP600" si="338">SUM(D590:D599)</f>
        <v>546659.03786193405</v>
      </c>
      <c r="E600" s="21">
        <f t="shared" si="338"/>
        <v>546659.03786193405</v>
      </c>
      <c r="F600" s="21">
        <f t="shared" si="338"/>
        <v>546659.03786193405</v>
      </c>
      <c r="G600" s="21">
        <f t="shared" si="338"/>
        <v>546659.03786193405</v>
      </c>
      <c r="H600" s="21">
        <f t="shared" si="338"/>
        <v>546659.03786193405</v>
      </c>
      <c r="I600" s="21">
        <f t="shared" si="338"/>
        <v>546659.03786193405</v>
      </c>
      <c r="J600" s="21">
        <f t="shared" si="338"/>
        <v>546659.03786193405</v>
      </c>
      <c r="K600" s="21">
        <f t="shared" si="338"/>
        <v>546659.03786193405</v>
      </c>
      <c r="L600" s="21">
        <f t="shared" si="338"/>
        <v>546659.03786193405</v>
      </c>
      <c r="M600" s="21">
        <f t="shared" si="338"/>
        <v>546659.03786193405</v>
      </c>
      <c r="N600" s="21">
        <f t="shared" si="338"/>
        <v>546659.03786193405</v>
      </c>
      <c r="O600" s="21">
        <f t="shared" si="338"/>
        <v>735195.63069374894</v>
      </c>
      <c r="P600" s="21">
        <f t="shared" si="338"/>
        <v>735195.63069374894</v>
      </c>
      <c r="Q600" s="21">
        <f t="shared" si="338"/>
        <v>735195.63069374894</v>
      </c>
      <c r="R600" s="21">
        <f t="shared" si="338"/>
        <v>735195.63069374894</v>
      </c>
      <c r="S600" s="21">
        <f t="shared" si="338"/>
        <v>735195.63069374894</v>
      </c>
      <c r="T600" s="21">
        <f t="shared" si="338"/>
        <v>735195.63069374894</v>
      </c>
      <c r="U600" s="21">
        <f t="shared" si="338"/>
        <v>735195.63069374894</v>
      </c>
      <c r="V600" s="21">
        <f t="shared" si="338"/>
        <v>735195.63069374894</v>
      </c>
      <c r="W600" s="21">
        <f t="shared" si="338"/>
        <v>735195.63069374894</v>
      </c>
      <c r="X600" s="21">
        <f t="shared" si="338"/>
        <v>735195.63069374894</v>
      </c>
      <c r="Y600" s="21">
        <f t="shared" si="338"/>
        <v>735195.63069374894</v>
      </c>
      <c r="Z600" s="21">
        <f t="shared" si="338"/>
        <v>735195.63069374894</v>
      </c>
      <c r="AA600" s="21">
        <f t="shared" si="338"/>
        <v>0</v>
      </c>
      <c r="AB600" s="21">
        <f t="shared" si="338"/>
        <v>0</v>
      </c>
      <c r="AC600" s="21">
        <f t="shared" si="338"/>
        <v>0</v>
      </c>
      <c r="AD600" s="21">
        <f t="shared" si="338"/>
        <v>0</v>
      </c>
      <c r="AE600" s="21">
        <f t="shared" si="338"/>
        <v>0</v>
      </c>
      <c r="AF600" s="21">
        <f t="shared" si="338"/>
        <v>0</v>
      </c>
      <c r="AG600" s="21">
        <f t="shared" si="338"/>
        <v>0</v>
      </c>
      <c r="AH600" s="21">
        <f t="shared" si="338"/>
        <v>0</v>
      </c>
      <c r="AI600" s="21">
        <f t="shared" si="338"/>
        <v>0</v>
      </c>
      <c r="AJ600" s="21">
        <f t="shared" si="338"/>
        <v>0</v>
      </c>
      <c r="AK600" s="21">
        <f t="shared" si="338"/>
        <v>0</v>
      </c>
      <c r="AL600" s="21">
        <f t="shared" si="338"/>
        <v>0</v>
      </c>
      <c r="AM600" s="21">
        <f t="shared" si="338"/>
        <v>0</v>
      </c>
      <c r="AN600" s="21">
        <f t="shared" si="338"/>
        <v>0</v>
      </c>
      <c r="AO600" s="21">
        <f t="shared" si="338"/>
        <v>0</v>
      </c>
      <c r="AP600" s="21">
        <f t="shared" si="338"/>
        <v>0</v>
      </c>
    </row>
    <row r="601" spans="1:42" x14ac:dyDescent="0.2">
      <c r="B601" s="29"/>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row>
    <row r="602" spans="1:42" x14ac:dyDescent="0.2">
      <c r="A602" s="26" t="s">
        <v>110</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row>
    <row r="603" spans="1:42" x14ac:dyDescent="0.2">
      <c r="A603" s="4" t="s">
        <v>28</v>
      </c>
      <c r="B603" s="224">
        <v>0</v>
      </c>
      <c r="C603" s="224">
        <f>B606</f>
        <v>0</v>
      </c>
      <c r="D603" s="224">
        <f t="shared" ref="D603:AP603" si="339">C606</f>
        <v>0</v>
      </c>
      <c r="E603" s="224">
        <f t="shared" si="339"/>
        <v>0</v>
      </c>
      <c r="F603" s="224">
        <f t="shared" si="339"/>
        <v>0</v>
      </c>
      <c r="G603" s="224">
        <f t="shared" si="339"/>
        <v>0</v>
      </c>
      <c r="H603" s="224">
        <f t="shared" si="339"/>
        <v>0</v>
      </c>
      <c r="I603" s="224">
        <f t="shared" si="339"/>
        <v>0</v>
      </c>
      <c r="J603" s="224">
        <f t="shared" si="339"/>
        <v>0</v>
      </c>
      <c r="K603" s="224">
        <f t="shared" si="339"/>
        <v>0</v>
      </c>
      <c r="L603" s="224">
        <f t="shared" si="339"/>
        <v>0</v>
      </c>
      <c r="M603" s="224">
        <f t="shared" si="339"/>
        <v>0</v>
      </c>
      <c r="N603" s="224">
        <f t="shared" si="339"/>
        <v>0</v>
      </c>
      <c r="O603" s="224">
        <f t="shared" si="339"/>
        <v>0</v>
      </c>
      <c r="P603" s="224">
        <f t="shared" si="339"/>
        <v>0</v>
      </c>
      <c r="Q603" s="224">
        <f t="shared" si="339"/>
        <v>0</v>
      </c>
      <c r="R603" s="224">
        <f t="shared" si="339"/>
        <v>0</v>
      </c>
      <c r="S603" s="224">
        <f t="shared" si="339"/>
        <v>0</v>
      </c>
      <c r="T603" s="224">
        <f t="shared" si="339"/>
        <v>0</v>
      </c>
      <c r="U603" s="224">
        <f t="shared" si="339"/>
        <v>0</v>
      </c>
      <c r="V603" s="224">
        <f t="shared" si="339"/>
        <v>0</v>
      </c>
      <c r="W603" s="224">
        <f t="shared" si="339"/>
        <v>0</v>
      </c>
      <c r="X603" s="224">
        <f t="shared" si="339"/>
        <v>0</v>
      </c>
      <c r="Y603" s="224">
        <f t="shared" si="339"/>
        <v>0</v>
      </c>
      <c r="Z603" s="224">
        <f t="shared" si="339"/>
        <v>0</v>
      </c>
      <c r="AA603" s="224">
        <f t="shared" si="339"/>
        <v>0</v>
      </c>
      <c r="AB603" s="224">
        <f t="shared" si="339"/>
        <v>0</v>
      </c>
      <c r="AC603" s="224">
        <f t="shared" si="339"/>
        <v>0</v>
      </c>
      <c r="AD603" s="224">
        <f t="shared" si="339"/>
        <v>0</v>
      </c>
      <c r="AE603" s="224">
        <f t="shared" si="339"/>
        <v>0</v>
      </c>
      <c r="AF603" s="224">
        <f t="shared" si="339"/>
        <v>0</v>
      </c>
      <c r="AG603" s="224">
        <f t="shared" si="339"/>
        <v>0</v>
      </c>
      <c r="AH603" s="224">
        <f t="shared" si="339"/>
        <v>0</v>
      </c>
      <c r="AI603" s="224">
        <f t="shared" si="339"/>
        <v>0</v>
      </c>
      <c r="AJ603" s="224">
        <f t="shared" si="339"/>
        <v>0</v>
      </c>
      <c r="AK603" s="224">
        <f t="shared" si="339"/>
        <v>0</v>
      </c>
      <c r="AL603" s="224">
        <f t="shared" si="339"/>
        <v>0</v>
      </c>
      <c r="AM603" s="224">
        <f t="shared" si="339"/>
        <v>0</v>
      </c>
      <c r="AN603" s="224">
        <f t="shared" si="339"/>
        <v>0</v>
      </c>
      <c r="AO603" s="224">
        <f t="shared" si="339"/>
        <v>0</v>
      </c>
      <c r="AP603" s="224">
        <f t="shared" si="339"/>
        <v>0</v>
      </c>
    </row>
    <row r="604" spans="1:42" x14ac:dyDescent="0.2">
      <c r="A604" s="4" t="s">
        <v>86</v>
      </c>
      <c r="B604" s="224">
        <v>0</v>
      </c>
      <c r="C604" s="224">
        <f>C632</f>
        <v>0</v>
      </c>
      <c r="D604" s="224">
        <f t="shared" ref="D604:AP604" si="340">D632</f>
        <v>0</v>
      </c>
      <c r="E604" s="224">
        <f t="shared" si="340"/>
        <v>0</v>
      </c>
      <c r="F604" s="224">
        <f t="shared" si="340"/>
        <v>0</v>
      </c>
      <c r="G604" s="224">
        <f t="shared" si="340"/>
        <v>0</v>
      </c>
      <c r="H604" s="224">
        <f t="shared" si="340"/>
        <v>0</v>
      </c>
      <c r="I604" s="224">
        <f t="shared" si="340"/>
        <v>0</v>
      </c>
      <c r="J604" s="224">
        <f t="shared" si="340"/>
        <v>0</v>
      </c>
      <c r="K604" s="224">
        <f t="shared" si="340"/>
        <v>0</v>
      </c>
      <c r="L604" s="224">
        <f t="shared" si="340"/>
        <v>0</v>
      </c>
      <c r="M604" s="224">
        <f t="shared" si="340"/>
        <v>0</v>
      </c>
      <c r="N604" s="224">
        <f t="shared" si="340"/>
        <v>0</v>
      </c>
      <c r="O604" s="224">
        <f t="shared" si="340"/>
        <v>0</v>
      </c>
      <c r="P604" s="224">
        <f t="shared" si="340"/>
        <v>0</v>
      </c>
      <c r="Q604" s="224">
        <f t="shared" si="340"/>
        <v>0</v>
      </c>
      <c r="R604" s="224">
        <f t="shared" si="340"/>
        <v>0</v>
      </c>
      <c r="S604" s="224">
        <f t="shared" si="340"/>
        <v>0</v>
      </c>
      <c r="T604" s="224">
        <f t="shared" si="340"/>
        <v>0</v>
      </c>
      <c r="U604" s="224">
        <f t="shared" si="340"/>
        <v>0</v>
      </c>
      <c r="V604" s="224">
        <f t="shared" si="340"/>
        <v>0</v>
      </c>
      <c r="W604" s="224">
        <f t="shared" si="340"/>
        <v>0</v>
      </c>
      <c r="X604" s="224">
        <f t="shared" si="340"/>
        <v>0</v>
      </c>
      <c r="Y604" s="224">
        <f t="shared" si="340"/>
        <v>0</v>
      </c>
      <c r="Z604" s="224">
        <f t="shared" si="340"/>
        <v>0</v>
      </c>
      <c r="AA604" s="224">
        <f t="shared" si="340"/>
        <v>0</v>
      </c>
      <c r="AB604" s="224">
        <f t="shared" si="340"/>
        <v>0</v>
      </c>
      <c r="AC604" s="224">
        <f t="shared" si="340"/>
        <v>0</v>
      </c>
      <c r="AD604" s="224">
        <f t="shared" si="340"/>
        <v>0</v>
      </c>
      <c r="AE604" s="224">
        <f t="shared" si="340"/>
        <v>0</v>
      </c>
      <c r="AF604" s="224">
        <f t="shared" si="340"/>
        <v>0</v>
      </c>
      <c r="AG604" s="224">
        <f t="shared" si="340"/>
        <v>0</v>
      </c>
      <c r="AH604" s="224">
        <f t="shared" si="340"/>
        <v>0</v>
      </c>
      <c r="AI604" s="224">
        <f t="shared" si="340"/>
        <v>0</v>
      </c>
      <c r="AJ604" s="224">
        <f t="shared" si="340"/>
        <v>0</v>
      </c>
      <c r="AK604" s="224">
        <f t="shared" si="340"/>
        <v>0</v>
      </c>
      <c r="AL604" s="224">
        <f t="shared" si="340"/>
        <v>0</v>
      </c>
      <c r="AM604" s="224">
        <f t="shared" si="340"/>
        <v>0</v>
      </c>
      <c r="AN604" s="224">
        <f t="shared" si="340"/>
        <v>0</v>
      </c>
      <c r="AO604" s="224">
        <f t="shared" si="340"/>
        <v>0</v>
      </c>
      <c r="AP604" s="224">
        <f t="shared" si="340"/>
        <v>0</v>
      </c>
    </row>
    <row r="605" spans="1:42" x14ac:dyDescent="0.2">
      <c r="A605" s="4" t="s">
        <v>35</v>
      </c>
      <c r="B605" s="225">
        <v>0</v>
      </c>
      <c r="C605" s="225">
        <f>-C620</f>
        <v>0</v>
      </c>
      <c r="D605" s="225">
        <f t="shared" ref="D605:AP605" si="341">-D620</f>
        <v>0</v>
      </c>
      <c r="E605" s="225">
        <f t="shared" si="341"/>
        <v>0</v>
      </c>
      <c r="F605" s="225">
        <f t="shared" si="341"/>
        <v>0</v>
      </c>
      <c r="G605" s="225">
        <f t="shared" si="341"/>
        <v>0</v>
      </c>
      <c r="H605" s="225">
        <f t="shared" si="341"/>
        <v>0</v>
      </c>
      <c r="I605" s="225">
        <f t="shared" si="341"/>
        <v>0</v>
      </c>
      <c r="J605" s="225">
        <f t="shared" si="341"/>
        <v>0</v>
      </c>
      <c r="K605" s="225">
        <f t="shared" si="341"/>
        <v>0</v>
      </c>
      <c r="L605" s="225">
        <f t="shared" si="341"/>
        <v>0</v>
      </c>
      <c r="M605" s="225">
        <f t="shared" si="341"/>
        <v>0</v>
      </c>
      <c r="N605" s="225">
        <f t="shared" si="341"/>
        <v>0</v>
      </c>
      <c r="O605" s="225">
        <f t="shared" si="341"/>
        <v>0</v>
      </c>
      <c r="P605" s="225">
        <f t="shared" si="341"/>
        <v>0</v>
      </c>
      <c r="Q605" s="225">
        <f t="shared" si="341"/>
        <v>0</v>
      </c>
      <c r="R605" s="225">
        <f t="shared" si="341"/>
        <v>0</v>
      </c>
      <c r="S605" s="225">
        <f t="shared" si="341"/>
        <v>0</v>
      </c>
      <c r="T605" s="225">
        <f t="shared" si="341"/>
        <v>0</v>
      </c>
      <c r="U605" s="225">
        <f t="shared" si="341"/>
        <v>0</v>
      </c>
      <c r="V605" s="225">
        <f t="shared" si="341"/>
        <v>0</v>
      </c>
      <c r="W605" s="225">
        <f t="shared" si="341"/>
        <v>0</v>
      </c>
      <c r="X605" s="225">
        <f t="shared" si="341"/>
        <v>0</v>
      </c>
      <c r="Y605" s="225">
        <f t="shared" si="341"/>
        <v>0</v>
      </c>
      <c r="Z605" s="225">
        <f t="shared" si="341"/>
        <v>0</v>
      </c>
      <c r="AA605" s="225">
        <f t="shared" si="341"/>
        <v>0</v>
      </c>
      <c r="AB605" s="225">
        <f t="shared" si="341"/>
        <v>0</v>
      </c>
      <c r="AC605" s="225">
        <f t="shared" si="341"/>
        <v>0</v>
      </c>
      <c r="AD605" s="225">
        <f t="shared" si="341"/>
        <v>0</v>
      </c>
      <c r="AE605" s="225">
        <f t="shared" si="341"/>
        <v>0</v>
      </c>
      <c r="AF605" s="225">
        <f t="shared" si="341"/>
        <v>0</v>
      </c>
      <c r="AG605" s="225">
        <f t="shared" si="341"/>
        <v>0</v>
      </c>
      <c r="AH605" s="225">
        <f t="shared" si="341"/>
        <v>0</v>
      </c>
      <c r="AI605" s="225">
        <f t="shared" si="341"/>
        <v>0</v>
      </c>
      <c r="AJ605" s="225">
        <f t="shared" si="341"/>
        <v>0</v>
      </c>
      <c r="AK605" s="225">
        <f t="shared" si="341"/>
        <v>0</v>
      </c>
      <c r="AL605" s="225">
        <f t="shared" si="341"/>
        <v>0</v>
      </c>
      <c r="AM605" s="225">
        <f t="shared" si="341"/>
        <v>0</v>
      </c>
      <c r="AN605" s="225">
        <f t="shared" si="341"/>
        <v>0</v>
      </c>
      <c r="AO605" s="225">
        <f t="shared" si="341"/>
        <v>0</v>
      </c>
      <c r="AP605" s="225">
        <f t="shared" si="341"/>
        <v>0</v>
      </c>
    </row>
    <row r="606" spans="1:42" x14ac:dyDescent="0.2">
      <c r="A606" s="4" t="s">
        <v>31</v>
      </c>
      <c r="B606" s="224">
        <f>SUM(B603:B605)</f>
        <v>0</v>
      </c>
      <c r="C606" s="224">
        <f>SUM(C603:C605)</f>
        <v>0</v>
      </c>
      <c r="D606" s="224">
        <f t="shared" ref="D606:AP606" si="342">SUM(D603:D605)</f>
        <v>0</v>
      </c>
      <c r="E606" s="224">
        <f t="shared" si="342"/>
        <v>0</v>
      </c>
      <c r="F606" s="224">
        <f t="shared" si="342"/>
        <v>0</v>
      </c>
      <c r="G606" s="224">
        <f t="shared" si="342"/>
        <v>0</v>
      </c>
      <c r="H606" s="224">
        <f t="shared" si="342"/>
        <v>0</v>
      </c>
      <c r="I606" s="224">
        <f t="shared" si="342"/>
        <v>0</v>
      </c>
      <c r="J606" s="224">
        <f t="shared" si="342"/>
        <v>0</v>
      </c>
      <c r="K606" s="224">
        <f t="shared" si="342"/>
        <v>0</v>
      </c>
      <c r="L606" s="224">
        <f t="shared" si="342"/>
        <v>0</v>
      </c>
      <c r="M606" s="224">
        <f t="shared" si="342"/>
        <v>0</v>
      </c>
      <c r="N606" s="224">
        <f t="shared" si="342"/>
        <v>0</v>
      </c>
      <c r="O606" s="224">
        <f t="shared" si="342"/>
        <v>0</v>
      </c>
      <c r="P606" s="224">
        <f t="shared" si="342"/>
        <v>0</v>
      </c>
      <c r="Q606" s="224">
        <f t="shared" si="342"/>
        <v>0</v>
      </c>
      <c r="R606" s="224">
        <f t="shared" si="342"/>
        <v>0</v>
      </c>
      <c r="S606" s="224">
        <f t="shared" si="342"/>
        <v>0</v>
      </c>
      <c r="T606" s="224">
        <f t="shared" si="342"/>
        <v>0</v>
      </c>
      <c r="U606" s="224">
        <f t="shared" si="342"/>
        <v>0</v>
      </c>
      <c r="V606" s="224">
        <f t="shared" si="342"/>
        <v>0</v>
      </c>
      <c r="W606" s="224">
        <f t="shared" si="342"/>
        <v>0</v>
      </c>
      <c r="X606" s="224">
        <f t="shared" si="342"/>
        <v>0</v>
      </c>
      <c r="Y606" s="224">
        <f t="shared" si="342"/>
        <v>0</v>
      </c>
      <c r="Z606" s="224">
        <f t="shared" si="342"/>
        <v>0</v>
      </c>
      <c r="AA606" s="224">
        <f t="shared" si="342"/>
        <v>0</v>
      </c>
      <c r="AB606" s="224">
        <f t="shared" si="342"/>
        <v>0</v>
      </c>
      <c r="AC606" s="224">
        <f t="shared" si="342"/>
        <v>0</v>
      </c>
      <c r="AD606" s="224">
        <f t="shared" si="342"/>
        <v>0</v>
      </c>
      <c r="AE606" s="224">
        <f t="shared" si="342"/>
        <v>0</v>
      </c>
      <c r="AF606" s="224">
        <f t="shared" si="342"/>
        <v>0</v>
      </c>
      <c r="AG606" s="224">
        <f t="shared" si="342"/>
        <v>0</v>
      </c>
      <c r="AH606" s="224">
        <f t="shared" si="342"/>
        <v>0</v>
      </c>
      <c r="AI606" s="224">
        <f t="shared" si="342"/>
        <v>0</v>
      </c>
      <c r="AJ606" s="224">
        <f t="shared" si="342"/>
        <v>0</v>
      </c>
      <c r="AK606" s="224">
        <f t="shared" si="342"/>
        <v>0</v>
      </c>
      <c r="AL606" s="224">
        <f t="shared" si="342"/>
        <v>0</v>
      </c>
      <c r="AM606" s="224">
        <f t="shared" si="342"/>
        <v>0</v>
      </c>
      <c r="AN606" s="224">
        <f t="shared" si="342"/>
        <v>0</v>
      </c>
      <c r="AO606" s="224">
        <f t="shared" si="342"/>
        <v>0</v>
      </c>
      <c r="AP606" s="224">
        <f t="shared" si="342"/>
        <v>0</v>
      </c>
    </row>
    <row r="607" spans="1:42" s="127" customFormat="1" x14ac:dyDescent="0.2">
      <c r="A607" s="4"/>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c r="AP607" s="210"/>
    </row>
    <row r="608" spans="1:42" s="127" customFormat="1" x14ac:dyDescent="0.2">
      <c r="A608" s="4" t="s">
        <v>84</v>
      </c>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D608" s="210"/>
      <c r="AE608" s="210"/>
      <c r="AF608" s="210"/>
      <c r="AG608" s="210"/>
      <c r="AH608" s="210"/>
      <c r="AI608" s="210"/>
      <c r="AJ608" s="210"/>
      <c r="AK608" s="210"/>
      <c r="AL608" s="210"/>
      <c r="AM608" s="210"/>
      <c r="AN608" s="210"/>
      <c r="AO608" s="210"/>
      <c r="AP608" s="210"/>
    </row>
    <row r="609" spans="1:42" s="127" customFormat="1" x14ac:dyDescent="0.2">
      <c r="A609" s="4" t="s">
        <v>85</v>
      </c>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D609" s="210"/>
      <c r="AE609" s="210"/>
      <c r="AF609" s="210"/>
      <c r="AG609" s="210"/>
      <c r="AH609" s="210"/>
      <c r="AI609" s="210"/>
      <c r="AJ609" s="210"/>
      <c r="AK609" s="210"/>
      <c r="AL609" s="210"/>
      <c r="AM609" s="210"/>
      <c r="AN609" s="210"/>
      <c r="AO609" s="210"/>
      <c r="AP609" s="210"/>
    </row>
    <row r="610" spans="1:42" x14ac:dyDescent="0.2">
      <c r="A610" s="4">
        <v>1</v>
      </c>
      <c r="B610" s="240">
        <f t="shared" ref="B610:B619" si="343">SUM(C610:AP610)</f>
        <v>0</v>
      </c>
      <c r="C610" s="220">
        <f t="shared" ref="C610:AP610" si="344">IF(C$2&gt;analysis_period,0,IF(C$2=equip2_reserve_freq*$A610,equip2_reserve_cost*system_capacity*1000*(1+inflation_rate/100)^B$2,0))</f>
        <v>0</v>
      </c>
      <c r="D610" s="220">
        <f t="shared" si="344"/>
        <v>0</v>
      </c>
      <c r="E610" s="220">
        <f t="shared" si="344"/>
        <v>0</v>
      </c>
      <c r="F610" s="220">
        <f t="shared" si="344"/>
        <v>0</v>
      </c>
      <c r="G610" s="220">
        <f t="shared" si="344"/>
        <v>0</v>
      </c>
      <c r="H610" s="220">
        <f t="shared" si="344"/>
        <v>0</v>
      </c>
      <c r="I610" s="220">
        <f t="shared" si="344"/>
        <v>0</v>
      </c>
      <c r="J610" s="220">
        <f t="shared" si="344"/>
        <v>0</v>
      </c>
      <c r="K610" s="220">
        <f t="shared" si="344"/>
        <v>0</v>
      </c>
      <c r="L610" s="220">
        <f t="shared" si="344"/>
        <v>0</v>
      </c>
      <c r="M610" s="220">
        <f t="shared" si="344"/>
        <v>0</v>
      </c>
      <c r="N610" s="220">
        <f t="shared" si="344"/>
        <v>0</v>
      </c>
      <c r="O610" s="220">
        <f t="shared" si="344"/>
        <v>0</v>
      </c>
      <c r="P610" s="220">
        <f t="shared" si="344"/>
        <v>0</v>
      </c>
      <c r="Q610" s="220">
        <f t="shared" si="344"/>
        <v>0</v>
      </c>
      <c r="R610" s="220">
        <f t="shared" si="344"/>
        <v>0</v>
      </c>
      <c r="S610" s="220">
        <f t="shared" si="344"/>
        <v>0</v>
      </c>
      <c r="T610" s="220">
        <f t="shared" si="344"/>
        <v>0</v>
      </c>
      <c r="U610" s="220">
        <f t="shared" si="344"/>
        <v>0</v>
      </c>
      <c r="V610" s="220">
        <f t="shared" si="344"/>
        <v>0</v>
      </c>
      <c r="W610" s="220">
        <f t="shared" si="344"/>
        <v>0</v>
      </c>
      <c r="X610" s="220">
        <f t="shared" si="344"/>
        <v>0</v>
      </c>
      <c r="Y610" s="220">
        <f t="shared" si="344"/>
        <v>0</v>
      </c>
      <c r="Z610" s="220">
        <f t="shared" si="344"/>
        <v>0</v>
      </c>
      <c r="AA610" s="220">
        <f t="shared" si="344"/>
        <v>0</v>
      </c>
      <c r="AB610" s="220">
        <f t="shared" si="344"/>
        <v>0</v>
      </c>
      <c r="AC610" s="220">
        <f t="shared" si="344"/>
        <v>0</v>
      </c>
      <c r="AD610" s="220">
        <f t="shared" si="344"/>
        <v>0</v>
      </c>
      <c r="AE610" s="220">
        <f t="shared" si="344"/>
        <v>0</v>
      </c>
      <c r="AF610" s="220">
        <f t="shared" si="344"/>
        <v>0</v>
      </c>
      <c r="AG610" s="220">
        <f t="shared" si="344"/>
        <v>0</v>
      </c>
      <c r="AH610" s="220">
        <f t="shared" si="344"/>
        <v>0</v>
      </c>
      <c r="AI610" s="220">
        <f t="shared" si="344"/>
        <v>0</v>
      </c>
      <c r="AJ610" s="220">
        <f t="shared" si="344"/>
        <v>0</v>
      </c>
      <c r="AK610" s="220">
        <f t="shared" si="344"/>
        <v>0</v>
      </c>
      <c r="AL610" s="220">
        <f t="shared" si="344"/>
        <v>0</v>
      </c>
      <c r="AM610" s="220">
        <f t="shared" si="344"/>
        <v>0</v>
      </c>
      <c r="AN610" s="220">
        <f t="shared" si="344"/>
        <v>0</v>
      </c>
      <c r="AO610" s="220">
        <f t="shared" si="344"/>
        <v>0</v>
      </c>
      <c r="AP610" s="220">
        <f t="shared" si="344"/>
        <v>0</v>
      </c>
    </row>
    <row r="611" spans="1:42" x14ac:dyDescent="0.2">
      <c r="A611" s="4">
        <f>A610+1</f>
        <v>2</v>
      </c>
      <c r="B611" s="240">
        <f t="shared" si="343"/>
        <v>0</v>
      </c>
      <c r="C611" s="220">
        <f t="shared" ref="C611:AP611" si="345">IF(C$2&gt;analysis_period,0,IF(C$2=equip2_reserve_freq*$A611,equip2_reserve_cost*system_capacity*1000*(1+inflation_rate/100)^B$2,0))</f>
        <v>0</v>
      </c>
      <c r="D611" s="220">
        <f t="shared" si="345"/>
        <v>0</v>
      </c>
      <c r="E611" s="220">
        <f t="shared" si="345"/>
        <v>0</v>
      </c>
      <c r="F611" s="220">
        <f t="shared" si="345"/>
        <v>0</v>
      </c>
      <c r="G611" s="220">
        <f t="shared" si="345"/>
        <v>0</v>
      </c>
      <c r="H611" s="220">
        <f t="shared" si="345"/>
        <v>0</v>
      </c>
      <c r="I611" s="220">
        <f t="shared" si="345"/>
        <v>0</v>
      </c>
      <c r="J611" s="220">
        <f t="shared" si="345"/>
        <v>0</v>
      </c>
      <c r="K611" s="220">
        <f t="shared" si="345"/>
        <v>0</v>
      </c>
      <c r="L611" s="220">
        <f t="shared" si="345"/>
        <v>0</v>
      </c>
      <c r="M611" s="220">
        <f t="shared" si="345"/>
        <v>0</v>
      </c>
      <c r="N611" s="220">
        <f t="shared" si="345"/>
        <v>0</v>
      </c>
      <c r="O611" s="220">
        <f t="shared" si="345"/>
        <v>0</v>
      </c>
      <c r="P611" s="220">
        <f t="shared" si="345"/>
        <v>0</v>
      </c>
      <c r="Q611" s="220">
        <f t="shared" si="345"/>
        <v>0</v>
      </c>
      <c r="R611" s="220">
        <f t="shared" si="345"/>
        <v>0</v>
      </c>
      <c r="S611" s="220">
        <f t="shared" si="345"/>
        <v>0</v>
      </c>
      <c r="T611" s="220">
        <f t="shared" si="345"/>
        <v>0</v>
      </c>
      <c r="U611" s="220">
        <f t="shared" si="345"/>
        <v>0</v>
      </c>
      <c r="V611" s="220">
        <f t="shared" si="345"/>
        <v>0</v>
      </c>
      <c r="W611" s="220">
        <f t="shared" si="345"/>
        <v>0</v>
      </c>
      <c r="X611" s="220">
        <f t="shared" si="345"/>
        <v>0</v>
      </c>
      <c r="Y611" s="220">
        <f t="shared" si="345"/>
        <v>0</v>
      </c>
      <c r="Z611" s="220">
        <f t="shared" si="345"/>
        <v>0</v>
      </c>
      <c r="AA611" s="220">
        <f t="shared" si="345"/>
        <v>0</v>
      </c>
      <c r="AB611" s="220">
        <f t="shared" si="345"/>
        <v>0</v>
      </c>
      <c r="AC611" s="220">
        <f t="shared" si="345"/>
        <v>0</v>
      </c>
      <c r="AD611" s="220">
        <f t="shared" si="345"/>
        <v>0</v>
      </c>
      <c r="AE611" s="220">
        <f t="shared" si="345"/>
        <v>0</v>
      </c>
      <c r="AF611" s="220">
        <f t="shared" si="345"/>
        <v>0</v>
      </c>
      <c r="AG611" s="220">
        <f t="shared" si="345"/>
        <v>0</v>
      </c>
      <c r="AH611" s="220">
        <f t="shared" si="345"/>
        <v>0</v>
      </c>
      <c r="AI611" s="220">
        <f t="shared" si="345"/>
        <v>0</v>
      </c>
      <c r="AJ611" s="220">
        <f t="shared" si="345"/>
        <v>0</v>
      </c>
      <c r="AK611" s="220">
        <f t="shared" si="345"/>
        <v>0</v>
      </c>
      <c r="AL611" s="220">
        <f t="shared" si="345"/>
        <v>0</v>
      </c>
      <c r="AM611" s="220">
        <f t="shared" si="345"/>
        <v>0</v>
      </c>
      <c r="AN611" s="220">
        <f t="shared" si="345"/>
        <v>0</v>
      </c>
      <c r="AO611" s="220">
        <f t="shared" si="345"/>
        <v>0</v>
      </c>
      <c r="AP611" s="220">
        <f t="shared" si="345"/>
        <v>0</v>
      </c>
    </row>
    <row r="612" spans="1:42" x14ac:dyDescent="0.2">
      <c r="A612" s="4">
        <f t="shared" ref="A612:A619" si="346">A611+1</f>
        <v>3</v>
      </c>
      <c r="B612" s="240">
        <f t="shared" si="343"/>
        <v>0</v>
      </c>
      <c r="C612" s="220">
        <f t="shared" ref="C612:AP612" si="347">IF(C$2&gt;analysis_period,0,IF(C$2=equip2_reserve_freq*$A612,equip2_reserve_cost*system_capacity*1000*(1+inflation_rate/100)^B$2,0))</f>
        <v>0</v>
      </c>
      <c r="D612" s="220">
        <f t="shared" si="347"/>
        <v>0</v>
      </c>
      <c r="E612" s="220">
        <f t="shared" si="347"/>
        <v>0</v>
      </c>
      <c r="F612" s="220">
        <f t="shared" si="347"/>
        <v>0</v>
      </c>
      <c r="G612" s="220">
        <f t="shared" si="347"/>
        <v>0</v>
      </c>
      <c r="H612" s="220">
        <f t="shared" si="347"/>
        <v>0</v>
      </c>
      <c r="I612" s="220">
        <f t="shared" si="347"/>
        <v>0</v>
      </c>
      <c r="J612" s="220">
        <f t="shared" si="347"/>
        <v>0</v>
      </c>
      <c r="K612" s="220">
        <f t="shared" si="347"/>
        <v>0</v>
      </c>
      <c r="L612" s="220">
        <f t="shared" si="347"/>
        <v>0</v>
      </c>
      <c r="M612" s="220">
        <f t="shared" si="347"/>
        <v>0</v>
      </c>
      <c r="N612" s="220">
        <f t="shared" si="347"/>
        <v>0</v>
      </c>
      <c r="O612" s="220">
        <f t="shared" si="347"/>
        <v>0</v>
      </c>
      <c r="P612" s="220">
        <f t="shared" si="347"/>
        <v>0</v>
      </c>
      <c r="Q612" s="220">
        <f t="shared" si="347"/>
        <v>0</v>
      </c>
      <c r="R612" s="220">
        <f t="shared" si="347"/>
        <v>0</v>
      </c>
      <c r="S612" s="220">
        <f t="shared" si="347"/>
        <v>0</v>
      </c>
      <c r="T612" s="220">
        <f t="shared" si="347"/>
        <v>0</v>
      </c>
      <c r="U612" s="220">
        <f t="shared" si="347"/>
        <v>0</v>
      </c>
      <c r="V612" s="220">
        <f t="shared" si="347"/>
        <v>0</v>
      </c>
      <c r="W612" s="220">
        <f t="shared" si="347"/>
        <v>0</v>
      </c>
      <c r="X612" s="220">
        <f t="shared" si="347"/>
        <v>0</v>
      </c>
      <c r="Y612" s="220">
        <f t="shared" si="347"/>
        <v>0</v>
      </c>
      <c r="Z612" s="220">
        <f t="shared" si="347"/>
        <v>0</v>
      </c>
      <c r="AA612" s="220">
        <f t="shared" si="347"/>
        <v>0</v>
      </c>
      <c r="AB612" s="220">
        <f t="shared" si="347"/>
        <v>0</v>
      </c>
      <c r="AC612" s="220">
        <f t="shared" si="347"/>
        <v>0</v>
      </c>
      <c r="AD612" s="220">
        <f t="shared" si="347"/>
        <v>0</v>
      </c>
      <c r="AE612" s="220">
        <f t="shared" si="347"/>
        <v>0</v>
      </c>
      <c r="AF612" s="220">
        <f t="shared" si="347"/>
        <v>0</v>
      </c>
      <c r="AG612" s="220">
        <f t="shared" si="347"/>
        <v>0</v>
      </c>
      <c r="AH612" s="220">
        <f t="shared" si="347"/>
        <v>0</v>
      </c>
      <c r="AI612" s="220">
        <f t="shared" si="347"/>
        <v>0</v>
      </c>
      <c r="AJ612" s="220">
        <f t="shared" si="347"/>
        <v>0</v>
      </c>
      <c r="AK612" s="220">
        <f t="shared" si="347"/>
        <v>0</v>
      </c>
      <c r="AL612" s="220">
        <f t="shared" si="347"/>
        <v>0</v>
      </c>
      <c r="AM612" s="220">
        <f t="shared" si="347"/>
        <v>0</v>
      </c>
      <c r="AN612" s="220">
        <f t="shared" si="347"/>
        <v>0</v>
      </c>
      <c r="AO612" s="220">
        <f t="shared" si="347"/>
        <v>0</v>
      </c>
      <c r="AP612" s="220">
        <f t="shared" si="347"/>
        <v>0</v>
      </c>
    </row>
    <row r="613" spans="1:42" x14ac:dyDescent="0.2">
      <c r="A613" s="4">
        <f t="shared" si="346"/>
        <v>4</v>
      </c>
      <c r="B613" s="240">
        <f t="shared" si="343"/>
        <v>0</v>
      </c>
      <c r="C613" s="220">
        <f t="shared" ref="C613:AP613" si="348">IF(C$2&gt;analysis_period,0,IF(C$2=equip2_reserve_freq*$A613,equip2_reserve_cost*system_capacity*1000*(1+inflation_rate/100)^B$2,0))</f>
        <v>0</v>
      </c>
      <c r="D613" s="220">
        <f t="shared" si="348"/>
        <v>0</v>
      </c>
      <c r="E613" s="220">
        <f t="shared" si="348"/>
        <v>0</v>
      </c>
      <c r="F613" s="220">
        <f t="shared" si="348"/>
        <v>0</v>
      </c>
      <c r="G613" s="220">
        <f t="shared" si="348"/>
        <v>0</v>
      </c>
      <c r="H613" s="220">
        <f t="shared" si="348"/>
        <v>0</v>
      </c>
      <c r="I613" s="220">
        <f t="shared" si="348"/>
        <v>0</v>
      </c>
      <c r="J613" s="220">
        <f t="shared" si="348"/>
        <v>0</v>
      </c>
      <c r="K613" s="220">
        <f t="shared" si="348"/>
        <v>0</v>
      </c>
      <c r="L613" s="220">
        <f t="shared" si="348"/>
        <v>0</v>
      </c>
      <c r="M613" s="220">
        <f t="shared" si="348"/>
        <v>0</v>
      </c>
      <c r="N613" s="220">
        <f t="shared" si="348"/>
        <v>0</v>
      </c>
      <c r="O613" s="220">
        <f t="shared" si="348"/>
        <v>0</v>
      </c>
      <c r="P613" s="220">
        <f t="shared" si="348"/>
        <v>0</v>
      </c>
      <c r="Q613" s="220">
        <f t="shared" si="348"/>
        <v>0</v>
      </c>
      <c r="R613" s="220">
        <f t="shared" si="348"/>
        <v>0</v>
      </c>
      <c r="S613" s="220">
        <f t="shared" si="348"/>
        <v>0</v>
      </c>
      <c r="T613" s="220">
        <f t="shared" si="348"/>
        <v>0</v>
      </c>
      <c r="U613" s="220">
        <f t="shared" si="348"/>
        <v>0</v>
      </c>
      <c r="V613" s="220">
        <f t="shared" si="348"/>
        <v>0</v>
      </c>
      <c r="W613" s="220">
        <f t="shared" si="348"/>
        <v>0</v>
      </c>
      <c r="X613" s="220">
        <f t="shared" si="348"/>
        <v>0</v>
      </c>
      <c r="Y613" s="220">
        <f t="shared" si="348"/>
        <v>0</v>
      </c>
      <c r="Z613" s="220">
        <f t="shared" si="348"/>
        <v>0</v>
      </c>
      <c r="AA613" s="220">
        <f t="shared" si="348"/>
        <v>0</v>
      </c>
      <c r="AB613" s="220">
        <f t="shared" si="348"/>
        <v>0</v>
      </c>
      <c r="AC613" s="220">
        <f t="shared" si="348"/>
        <v>0</v>
      </c>
      <c r="AD613" s="220">
        <f t="shared" si="348"/>
        <v>0</v>
      </c>
      <c r="AE613" s="220">
        <f t="shared" si="348"/>
        <v>0</v>
      </c>
      <c r="AF613" s="220">
        <f t="shared" si="348"/>
        <v>0</v>
      </c>
      <c r="AG613" s="220">
        <f t="shared" si="348"/>
        <v>0</v>
      </c>
      <c r="AH613" s="220">
        <f t="shared" si="348"/>
        <v>0</v>
      </c>
      <c r="AI613" s="220">
        <f t="shared" si="348"/>
        <v>0</v>
      </c>
      <c r="AJ613" s="220">
        <f t="shared" si="348"/>
        <v>0</v>
      </c>
      <c r="AK613" s="220">
        <f t="shared" si="348"/>
        <v>0</v>
      </c>
      <c r="AL613" s="220">
        <f t="shared" si="348"/>
        <v>0</v>
      </c>
      <c r="AM613" s="220">
        <f t="shared" si="348"/>
        <v>0</v>
      </c>
      <c r="AN613" s="220">
        <f t="shared" si="348"/>
        <v>0</v>
      </c>
      <c r="AO613" s="220">
        <f t="shared" si="348"/>
        <v>0</v>
      </c>
      <c r="AP613" s="220">
        <f t="shared" si="348"/>
        <v>0</v>
      </c>
    </row>
    <row r="614" spans="1:42" x14ac:dyDescent="0.2">
      <c r="A614" s="4">
        <f t="shared" si="346"/>
        <v>5</v>
      </c>
      <c r="B614" s="240">
        <f t="shared" si="343"/>
        <v>0</v>
      </c>
      <c r="C614" s="220">
        <f t="shared" ref="C614:AP614" si="349">IF(C$2&gt;analysis_period,0,IF(C$2=equip2_reserve_freq*$A614,equip2_reserve_cost*system_capacity*1000*(1+inflation_rate/100)^B$2,0))</f>
        <v>0</v>
      </c>
      <c r="D614" s="220">
        <f t="shared" si="349"/>
        <v>0</v>
      </c>
      <c r="E614" s="220">
        <f t="shared" si="349"/>
        <v>0</v>
      </c>
      <c r="F614" s="220">
        <f t="shared" si="349"/>
        <v>0</v>
      </c>
      <c r="G614" s="220">
        <f t="shared" si="349"/>
        <v>0</v>
      </c>
      <c r="H614" s="220">
        <f t="shared" si="349"/>
        <v>0</v>
      </c>
      <c r="I614" s="220">
        <f t="shared" si="349"/>
        <v>0</v>
      </c>
      <c r="J614" s="220">
        <f t="shared" si="349"/>
        <v>0</v>
      </c>
      <c r="K614" s="220">
        <f t="shared" si="349"/>
        <v>0</v>
      </c>
      <c r="L614" s="220">
        <f t="shared" si="349"/>
        <v>0</v>
      </c>
      <c r="M614" s="220">
        <f t="shared" si="349"/>
        <v>0</v>
      </c>
      <c r="N614" s="220">
        <f t="shared" si="349"/>
        <v>0</v>
      </c>
      <c r="O614" s="220">
        <f t="shared" si="349"/>
        <v>0</v>
      </c>
      <c r="P614" s="220">
        <f t="shared" si="349"/>
        <v>0</v>
      </c>
      <c r="Q614" s="220">
        <f t="shared" si="349"/>
        <v>0</v>
      </c>
      <c r="R614" s="220">
        <f t="shared" si="349"/>
        <v>0</v>
      </c>
      <c r="S614" s="220">
        <f t="shared" si="349"/>
        <v>0</v>
      </c>
      <c r="T614" s="220">
        <f t="shared" si="349"/>
        <v>0</v>
      </c>
      <c r="U614" s="220">
        <f t="shared" si="349"/>
        <v>0</v>
      </c>
      <c r="V614" s="220">
        <f t="shared" si="349"/>
        <v>0</v>
      </c>
      <c r="W614" s="220">
        <f t="shared" si="349"/>
        <v>0</v>
      </c>
      <c r="X614" s="220">
        <f t="shared" si="349"/>
        <v>0</v>
      </c>
      <c r="Y614" s="220">
        <f t="shared" si="349"/>
        <v>0</v>
      </c>
      <c r="Z614" s="220">
        <f t="shared" si="349"/>
        <v>0</v>
      </c>
      <c r="AA614" s="220">
        <f t="shared" si="349"/>
        <v>0</v>
      </c>
      <c r="AB614" s="220">
        <f t="shared" si="349"/>
        <v>0</v>
      </c>
      <c r="AC614" s="220">
        <f t="shared" si="349"/>
        <v>0</v>
      </c>
      <c r="AD614" s="220">
        <f t="shared" si="349"/>
        <v>0</v>
      </c>
      <c r="AE614" s="220">
        <f t="shared" si="349"/>
        <v>0</v>
      </c>
      <c r="AF614" s="220">
        <f t="shared" si="349"/>
        <v>0</v>
      </c>
      <c r="AG614" s="220">
        <f t="shared" si="349"/>
        <v>0</v>
      </c>
      <c r="AH614" s="220">
        <f t="shared" si="349"/>
        <v>0</v>
      </c>
      <c r="AI614" s="220">
        <f t="shared" si="349"/>
        <v>0</v>
      </c>
      <c r="AJ614" s="220">
        <f t="shared" si="349"/>
        <v>0</v>
      </c>
      <c r="AK614" s="220">
        <f t="shared" si="349"/>
        <v>0</v>
      </c>
      <c r="AL614" s="220">
        <f t="shared" si="349"/>
        <v>0</v>
      </c>
      <c r="AM614" s="220">
        <f t="shared" si="349"/>
        <v>0</v>
      </c>
      <c r="AN614" s="220">
        <f t="shared" si="349"/>
        <v>0</v>
      </c>
      <c r="AO614" s="220">
        <f t="shared" si="349"/>
        <v>0</v>
      </c>
      <c r="AP614" s="220">
        <f t="shared" si="349"/>
        <v>0</v>
      </c>
    </row>
    <row r="615" spans="1:42" x14ac:dyDescent="0.2">
      <c r="A615" s="4">
        <f t="shared" si="346"/>
        <v>6</v>
      </c>
      <c r="B615" s="240">
        <f t="shared" si="343"/>
        <v>0</v>
      </c>
      <c r="C615" s="220">
        <f t="shared" ref="C615:AP615" si="350">IF(C$2&gt;analysis_period,0,IF(C$2=equip2_reserve_freq*$A615,equip2_reserve_cost*system_capacity*1000*(1+inflation_rate/100)^B$2,0))</f>
        <v>0</v>
      </c>
      <c r="D615" s="220">
        <f t="shared" si="350"/>
        <v>0</v>
      </c>
      <c r="E615" s="220">
        <f t="shared" si="350"/>
        <v>0</v>
      </c>
      <c r="F615" s="220">
        <f t="shared" si="350"/>
        <v>0</v>
      </c>
      <c r="G615" s="220">
        <f t="shared" si="350"/>
        <v>0</v>
      </c>
      <c r="H615" s="220">
        <f t="shared" si="350"/>
        <v>0</v>
      </c>
      <c r="I615" s="220">
        <f t="shared" si="350"/>
        <v>0</v>
      </c>
      <c r="J615" s="220">
        <f t="shared" si="350"/>
        <v>0</v>
      </c>
      <c r="K615" s="220">
        <f t="shared" si="350"/>
        <v>0</v>
      </c>
      <c r="L615" s="220">
        <f t="shared" si="350"/>
        <v>0</v>
      </c>
      <c r="M615" s="220">
        <f t="shared" si="350"/>
        <v>0</v>
      </c>
      <c r="N615" s="220">
        <f t="shared" si="350"/>
        <v>0</v>
      </c>
      <c r="O615" s="220">
        <f t="shared" si="350"/>
        <v>0</v>
      </c>
      <c r="P615" s="220">
        <f t="shared" si="350"/>
        <v>0</v>
      </c>
      <c r="Q615" s="220">
        <f t="shared" si="350"/>
        <v>0</v>
      </c>
      <c r="R615" s="220">
        <f t="shared" si="350"/>
        <v>0</v>
      </c>
      <c r="S615" s="220">
        <f t="shared" si="350"/>
        <v>0</v>
      </c>
      <c r="T615" s="220">
        <f t="shared" si="350"/>
        <v>0</v>
      </c>
      <c r="U615" s="220">
        <f t="shared" si="350"/>
        <v>0</v>
      </c>
      <c r="V615" s="220">
        <f t="shared" si="350"/>
        <v>0</v>
      </c>
      <c r="W615" s="220">
        <f t="shared" si="350"/>
        <v>0</v>
      </c>
      <c r="X615" s="220">
        <f t="shared" si="350"/>
        <v>0</v>
      </c>
      <c r="Y615" s="220">
        <f t="shared" si="350"/>
        <v>0</v>
      </c>
      <c r="Z615" s="220">
        <f t="shared" si="350"/>
        <v>0</v>
      </c>
      <c r="AA615" s="220">
        <f t="shared" si="350"/>
        <v>0</v>
      </c>
      <c r="AB615" s="220">
        <f t="shared" si="350"/>
        <v>0</v>
      </c>
      <c r="AC615" s="220">
        <f t="shared" si="350"/>
        <v>0</v>
      </c>
      <c r="AD615" s="220">
        <f t="shared" si="350"/>
        <v>0</v>
      </c>
      <c r="AE615" s="220">
        <f t="shared" si="350"/>
        <v>0</v>
      </c>
      <c r="AF615" s="220">
        <f t="shared" si="350"/>
        <v>0</v>
      </c>
      <c r="AG615" s="220">
        <f t="shared" si="350"/>
        <v>0</v>
      </c>
      <c r="AH615" s="220">
        <f t="shared" si="350"/>
        <v>0</v>
      </c>
      <c r="AI615" s="220">
        <f t="shared" si="350"/>
        <v>0</v>
      </c>
      <c r="AJ615" s="220">
        <f t="shared" si="350"/>
        <v>0</v>
      </c>
      <c r="AK615" s="220">
        <f t="shared" si="350"/>
        <v>0</v>
      </c>
      <c r="AL615" s="220">
        <f t="shared" si="350"/>
        <v>0</v>
      </c>
      <c r="AM615" s="220">
        <f t="shared" si="350"/>
        <v>0</v>
      </c>
      <c r="AN615" s="220">
        <f t="shared" si="350"/>
        <v>0</v>
      </c>
      <c r="AO615" s="220">
        <f t="shared" si="350"/>
        <v>0</v>
      </c>
      <c r="AP615" s="220">
        <f t="shared" si="350"/>
        <v>0</v>
      </c>
    </row>
    <row r="616" spans="1:42" x14ac:dyDescent="0.2">
      <c r="A616" s="4">
        <f t="shared" si="346"/>
        <v>7</v>
      </c>
      <c r="B616" s="240">
        <f t="shared" si="343"/>
        <v>0</v>
      </c>
      <c r="C616" s="220">
        <f t="shared" ref="C616:AP616" si="351">IF(C$2&gt;analysis_period,0,IF(C$2=equip2_reserve_freq*$A616,equip2_reserve_cost*system_capacity*1000*(1+inflation_rate/100)^B$2,0))</f>
        <v>0</v>
      </c>
      <c r="D616" s="220">
        <f t="shared" si="351"/>
        <v>0</v>
      </c>
      <c r="E616" s="220">
        <f t="shared" si="351"/>
        <v>0</v>
      </c>
      <c r="F616" s="220">
        <f t="shared" si="351"/>
        <v>0</v>
      </c>
      <c r="G616" s="220">
        <f t="shared" si="351"/>
        <v>0</v>
      </c>
      <c r="H616" s="220">
        <f t="shared" si="351"/>
        <v>0</v>
      </c>
      <c r="I616" s="220">
        <f t="shared" si="351"/>
        <v>0</v>
      </c>
      <c r="J616" s="220">
        <f t="shared" si="351"/>
        <v>0</v>
      </c>
      <c r="K616" s="220">
        <f t="shared" si="351"/>
        <v>0</v>
      </c>
      <c r="L616" s="220">
        <f t="shared" si="351"/>
        <v>0</v>
      </c>
      <c r="M616" s="220">
        <f t="shared" si="351"/>
        <v>0</v>
      </c>
      <c r="N616" s="220">
        <f t="shared" si="351"/>
        <v>0</v>
      </c>
      <c r="O616" s="220">
        <f t="shared" si="351"/>
        <v>0</v>
      </c>
      <c r="P616" s="220">
        <f t="shared" si="351"/>
        <v>0</v>
      </c>
      <c r="Q616" s="220">
        <f t="shared" si="351"/>
        <v>0</v>
      </c>
      <c r="R616" s="220">
        <f t="shared" si="351"/>
        <v>0</v>
      </c>
      <c r="S616" s="220">
        <f t="shared" si="351"/>
        <v>0</v>
      </c>
      <c r="T616" s="220">
        <f t="shared" si="351"/>
        <v>0</v>
      </c>
      <c r="U616" s="220">
        <f t="shared" si="351"/>
        <v>0</v>
      </c>
      <c r="V616" s="220">
        <f t="shared" si="351"/>
        <v>0</v>
      </c>
      <c r="W616" s="220">
        <f t="shared" si="351"/>
        <v>0</v>
      </c>
      <c r="X616" s="220">
        <f t="shared" si="351"/>
        <v>0</v>
      </c>
      <c r="Y616" s="220">
        <f t="shared" si="351"/>
        <v>0</v>
      </c>
      <c r="Z616" s="220">
        <f t="shared" si="351"/>
        <v>0</v>
      </c>
      <c r="AA616" s="220">
        <f t="shared" si="351"/>
        <v>0</v>
      </c>
      <c r="AB616" s="220">
        <f t="shared" si="351"/>
        <v>0</v>
      </c>
      <c r="AC616" s="220">
        <f t="shared" si="351"/>
        <v>0</v>
      </c>
      <c r="AD616" s="220">
        <f t="shared" si="351"/>
        <v>0</v>
      </c>
      <c r="AE616" s="220">
        <f t="shared" si="351"/>
        <v>0</v>
      </c>
      <c r="AF616" s="220">
        <f t="shared" si="351"/>
        <v>0</v>
      </c>
      <c r="AG616" s="220">
        <f t="shared" si="351"/>
        <v>0</v>
      </c>
      <c r="AH616" s="220">
        <f t="shared" si="351"/>
        <v>0</v>
      </c>
      <c r="AI616" s="220">
        <f t="shared" si="351"/>
        <v>0</v>
      </c>
      <c r="AJ616" s="220">
        <f t="shared" si="351"/>
        <v>0</v>
      </c>
      <c r="AK616" s="220">
        <f t="shared" si="351"/>
        <v>0</v>
      </c>
      <c r="AL616" s="220">
        <f t="shared" si="351"/>
        <v>0</v>
      </c>
      <c r="AM616" s="220">
        <f t="shared" si="351"/>
        <v>0</v>
      </c>
      <c r="AN616" s="220">
        <f t="shared" si="351"/>
        <v>0</v>
      </c>
      <c r="AO616" s="220">
        <f t="shared" si="351"/>
        <v>0</v>
      </c>
      <c r="AP616" s="220">
        <f t="shared" si="351"/>
        <v>0</v>
      </c>
    </row>
    <row r="617" spans="1:42" x14ac:dyDescent="0.2">
      <c r="A617" s="4">
        <f t="shared" si="346"/>
        <v>8</v>
      </c>
      <c r="B617" s="240">
        <f t="shared" si="343"/>
        <v>0</v>
      </c>
      <c r="C617" s="220">
        <f t="shared" ref="C617:AP617" si="352">IF(C$2&gt;analysis_period,0,IF(C$2=equip2_reserve_freq*$A617,equip2_reserve_cost*system_capacity*1000*(1+inflation_rate/100)^B$2,0))</f>
        <v>0</v>
      </c>
      <c r="D617" s="220">
        <f t="shared" si="352"/>
        <v>0</v>
      </c>
      <c r="E617" s="220">
        <f t="shared" si="352"/>
        <v>0</v>
      </c>
      <c r="F617" s="220">
        <f t="shared" si="352"/>
        <v>0</v>
      </c>
      <c r="G617" s="220">
        <f t="shared" si="352"/>
        <v>0</v>
      </c>
      <c r="H617" s="220">
        <f t="shared" si="352"/>
        <v>0</v>
      </c>
      <c r="I617" s="220">
        <f t="shared" si="352"/>
        <v>0</v>
      </c>
      <c r="J617" s="220">
        <f t="shared" si="352"/>
        <v>0</v>
      </c>
      <c r="K617" s="220">
        <f t="shared" si="352"/>
        <v>0</v>
      </c>
      <c r="L617" s="220">
        <f t="shared" si="352"/>
        <v>0</v>
      </c>
      <c r="M617" s="220">
        <f t="shared" si="352"/>
        <v>0</v>
      </c>
      <c r="N617" s="220">
        <f t="shared" si="352"/>
        <v>0</v>
      </c>
      <c r="O617" s="220">
        <f t="shared" si="352"/>
        <v>0</v>
      </c>
      <c r="P617" s="220">
        <f t="shared" si="352"/>
        <v>0</v>
      </c>
      <c r="Q617" s="220">
        <f t="shared" si="352"/>
        <v>0</v>
      </c>
      <c r="R617" s="220">
        <f t="shared" si="352"/>
        <v>0</v>
      </c>
      <c r="S617" s="220">
        <f t="shared" si="352"/>
        <v>0</v>
      </c>
      <c r="T617" s="220">
        <f t="shared" si="352"/>
        <v>0</v>
      </c>
      <c r="U617" s="220">
        <f t="shared" si="352"/>
        <v>0</v>
      </c>
      <c r="V617" s="220">
        <f t="shared" si="352"/>
        <v>0</v>
      </c>
      <c r="W617" s="220">
        <f t="shared" si="352"/>
        <v>0</v>
      </c>
      <c r="X617" s="220">
        <f t="shared" si="352"/>
        <v>0</v>
      </c>
      <c r="Y617" s="220">
        <f t="shared" si="352"/>
        <v>0</v>
      </c>
      <c r="Z617" s="220">
        <f t="shared" si="352"/>
        <v>0</v>
      </c>
      <c r="AA617" s="220">
        <f t="shared" si="352"/>
        <v>0</v>
      </c>
      <c r="AB617" s="220">
        <f t="shared" si="352"/>
        <v>0</v>
      </c>
      <c r="AC617" s="220">
        <f t="shared" si="352"/>
        <v>0</v>
      </c>
      <c r="AD617" s="220">
        <f t="shared" si="352"/>
        <v>0</v>
      </c>
      <c r="AE617" s="220">
        <f t="shared" si="352"/>
        <v>0</v>
      </c>
      <c r="AF617" s="220">
        <f t="shared" si="352"/>
        <v>0</v>
      </c>
      <c r="AG617" s="220">
        <f t="shared" si="352"/>
        <v>0</v>
      </c>
      <c r="AH617" s="220">
        <f t="shared" si="352"/>
        <v>0</v>
      </c>
      <c r="AI617" s="220">
        <f t="shared" si="352"/>
        <v>0</v>
      </c>
      <c r="AJ617" s="220">
        <f t="shared" si="352"/>
        <v>0</v>
      </c>
      <c r="AK617" s="220">
        <f t="shared" si="352"/>
        <v>0</v>
      </c>
      <c r="AL617" s="220">
        <f t="shared" si="352"/>
        <v>0</v>
      </c>
      <c r="AM617" s="220">
        <f t="shared" si="352"/>
        <v>0</v>
      </c>
      <c r="AN617" s="220">
        <f t="shared" si="352"/>
        <v>0</v>
      </c>
      <c r="AO617" s="220">
        <f t="shared" si="352"/>
        <v>0</v>
      </c>
      <c r="AP617" s="220">
        <f t="shared" si="352"/>
        <v>0</v>
      </c>
    </row>
    <row r="618" spans="1:42" x14ac:dyDescent="0.2">
      <c r="A618" s="4">
        <f>A617+1</f>
        <v>9</v>
      </c>
      <c r="B618" s="240">
        <f t="shared" si="343"/>
        <v>0</v>
      </c>
      <c r="C618" s="220">
        <f t="shared" ref="C618:AP618" si="353">IF(C$2&gt;analysis_period,0,IF(C$2=equip2_reserve_freq*$A618,equip2_reserve_cost*system_capacity*1000*(1+inflation_rate/100)^B$2,0))</f>
        <v>0</v>
      </c>
      <c r="D618" s="220">
        <f t="shared" si="353"/>
        <v>0</v>
      </c>
      <c r="E618" s="220">
        <f t="shared" si="353"/>
        <v>0</v>
      </c>
      <c r="F618" s="220">
        <f t="shared" si="353"/>
        <v>0</v>
      </c>
      <c r="G618" s="220">
        <f t="shared" si="353"/>
        <v>0</v>
      </c>
      <c r="H618" s="220">
        <f t="shared" si="353"/>
        <v>0</v>
      </c>
      <c r="I618" s="220">
        <f t="shared" si="353"/>
        <v>0</v>
      </c>
      <c r="J618" s="220">
        <f t="shared" si="353"/>
        <v>0</v>
      </c>
      <c r="K618" s="220">
        <f t="shared" si="353"/>
        <v>0</v>
      </c>
      <c r="L618" s="220">
        <f t="shared" si="353"/>
        <v>0</v>
      </c>
      <c r="M618" s="220">
        <f t="shared" si="353"/>
        <v>0</v>
      </c>
      <c r="N618" s="220">
        <f t="shared" si="353"/>
        <v>0</v>
      </c>
      <c r="O618" s="220">
        <f t="shared" si="353"/>
        <v>0</v>
      </c>
      <c r="P618" s="220">
        <f t="shared" si="353"/>
        <v>0</v>
      </c>
      <c r="Q618" s="220">
        <f t="shared" si="353"/>
        <v>0</v>
      </c>
      <c r="R618" s="220">
        <f t="shared" si="353"/>
        <v>0</v>
      </c>
      <c r="S618" s="220">
        <f t="shared" si="353"/>
        <v>0</v>
      </c>
      <c r="T618" s="220">
        <f t="shared" si="353"/>
        <v>0</v>
      </c>
      <c r="U618" s="220">
        <f t="shared" si="353"/>
        <v>0</v>
      </c>
      <c r="V618" s="220">
        <f t="shared" si="353"/>
        <v>0</v>
      </c>
      <c r="W618" s="220">
        <f t="shared" si="353"/>
        <v>0</v>
      </c>
      <c r="X618" s="220">
        <f t="shared" si="353"/>
        <v>0</v>
      </c>
      <c r="Y618" s="220">
        <f t="shared" si="353"/>
        <v>0</v>
      </c>
      <c r="Z618" s="220">
        <f t="shared" si="353"/>
        <v>0</v>
      </c>
      <c r="AA618" s="220">
        <f t="shared" si="353"/>
        <v>0</v>
      </c>
      <c r="AB618" s="220">
        <f t="shared" si="353"/>
        <v>0</v>
      </c>
      <c r="AC618" s="220">
        <f t="shared" si="353"/>
        <v>0</v>
      </c>
      <c r="AD618" s="220">
        <f t="shared" si="353"/>
        <v>0</v>
      </c>
      <c r="AE618" s="220">
        <f t="shared" si="353"/>
        <v>0</v>
      </c>
      <c r="AF618" s="220">
        <f t="shared" si="353"/>
        <v>0</v>
      </c>
      <c r="AG618" s="220">
        <f t="shared" si="353"/>
        <v>0</v>
      </c>
      <c r="AH618" s="220">
        <f t="shared" si="353"/>
        <v>0</v>
      </c>
      <c r="AI618" s="220">
        <f t="shared" si="353"/>
        <v>0</v>
      </c>
      <c r="AJ618" s="220">
        <f t="shared" si="353"/>
        <v>0</v>
      </c>
      <c r="AK618" s="220">
        <f t="shared" si="353"/>
        <v>0</v>
      </c>
      <c r="AL618" s="220">
        <f t="shared" si="353"/>
        <v>0</v>
      </c>
      <c r="AM618" s="220">
        <f t="shared" si="353"/>
        <v>0</v>
      </c>
      <c r="AN618" s="220">
        <f t="shared" si="353"/>
        <v>0</v>
      </c>
      <c r="AO618" s="220">
        <f t="shared" si="353"/>
        <v>0</v>
      </c>
      <c r="AP618" s="220">
        <f t="shared" si="353"/>
        <v>0</v>
      </c>
    </row>
    <row r="619" spans="1:42" x14ac:dyDescent="0.2">
      <c r="A619" s="4">
        <f t="shared" si="346"/>
        <v>10</v>
      </c>
      <c r="B619" s="240">
        <f t="shared" si="343"/>
        <v>0</v>
      </c>
      <c r="C619" s="220">
        <f t="shared" ref="C619:AP619" si="354">IF(C$2&gt;analysis_period,0,IF(C$2=equip2_reserve_freq*$A619,equip2_reserve_cost*system_capacity*1000*(1+inflation_rate/100)^B$2,0))</f>
        <v>0</v>
      </c>
      <c r="D619" s="220">
        <f t="shared" si="354"/>
        <v>0</v>
      </c>
      <c r="E619" s="220">
        <f t="shared" si="354"/>
        <v>0</v>
      </c>
      <c r="F619" s="220">
        <f t="shared" si="354"/>
        <v>0</v>
      </c>
      <c r="G619" s="220">
        <f t="shared" si="354"/>
        <v>0</v>
      </c>
      <c r="H619" s="220">
        <f t="shared" si="354"/>
        <v>0</v>
      </c>
      <c r="I619" s="220">
        <f t="shared" si="354"/>
        <v>0</v>
      </c>
      <c r="J619" s="220">
        <f t="shared" si="354"/>
        <v>0</v>
      </c>
      <c r="K619" s="220">
        <f t="shared" si="354"/>
        <v>0</v>
      </c>
      <c r="L619" s="220">
        <f t="shared" si="354"/>
        <v>0</v>
      </c>
      <c r="M619" s="220">
        <f t="shared" si="354"/>
        <v>0</v>
      </c>
      <c r="N619" s="220">
        <f t="shared" si="354"/>
        <v>0</v>
      </c>
      <c r="O619" s="220">
        <f t="shared" si="354"/>
        <v>0</v>
      </c>
      <c r="P619" s="220">
        <f t="shared" si="354"/>
        <v>0</v>
      </c>
      <c r="Q619" s="220">
        <f t="shared" si="354"/>
        <v>0</v>
      </c>
      <c r="R619" s="220">
        <f t="shared" si="354"/>
        <v>0</v>
      </c>
      <c r="S619" s="220">
        <f t="shared" si="354"/>
        <v>0</v>
      </c>
      <c r="T619" s="220">
        <f t="shared" si="354"/>
        <v>0</v>
      </c>
      <c r="U619" s="220">
        <f t="shared" si="354"/>
        <v>0</v>
      </c>
      <c r="V619" s="220">
        <f t="shared" si="354"/>
        <v>0</v>
      </c>
      <c r="W619" s="220">
        <f t="shared" si="354"/>
        <v>0</v>
      </c>
      <c r="X619" s="220">
        <f t="shared" si="354"/>
        <v>0</v>
      </c>
      <c r="Y619" s="220">
        <f t="shared" si="354"/>
        <v>0</v>
      </c>
      <c r="Z619" s="220">
        <f t="shared" si="354"/>
        <v>0</v>
      </c>
      <c r="AA619" s="220">
        <f t="shared" si="354"/>
        <v>0</v>
      </c>
      <c r="AB619" s="220">
        <f t="shared" si="354"/>
        <v>0</v>
      </c>
      <c r="AC619" s="220">
        <f t="shared" si="354"/>
        <v>0</v>
      </c>
      <c r="AD619" s="220">
        <f t="shared" si="354"/>
        <v>0</v>
      </c>
      <c r="AE619" s="220">
        <f t="shared" si="354"/>
        <v>0</v>
      </c>
      <c r="AF619" s="220">
        <f t="shared" si="354"/>
        <v>0</v>
      </c>
      <c r="AG619" s="220">
        <f t="shared" si="354"/>
        <v>0</v>
      </c>
      <c r="AH619" s="220">
        <f t="shared" si="354"/>
        <v>0</v>
      </c>
      <c r="AI619" s="220">
        <f t="shared" si="354"/>
        <v>0</v>
      </c>
      <c r="AJ619" s="220">
        <f t="shared" si="354"/>
        <v>0</v>
      </c>
      <c r="AK619" s="220">
        <f t="shared" si="354"/>
        <v>0</v>
      </c>
      <c r="AL619" s="220">
        <f t="shared" si="354"/>
        <v>0</v>
      </c>
      <c r="AM619" s="220">
        <f t="shared" si="354"/>
        <v>0</v>
      </c>
      <c r="AN619" s="220">
        <f t="shared" si="354"/>
        <v>0</v>
      </c>
      <c r="AO619" s="220">
        <f t="shared" si="354"/>
        <v>0</v>
      </c>
      <c r="AP619" s="220">
        <f t="shared" si="354"/>
        <v>0</v>
      </c>
    </row>
    <row r="620" spans="1:42" x14ac:dyDescent="0.2">
      <c r="A620" s="38" t="s">
        <v>13</v>
      </c>
      <c r="B620" s="29"/>
      <c r="C620" s="224">
        <f>SUM(C610:C619)</f>
        <v>0</v>
      </c>
      <c r="D620" s="224">
        <f t="shared" ref="D620:AP620" si="355">SUM(D610:D619)</f>
        <v>0</v>
      </c>
      <c r="E620" s="224">
        <f t="shared" si="355"/>
        <v>0</v>
      </c>
      <c r="F620" s="224">
        <f t="shared" si="355"/>
        <v>0</v>
      </c>
      <c r="G620" s="224">
        <f t="shared" si="355"/>
        <v>0</v>
      </c>
      <c r="H620" s="224">
        <f t="shared" si="355"/>
        <v>0</v>
      </c>
      <c r="I620" s="224">
        <f t="shared" si="355"/>
        <v>0</v>
      </c>
      <c r="J620" s="224">
        <f t="shared" si="355"/>
        <v>0</v>
      </c>
      <c r="K620" s="224">
        <f t="shared" si="355"/>
        <v>0</v>
      </c>
      <c r="L620" s="224">
        <f t="shared" si="355"/>
        <v>0</v>
      </c>
      <c r="M620" s="224">
        <f t="shared" si="355"/>
        <v>0</v>
      </c>
      <c r="N620" s="224">
        <f t="shared" si="355"/>
        <v>0</v>
      </c>
      <c r="O620" s="224">
        <f t="shared" si="355"/>
        <v>0</v>
      </c>
      <c r="P620" s="224">
        <f t="shared" si="355"/>
        <v>0</v>
      </c>
      <c r="Q620" s="224">
        <f t="shared" si="355"/>
        <v>0</v>
      </c>
      <c r="R620" s="224">
        <f t="shared" si="355"/>
        <v>0</v>
      </c>
      <c r="S620" s="224">
        <f t="shared" si="355"/>
        <v>0</v>
      </c>
      <c r="T620" s="224">
        <f t="shared" si="355"/>
        <v>0</v>
      </c>
      <c r="U620" s="224">
        <f t="shared" si="355"/>
        <v>0</v>
      </c>
      <c r="V620" s="224">
        <f t="shared" si="355"/>
        <v>0</v>
      </c>
      <c r="W620" s="224">
        <f t="shared" si="355"/>
        <v>0</v>
      </c>
      <c r="X620" s="224">
        <f t="shared" si="355"/>
        <v>0</v>
      </c>
      <c r="Y620" s="224">
        <f t="shared" si="355"/>
        <v>0</v>
      </c>
      <c r="Z620" s="224">
        <f t="shared" si="355"/>
        <v>0</v>
      </c>
      <c r="AA620" s="224">
        <f t="shared" si="355"/>
        <v>0</v>
      </c>
      <c r="AB620" s="224">
        <f t="shared" si="355"/>
        <v>0</v>
      </c>
      <c r="AC620" s="224">
        <f t="shared" si="355"/>
        <v>0</v>
      </c>
      <c r="AD620" s="224">
        <f t="shared" si="355"/>
        <v>0</v>
      </c>
      <c r="AE620" s="224">
        <f t="shared" si="355"/>
        <v>0</v>
      </c>
      <c r="AF620" s="224">
        <f t="shared" si="355"/>
        <v>0</v>
      </c>
      <c r="AG620" s="224">
        <f t="shared" si="355"/>
        <v>0</v>
      </c>
      <c r="AH620" s="224">
        <f t="shared" si="355"/>
        <v>0</v>
      </c>
      <c r="AI620" s="224">
        <f t="shared" si="355"/>
        <v>0</v>
      </c>
      <c r="AJ620" s="224">
        <f t="shared" si="355"/>
        <v>0</v>
      </c>
      <c r="AK620" s="224">
        <f t="shared" si="355"/>
        <v>0</v>
      </c>
      <c r="AL620" s="224">
        <f t="shared" si="355"/>
        <v>0</v>
      </c>
      <c r="AM620" s="224">
        <f t="shared" si="355"/>
        <v>0</v>
      </c>
      <c r="AN620" s="224">
        <f t="shared" si="355"/>
        <v>0</v>
      </c>
      <c r="AO620" s="224">
        <f t="shared" si="355"/>
        <v>0</v>
      </c>
      <c r="AP620" s="224">
        <f t="shared" si="355"/>
        <v>0</v>
      </c>
    </row>
    <row r="621" spans="1:42" s="127" customFormat="1" x14ac:dyDescent="0.2">
      <c r="A621" s="4" t="s">
        <v>87</v>
      </c>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D621" s="210"/>
      <c r="AE621" s="210"/>
      <c r="AF621" s="210"/>
      <c r="AG621" s="210"/>
      <c r="AH621" s="210"/>
      <c r="AI621" s="210"/>
      <c r="AJ621" s="210"/>
      <c r="AK621" s="210"/>
      <c r="AL621" s="210"/>
      <c r="AM621" s="210"/>
      <c r="AN621" s="210"/>
      <c r="AO621" s="210"/>
      <c r="AP621" s="210"/>
    </row>
    <row r="622" spans="1:42" x14ac:dyDescent="0.2">
      <c r="A622" s="4">
        <v>1</v>
      </c>
      <c r="B622" s="245">
        <f t="shared" ref="B622:B631" si="356">SUM(C622:AP622)</f>
        <v>0</v>
      </c>
      <c r="C622" s="220">
        <f t="shared" ref="C622:AP622" si="357">IF(C$2&lt;=equip2_reserve_freq*$A$610,$B$610/(equip2_reserve_freq),0)</f>
        <v>0</v>
      </c>
      <c r="D622" s="220">
        <f t="shared" si="357"/>
        <v>0</v>
      </c>
      <c r="E622" s="220">
        <f t="shared" si="357"/>
        <v>0</v>
      </c>
      <c r="F622" s="220">
        <f t="shared" si="357"/>
        <v>0</v>
      </c>
      <c r="G622" s="220">
        <f t="shared" si="357"/>
        <v>0</v>
      </c>
      <c r="H622" s="220">
        <f t="shared" si="357"/>
        <v>0</v>
      </c>
      <c r="I622" s="220">
        <f t="shared" si="357"/>
        <v>0</v>
      </c>
      <c r="J622" s="220">
        <f t="shared" si="357"/>
        <v>0</v>
      </c>
      <c r="K622" s="220">
        <f t="shared" si="357"/>
        <v>0</v>
      </c>
      <c r="L622" s="220">
        <f t="shared" si="357"/>
        <v>0</v>
      </c>
      <c r="M622" s="220">
        <f t="shared" si="357"/>
        <v>0</v>
      </c>
      <c r="N622" s="220">
        <f t="shared" si="357"/>
        <v>0</v>
      </c>
      <c r="O622" s="220">
        <f t="shared" si="357"/>
        <v>0</v>
      </c>
      <c r="P622" s="220">
        <f t="shared" si="357"/>
        <v>0</v>
      </c>
      <c r="Q622" s="220">
        <f t="shared" si="357"/>
        <v>0</v>
      </c>
      <c r="R622" s="220">
        <f t="shared" si="357"/>
        <v>0</v>
      </c>
      <c r="S622" s="220">
        <f t="shared" si="357"/>
        <v>0</v>
      </c>
      <c r="T622" s="220">
        <f t="shared" si="357"/>
        <v>0</v>
      </c>
      <c r="U622" s="220">
        <f t="shared" si="357"/>
        <v>0</v>
      </c>
      <c r="V622" s="220">
        <f t="shared" si="357"/>
        <v>0</v>
      </c>
      <c r="W622" s="220">
        <f t="shared" si="357"/>
        <v>0</v>
      </c>
      <c r="X622" s="220">
        <f t="shared" si="357"/>
        <v>0</v>
      </c>
      <c r="Y622" s="220">
        <f t="shared" si="357"/>
        <v>0</v>
      </c>
      <c r="Z622" s="220">
        <f t="shared" si="357"/>
        <v>0</v>
      </c>
      <c r="AA622" s="220">
        <f t="shared" si="357"/>
        <v>0</v>
      </c>
      <c r="AB622" s="220">
        <f t="shared" si="357"/>
        <v>0</v>
      </c>
      <c r="AC622" s="220">
        <f t="shared" si="357"/>
        <v>0</v>
      </c>
      <c r="AD622" s="220">
        <f t="shared" si="357"/>
        <v>0</v>
      </c>
      <c r="AE622" s="220">
        <f t="shared" si="357"/>
        <v>0</v>
      </c>
      <c r="AF622" s="220">
        <f t="shared" si="357"/>
        <v>0</v>
      </c>
      <c r="AG622" s="220">
        <f t="shared" si="357"/>
        <v>0</v>
      </c>
      <c r="AH622" s="220">
        <f t="shared" si="357"/>
        <v>0</v>
      </c>
      <c r="AI622" s="220">
        <f t="shared" si="357"/>
        <v>0</v>
      </c>
      <c r="AJ622" s="220">
        <f t="shared" si="357"/>
        <v>0</v>
      </c>
      <c r="AK622" s="220">
        <f t="shared" si="357"/>
        <v>0</v>
      </c>
      <c r="AL622" s="220">
        <f t="shared" si="357"/>
        <v>0</v>
      </c>
      <c r="AM622" s="220">
        <f t="shared" si="357"/>
        <v>0</v>
      </c>
      <c r="AN622" s="220">
        <f t="shared" si="357"/>
        <v>0</v>
      </c>
      <c r="AO622" s="220">
        <f t="shared" si="357"/>
        <v>0</v>
      </c>
      <c r="AP622" s="220">
        <f t="shared" si="357"/>
        <v>0</v>
      </c>
    </row>
    <row r="623" spans="1:42" x14ac:dyDescent="0.2">
      <c r="A623" s="4">
        <f>A622+1</f>
        <v>2</v>
      </c>
      <c r="B623" s="245">
        <f t="shared" si="356"/>
        <v>0</v>
      </c>
      <c r="C623" s="220">
        <f t="shared" ref="C623:AP623" si="358">IF(AND(C$2&gt;equip2_reserve_freq*$A610,C$2&lt;=equip2_reserve_freq*$A611),$B611/(equip2_reserve_freq),0)</f>
        <v>0</v>
      </c>
      <c r="D623" s="220">
        <f t="shared" si="358"/>
        <v>0</v>
      </c>
      <c r="E623" s="220">
        <f t="shared" si="358"/>
        <v>0</v>
      </c>
      <c r="F623" s="220">
        <f t="shared" si="358"/>
        <v>0</v>
      </c>
      <c r="G623" s="220">
        <f t="shared" si="358"/>
        <v>0</v>
      </c>
      <c r="H623" s="220">
        <f t="shared" si="358"/>
        <v>0</v>
      </c>
      <c r="I623" s="220">
        <f t="shared" si="358"/>
        <v>0</v>
      </c>
      <c r="J623" s="220">
        <f t="shared" si="358"/>
        <v>0</v>
      </c>
      <c r="K623" s="220">
        <f t="shared" si="358"/>
        <v>0</v>
      </c>
      <c r="L623" s="220">
        <f t="shared" si="358"/>
        <v>0</v>
      </c>
      <c r="M623" s="220">
        <f t="shared" si="358"/>
        <v>0</v>
      </c>
      <c r="N623" s="220">
        <f t="shared" si="358"/>
        <v>0</v>
      </c>
      <c r="O623" s="220">
        <f t="shared" si="358"/>
        <v>0</v>
      </c>
      <c r="P623" s="220">
        <f t="shared" si="358"/>
        <v>0</v>
      </c>
      <c r="Q623" s="220">
        <f t="shared" si="358"/>
        <v>0</v>
      </c>
      <c r="R623" s="220">
        <f t="shared" si="358"/>
        <v>0</v>
      </c>
      <c r="S623" s="220">
        <f t="shared" si="358"/>
        <v>0</v>
      </c>
      <c r="T623" s="220">
        <f t="shared" si="358"/>
        <v>0</v>
      </c>
      <c r="U623" s="220">
        <f t="shared" si="358"/>
        <v>0</v>
      </c>
      <c r="V623" s="220">
        <f t="shared" si="358"/>
        <v>0</v>
      </c>
      <c r="W623" s="220">
        <f t="shared" si="358"/>
        <v>0</v>
      </c>
      <c r="X623" s="220">
        <f t="shared" si="358"/>
        <v>0</v>
      </c>
      <c r="Y623" s="220">
        <f t="shared" si="358"/>
        <v>0</v>
      </c>
      <c r="Z623" s="220">
        <f t="shared" si="358"/>
        <v>0</v>
      </c>
      <c r="AA623" s="220">
        <f t="shared" si="358"/>
        <v>0</v>
      </c>
      <c r="AB623" s="220">
        <f t="shared" si="358"/>
        <v>0</v>
      </c>
      <c r="AC623" s="220">
        <f t="shared" si="358"/>
        <v>0</v>
      </c>
      <c r="AD623" s="220">
        <f t="shared" si="358"/>
        <v>0</v>
      </c>
      <c r="AE623" s="220">
        <f t="shared" si="358"/>
        <v>0</v>
      </c>
      <c r="AF623" s="220">
        <f t="shared" si="358"/>
        <v>0</v>
      </c>
      <c r="AG623" s="220">
        <f t="shared" si="358"/>
        <v>0</v>
      </c>
      <c r="AH623" s="220">
        <f t="shared" si="358"/>
        <v>0</v>
      </c>
      <c r="AI623" s="220">
        <f t="shared" si="358"/>
        <v>0</v>
      </c>
      <c r="AJ623" s="220">
        <f t="shared" si="358"/>
        <v>0</v>
      </c>
      <c r="AK623" s="220">
        <f t="shared" si="358"/>
        <v>0</v>
      </c>
      <c r="AL623" s="220">
        <f t="shared" si="358"/>
        <v>0</v>
      </c>
      <c r="AM623" s="220">
        <f t="shared" si="358"/>
        <v>0</v>
      </c>
      <c r="AN623" s="220">
        <f t="shared" si="358"/>
        <v>0</v>
      </c>
      <c r="AO623" s="220">
        <f t="shared" si="358"/>
        <v>0</v>
      </c>
      <c r="AP623" s="220">
        <f t="shared" si="358"/>
        <v>0</v>
      </c>
    </row>
    <row r="624" spans="1:42" x14ac:dyDescent="0.2">
      <c r="A624" s="4">
        <f t="shared" ref="A624:A629" si="359">A623+1</f>
        <v>3</v>
      </c>
      <c r="B624" s="245">
        <f t="shared" si="356"/>
        <v>0</v>
      </c>
      <c r="C624" s="220">
        <f t="shared" ref="C624:AP624" si="360">IF(AND(C$2&gt;equip2_reserve_freq*$A611,C$2&lt;=equip2_reserve_freq*$A612),$B612/(equip2_reserve_freq),0)</f>
        <v>0</v>
      </c>
      <c r="D624" s="220">
        <f t="shared" si="360"/>
        <v>0</v>
      </c>
      <c r="E624" s="220">
        <f t="shared" si="360"/>
        <v>0</v>
      </c>
      <c r="F624" s="220">
        <f t="shared" si="360"/>
        <v>0</v>
      </c>
      <c r="G624" s="220">
        <f t="shared" si="360"/>
        <v>0</v>
      </c>
      <c r="H624" s="220">
        <f t="shared" si="360"/>
        <v>0</v>
      </c>
      <c r="I624" s="220">
        <f t="shared" si="360"/>
        <v>0</v>
      </c>
      <c r="J624" s="220">
        <f t="shared" si="360"/>
        <v>0</v>
      </c>
      <c r="K624" s="220">
        <f t="shared" si="360"/>
        <v>0</v>
      </c>
      <c r="L624" s="220">
        <f t="shared" si="360"/>
        <v>0</v>
      </c>
      <c r="M624" s="220">
        <f t="shared" si="360"/>
        <v>0</v>
      </c>
      <c r="N624" s="220">
        <f t="shared" si="360"/>
        <v>0</v>
      </c>
      <c r="O624" s="220">
        <f t="shared" si="360"/>
        <v>0</v>
      </c>
      <c r="P624" s="220">
        <f t="shared" si="360"/>
        <v>0</v>
      </c>
      <c r="Q624" s="220">
        <f t="shared" si="360"/>
        <v>0</v>
      </c>
      <c r="R624" s="220">
        <f t="shared" si="360"/>
        <v>0</v>
      </c>
      <c r="S624" s="220">
        <f t="shared" si="360"/>
        <v>0</v>
      </c>
      <c r="T624" s="220">
        <f t="shared" si="360"/>
        <v>0</v>
      </c>
      <c r="U624" s="220">
        <f t="shared" si="360"/>
        <v>0</v>
      </c>
      <c r="V624" s="220">
        <f t="shared" si="360"/>
        <v>0</v>
      </c>
      <c r="W624" s="220">
        <f t="shared" si="360"/>
        <v>0</v>
      </c>
      <c r="X624" s="220">
        <f t="shared" si="360"/>
        <v>0</v>
      </c>
      <c r="Y624" s="220">
        <f t="shared" si="360"/>
        <v>0</v>
      </c>
      <c r="Z624" s="220">
        <f t="shared" si="360"/>
        <v>0</v>
      </c>
      <c r="AA624" s="220">
        <f t="shared" si="360"/>
        <v>0</v>
      </c>
      <c r="AB624" s="220">
        <f t="shared" si="360"/>
        <v>0</v>
      </c>
      <c r="AC624" s="220">
        <f t="shared" si="360"/>
        <v>0</v>
      </c>
      <c r="AD624" s="220">
        <f t="shared" si="360"/>
        <v>0</v>
      </c>
      <c r="AE624" s="220">
        <f t="shared" si="360"/>
        <v>0</v>
      </c>
      <c r="AF624" s="220">
        <f t="shared" si="360"/>
        <v>0</v>
      </c>
      <c r="AG624" s="220">
        <f t="shared" si="360"/>
        <v>0</v>
      </c>
      <c r="AH624" s="220">
        <f t="shared" si="360"/>
        <v>0</v>
      </c>
      <c r="AI624" s="220">
        <f t="shared" si="360"/>
        <v>0</v>
      </c>
      <c r="AJ624" s="220">
        <f t="shared" si="360"/>
        <v>0</v>
      </c>
      <c r="AK624" s="220">
        <f t="shared" si="360"/>
        <v>0</v>
      </c>
      <c r="AL624" s="220">
        <f t="shared" si="360"/>
        <v>0</v>
      </c>
      <c r="AM624" s="220">
        <f t="shared" si="360"/>
        <v>0</v>
      </c>
      <c r="AN624" s="220">
        <f t="shared" si="360"/>
        <v>0</v>
      </c>
      <c r="AO624" s="220">
        <f t="shared" si="360"/>
        <v>0</v>
      </c>
      <c r="AP624" s="220">
        <f t="shared" si="360"/>
        <v>0</v>
      </c>
    </row>
    <row r="625" spans="1:42" x14ac:dyDescent="0.2">
      <c r="A625" s="4">
        <f t="shared" si="359"/>
        <v>4</v>
      </c>
      <c r="B625" s="245">
        <f t="shared" si="356"/>
        <v>0</v>
      </c>
      <c r="C625" s="220">
        <f t="shared" ref="C625:AP625" si="361">IF(AND(C$2&gt;equip2_reserve_freq*$A612,C$2&lt;=equip2_reserve_freq*$A613),$B613/(equip2_reserve_freq),0)</f>
        <v>0</v>
      </c>
      <c r="D625" s="220">
        <f t="shared" si="361"/>
        <v>0</v>
      </c>
      <c r="E625" s="220">
        <f t="shared" si="361"/>
        <v>0</v>
      </c>
      <c r="F625" s="220">
        <f t="shared" si="361"/>
        <v>0</v>
      </c>
      <c r="G625" s="220">
        <f t="shared" si="361"/>
        <v>0</v>
      </c>
      <c r="H625" s="220">
        <f t="shared" si="361"/>
        <v>0</v>
      </c>
      <c r="I625" s="220">
        <f t="shared" si="361"/>
        <v>0</v>
      </c>
      <c r="J625" s="220">
        <f t="shared" si="361"/>
        <v>0</v>
      </c>
      <c r="K625" s="220">
        <f t="shared" si="361"/>
        <v>0</v>
      </c>
      <c r="L625" s="220">
        <f t="shared" si="361"/>
        <v>0</v>
      </c>
      <c r="M625" s="220">
        <f t="shared" si="361"/>
        <v>0</v>
      </c>
      <c r="N625" s="220">
        <f t="shared" si="361"/>
        <v>0</v>
      </c>
      <c r="O625" s="220">
        <f t="shared" si="361"/>
        <v>0</v>
      </c>
      <c r="P625" s="220">
        <f t="shared" si="361"/>
        <v>0</v>
      </c>
      <c r="Q625" s="220">
        <f t="shared" si="361"/>
        <v>0</v>
      </c>
      <c r="R625" s="220">
        <f t="shared" si="361"/>
        <v>0</v>
      </c>
      <c r="S625" s="220">
        <f t="shared" si="361"/>
        <v>0</v>
      </c>
      <c r="T625" s="220">
        <f t="shared" si="361"/>
        <v>0</v>
      </c>
      <c r="U625" s="220">
        <f t="shared" si="361"/>
        <v>0</v>
      </c>
      <c r="V625" s="220">
        <f t="shared" si="361"/>
        <v>0</v>
      </c>
      <c r="W625" s="220">
        <f t="shared" si="361"/>
        <v>0</v>
      </c>
      <c r="X625" s="220">
        <f t="shared" si="361"/>
        <v>0</v>
      </c>
      <c r="Y625" s="220">
        <f t="shared" si="361"/>
        <v>0</v>
      </c>
      <c r="Z625" s="220">
        <f t="shared" si="361"/>
        <v>0</v>
      </c>
      <c r="AA625" s="220">
        <f t="shared" si="361"/>
        <v>0</v>
      </c>
      <c r="AB625" s="220">
        <f t="shared" si="361"/>
        <v>0</v>
      </c>
      <c r="AC625" s="220">
        <f t="shared" si="361"/>
        <v>0</v>
      </c>
      <c r="AD625" s="220">
        <f t="shared" si="361"/>
        <v>0</v>
      </c>
      <c r="AE625" s="220">
        <f t="shared" si="361"/>
        <v>0</v>
      </c>
      <c r="AF625" s="220">
        <f t="shared" si="361"/>
        <v>0</v>
      </c>
      <c r="AG625" s="220">
        <f t="shared" si="361"/>
        <v>0</v>
      </c>
      <c r="AH625" s="220">
        <f t="shared" si="361"/>
        <v>0</v>
      </c>
      <c r="AI625" s="220">
        <f t="shared" si="361"/>
        <v>0</v>
      </c>
      <c r="AJ625" s="220">
        <f t="shared" si="361"/>
        <v>0</v>
      </c>
      <c r="AK625" s="220">
        <f t="shared" si="361"/>
        <v>0</v>
      </c>
      <c r="AL625" s="220">
        <f t="shared" si="361"/>
        <v>0</v>
      </c>
      <c r="AM625" s="220">
        <f t="shared" si="361"/>
        <v>0</v>
      </c>
      <c r="AN625" s="220">
        <f t="shared" si="361"/>
        <v>0</v>
      </c>
      <c r="AO625" s="220">
        <f t="shared" si="361"/>
        <v>0</v>
      </c>
      <c r="AP625" s="220">
        <f t="shared" si="361"/>
        <v>0</v>
      </c>
    </row>
    <row r="626" spans="1:42" x14ac:dyDescent="0.2">
      <c r="A626" s="4">
        <f t="shared" si="359"/>
        <v>5</v>
      </c>
      <c r="B626" s="245">
        <f t="shared" si="356"/>
        <v>0</v>
      </c>
      <c r="C626" s="220">
        <f t="shared" ref="C626:AP626" si="362">IF(AND(C$2&gt;equip2_reserve_freq*$A613,C$2&lt;=equip2_reserve_freq*$A614),$B614/(equip2_reserve_freq),0)</f>
        <v>0</v>
      </c>
      <c r="D626" s="220">
        <f t="shared" si="362"/>
        <v>0</v>
      </c>
      <c r="E626" s="220">
        <f t="shared" si="362"/>
        <v>0</v>
      </c>
      <c r="F626" s="220">
        <f t="shared" si="362"/>
        <v>0</v>
      </c>
      <c r="G626" s="220">
        <f t="shared" si="362"/>
        <v>0</v>
      </c>
      <c r="H626" s="220">
        <f t="shared" si="362"/>
        <v>0</v>
      </c>
      <c r="I626" s="220">
        <f t="shared" si="362"/>
        <v>0</v>
      </c>
      <c r="J626" s="220">
        <f t="shared" si="362"/>
        <v>0</v>
      </c>
      <c r="K626" s="220">
        <f t="shared" si="362"/>
        <v>0</v>
      </c>
      <c r="L626" s="220">
        <f t="shared" si="362"/>
        <v>0</v>
      </c>
      <c r="M626" s="220">
        <f t="shared" si="362"/>
        <v>0</v>
      </c>
      <c r="N626" s="220">
        <f t="shared" si="362"/>
        <v>0</v>
      </c>
      <c r="O626" s="220">
        <f t="shared" si="362"/>
        <v>0</v>
      </c>
      <c r="P626" s="220">
        <f t="shared" si="362"/>
        <v>0</v>
      </c>
      <c r="Q626" s="220">
        <f t="shared" si="362"/>
        <v>0</v>
      </c>
      <c r="R626" s="220">
        <f t="shared" si="362"/>
        <v>0</v>
      </c>
      <c r="S626" s="220">
        <f t="shared" si="362"/>
        <v>0</v>
      </c>
      <c r="T626" s="220">
        <f t="shared" si="362"/>
        <v>0</v>
      </c>
      <c r="U626" s="220">
        <f t="shared" si="362"/>
        <v>0</v>
      </c>
      <c r="V626" s="220">
        <f t="shared" si="362"/>
        <v>0</v>
      </c>
      <c r="W626" s="220">
        <f t="shared" si="362"/>
        <v>0</v>
      </c>
      <c r="X626" s="220">
        <f t="shared" si="362"/>
        <v>0</v>
      </c>
      <c r="Y626" s="220">
        <f t="shared" si="362"/>
        <v>0</v>
      </c>
      <c r="Z626" s="220">
        <f t="shared" si="362"/>
        <v>0</v>
      </c>
      <c r="AA626" s="220">
        <f t="shared" si="362"/>
        <v>0</v>
      </c>
      <c r="AB626" s="220">
        <f t="shared" si="362"/>
        <v>0</v>
      </c>
      <c r="AC626" s="220">
        <f t="shared" si="362"/>
        <v>0</v>
      </c>
      <c r="AD626" s="220">
        <f t="shared" si="362"/>
        <v>0</v>
      </c>
      <c r="AE626" s="220">
        <f t="shared" si="362"/>
        <v>0</v>
      </c>
      <c r="AF626" s="220">
        <f t="shared" si="362"/>
        <v>0</v>
      </c>
      <c r="AG626" s="220">
        <f t="shared" si="362"/>
        <v>0</v>
      </c>
      <c r="AH626" s="220">
        <f t="shared" si="362"/>
        <v>0</v>
      </c>
      <c r="AI626" s="220">
        <f t="shared" si="362"/>
        <v>0</v>
      </c>
      <c r="AJ626" s="220">
        <f t="shared" si="362"/>
        <v>0</v>
      </c>
      <c r="AK626" s="220">
        <f t="shared" si="362"/>
        <v>0</v>
      </c>
      <c r="AL626" s="220">
        <f t="shared" si="362"/>
        <v>0</v>
      </c>
      <c r="AM626" s="220">
        <f t="shared" si="362"/>
        <v>0</v>
      </c>
      <c r="AN626" s="220">
        <f t="shared" si="362"/>
        <v>0</v>
      </c>
      <c r="AO626" s="220">
        <f t="shared" si="362"/>
        <v>0</v>
      </c>
      <c r="AP626" s="220">
        <f t="shared" si="362"/>
        <v>0</v>
      </c>
    </row>
    <row r="627" spans="1:42" x14ac:dyDescent="0.2">
      <c r="A627" s="4">
        <f t="shared" si="359"/>
        <v>6</v>
      </c>
      <c r="B627" s="245">
        <f t="shared" si="356"/>
        <v>0</v>
      </c>
      <c r="C627" s="220">
        <f t="shared" ref="C627:AP627" si="363">IF(AND(C$2&gt;equip2_reserve_freq*$A614,C$2&lt;=equip2_reserve_freq*$A615),$B615/(equip2_reserve_freq),0)</f>
        <v>0</v>
      </c>
      <c r="D627" s="220">
        <f t="shared" si="363"/>
        <v>0</v>
      </c>
      <c r="E627" s="220">
        <f t="shared" si="363"/>
        <v>0</v>
      </c>
      <c r="F627" s="220">
        <f t="shared" si="363"/>
        <v>0</v>
      </c>
      <c r="G627" s="220">
        <f t="shared" si="363"/>
        <v>0</v>
      </c>
      <c r="H627" s="220">
        <f t="shared" si="363"/>
        <v>0</v>
      </c>
      <c r="I627" s="220">
        <f t="shared" si="363"/>
        <v>0</v>
      </c>
      <c r="J627" s="220">
        <f t="shared" si="363"/>
        <v>0</v>
      </c>
      <c r="K627" s="220">
        <f t="shared" si="363"/>
        <v>0</v>
      </c>
      <c r="L627" s="220">
        <f t="shared" si="363"/>
        <v>0</v>
      </c>
      <c r="M627" s="220">
        <f t="shared" si="363"/>
        <v>0</v>
      </c>
      <c r="N627" s="220">
        <f t="shared" si="363"/>
        <v>0</v>
      </c>
      <c r="O627" s="220">
        <f t="shared" si="363"/>
        <v>0</v>
      </c>
      <c r="P627" s="220">
        <f t="shared" si="363"/>
        <v>0</v>
      </c>
      <c r="Q627" s="220">
        <f t="shared" si="363"/>
        <v>0</v>
      </c>
      <c r="R627" s="220">
        <f t="shared" si="363"/>
        <v>0</v>
      </c>
      <c r="S627" s="220">
        <f t="shared" si="363"/>
        <v>0</v>
      </c>
      <c r="T627" s="220">
        <f t="shared" si="363"/>
        <v>0</v>
      </c>
      <c r="U627" s="220">
        <f t="shared" si="363"/>
        <v>0</v>
      </c>
      <c r="V627" s="220">
        <f t="shared" si="363"/>
        <v>0</v>
      </c>
      <c r="W627" s="220">
        <f t="shared" si="363"/>
        <v>0</v>
      </c>
      <c r="X627" s="220">
        <f t="shared" si="363"/>
        <v>0</v>
      </c>
      <c r="Y627" s="220">
        <f t="shared" si="363"/>
        <v>0</v>
      </c>
      <c r="Z627" s="220">
        <f t="shared" si="363"/>
        <v>0</v>
      </c>
      <c r="AA627" s="220">
        <f t="shared" si="363"/>
        <v>0</v>
      </c>
      <c r="AB627" s="220">
        <f t="shared" si="363"/>
        <v>0</v>
      </c>
      <c r="AC627" s="220">
        <f t="shared" si="363"/>
        <v>0</v>
      </c>
      <c r="AD627" s="220">
        <f t="shared" si="363"/>
        <v>0</v>
      </c>
      <c r="AE627" s="220">
        <f t="shared" si="363"/>
        <v>0</v>
      </c>
      <c r="AF627" s="220">
        <f t="shared" si="363"/>
        <v>0</v>
      </c>
      <c r="AG627" s="220">
        <f t="shared" si="363"/>
        <v>0</v>
      </c>
      <c r="AH627" s="220">
        <f t="shared" si="363"/>
        <v>0</v>
      </c>
      <c r="AI627" s="220">
        <f t="shared" si="363"/>
        <v>0</v>
      </c>
      <c r="AJ627" s="220">
        <f t="shared" si="363"/>
        <v>0</v>
      </c>
      <c r="AK627" s="220">
        <f t="shared" si="363"/>
        <v>0</v>
      </c>
      <c r="AL627" s="220">
        <f t="shared" si="363"/>
        <v>0</v>
      </c>
      <c r="AM627" s="220">
        <f t="shared" si="363"/>
        <v>0</v>
      </c>
      <c r="AN627" s="220">
        <f t="shared" si="363"/>
        <v>0</v>
      </c>
      <c r="AO627" s="220">
        <f t="shared" si="363"/>
        <v>0</v>
      </c>
      <c r="AP627" s="220">
        <f t="shared" si="363"/>
        <v>0</v>
      </c>
    </row>
    <row r="628" spans="1:42" x14ac:dyDescent="0.2">
      <c r="A628" s="4">
        <f t="shared" si="359"/>
        <v>7</v>
      </c>
      <c r="B628" s="245">
        <f t="shared" si="356"/>
        <v>0</v>
      </c>
      <c r="C628" s="220">
        <f t="shared" ref="C628:AP628" si="364">IF(AND(C$2&gt;equip2_reserve_freq*$A615,C$2&lt;=equip2_reserve_freq*$A616),$B616/(equip2_reserve_freq),0)</f>
        <v>0</v>
      </c>
      <c r="D628" s="220">
        <f t="shared" si="364"/>
        <v>0</v>
      </c>
      <c r="E628" s="220">
        <f t="shared" si="364"/>
        <v>0</v>
      </c>
      <c r="F628" s="220">
        <f t="shared" si="364"/>
        <v>0</v>
      </c>
      <c r="G628" s="220">
        <f t="shared" si="364"/>
        <v>0</v>
      </c>
      <c r="H628" s="220">
        <f t="shared" si="364"/>
        <v>0</v>
      </c>
      <c r="I628" s="220">
        <f t="shared" si="364"/>
        <v>0</v>
      </c>
      <c r="J628" s="220">
        <f t="shared" si="364"/>
        <v>0</v>
      </c>
      <c r="K628" s="220">
        <f t="shared" si="364"/>
        <v>0</v>
      </c>
      <c r="L628" s="220">
        <f t="shared" si="364"/>
        <v>0</v>
      </c>
      <c r="M628" s="220">
        <f t="shared" si="364"/>
        <v>0</v>
      </c>
      <c r="N628" s="220">
        <f t="shared" si="364"/>
        <v>0</v>
      </c>
      <c r="O628" s="220">
        <f t="shared" si="364"/>
        <v>0</v>
      </c>
      <c r="P628" s="220">
        <f t="shared" si="364"/>
        <v>0</v>
      </c>
      <c r="Q628" s="220">
        <f t="shared" si="364"/>
        <v>0</v>
      </c>
      <c r="R628" s="220">
        <f t="shared" si="364"/>
        <v>0</v>
      </c>
      <c r="S628" s="220">
        <f t="shared" si="364"/>
        <v>0</v>
      </c>
      <c r="T628" s="220">
        <f t="shared" si="364"/>
        <v>0</v>
      </c>
      <c r="U628" s="220">
        <f t="shared" si="364"/>
        <v>0</v>
      </c>
      <c r="V628" s="220">
        <f t="shared" si="364"/>
        <v>0</v>
      </c>
      <c r="W628" s="220">
        <f t="shared" si="364"/>
        <v>0</v>
      </c>
      <c r="X628" s="220">
        <f t="shared" si="364"/>
        <v>0</v>
      </c>
      <c r="Y628" s="220">
        <f t="shared" si="364"/>
        <v>0</v>
      </c>
      <c r="Z628" s="220">
        <f t="shared" si="364"/>
        <v>0</v>
      </c>
      <c r="AA628" s="220">
        <f t="shared" si="364"/>
        <v>0</v>
      </c>
      <c r="AB628" s="220">
        <f t="shared" si="364"/>
        <v>0</v>
      </c>
      <c r="AC628" s="220">
        <f t="shared" si="364"/>
        <v>0</v>
      </c>
      <c r="AD628" s="220">
        <f t="shared" si="364"/>
        <v>0</v>
      </c>
      <c r="AE628" s="220">
        <f t="shared" si="364"/>
        <v>0</v>
      </c>
      <c r="AF628" s="220">
        <f t="shared" si="364"/>
        <v>0</v>
      </c>
      <c r="AG628" s="220">
        <f t="shared" si="364"/>
        <v>0</v>
      </c>
      <c r="AH628" s="220">
        <f t="shared" si="364"/>
        <v>0</v>
      </c>
      <c r="AI628" s="220">
        <f t="shared" si="364"/>
        <v>0</v>
      </c>
      <c r="AJ628" s="220">
        <f t="shared" si="364"/>
        <v>0</v>
      </c>
      <c r="AK628" s="220">
        <f t="shared" si="364"/>
        <v>0</v>
      </c>
      <c r="AL628" s="220">
        <f t="shared" si="364"/>
        <v>0</v>
      </c>
      <c r="AM628" s="220">
        <f t="shared" si="364"/>
        <v>0</v>
      </c>
      <c r="AN628" s="220">
        <f t="shared" si="364"/>
        <v>0</v>
      </c>
      <c r="AO628" s="220">
        <f t="shared" si="364"/>
        <v>0</v>
      </c>
      <c r="AP628" s="220">
        <f t="shared" si="364"/>
        <v>0</v>
      </c>
    </row>
    <row r="629" spans="1:42" x14ac:dyDescent="0.2">
      <c r="A629" s="4">
        <f t="shared" si="359"/>
        <v>8</v>
      </c>
      <c r="B629" s="245">
        <f t="shared" si="356"/>
        <v>0</v>
      </c>
      <c r="C629" s="220">
        <f t="shared" ref="C629:AP629" si="365">IF(AND(C$2&gt;equip2_reserve_freq*$A616,C$2&lt;=equip2_reserve_freq*$A617),$B617/(equip2_reserve_freq),0)</f>
        <v>0</v>
      </c>
      <c r="D629" s="220">
        <f t="shared" si="365"/>
        <v>0</v>
      </c>
      <c r="E629" s="220">
        <f t="shared" si="365"/>
        <v>0</v>
      </c>
      <c r="F629" s="220">
        <f t="shared" si="365"/>
        <v>0</v>
      </c>
      <c r="G629" s="220">
        <f t="shared" si="365"/>
        <v>0</v>
      </c>
      <c r="H629" s="220">
        <f t="shared" si="365"/>
        <v>0</v>
      </c>
      <c r="I629" s="220">
        <f t="shared" si="365"/>
        <v>0</v>
      </c>
      <c r="J629" s="220">
        <f t="shared" si="365"/>
        <v>0</v>
      </c>
      <c r="K629" s="220">
        <f t="shared" si="365"/>
        <v>0</v>
      </c>
      <c r="L629" s="220">
        <f t="shared" si="365"/>
        <v>0</v>
      </c>
      <c r="M629" s="220">
        <f t="shared" si="365"/>
        <v>0</v>
      </c>
      <c r="N629" s="220">
        <f t="shared" si="365"/>
        <v>0</v>
      </c>
      <c r="O629" s="220">
        <f t="shared" si="365"/>
        <v>0</v>
      </c>
      <c r="P629" s="220">
        <f t="shared" si="365"/>
        <v>0</v>
      </c>
      <c r="Q629" s="220">
        <f t="shared" si="365"/>
        <v>0</v>
      </c>
      <c r="R629" s="220">
        <f t="shared" si="365"/>
        <v>0</v>
      </c>
      <c r="S629" s="220">
        <f t="shared" si="365"/>
        <v>0</v>
      </c>
      <c r="T629" s="220">
        <f t="shared" si="365"/>
        <v>0</v>
      </c>
      <c r="U629" s="220">
        <f t="shared" si="365"/>
        <v>0</v>
      </c>
      <c r="V629" s="220">
        <f t="shared" si="365"/>
        <v>0</v>
      </c>
      <c r="W629" s="220">
        <f t="shared" si="365"/>
        <v>0</v>
      </c>
      <c r="X629" s="220">
        <f t="shared" si="365"/>
        <v>0</v>
      </c>
      <c r="Y629" s="220">
        <f t="shared" si="365"/>
        <v>0</v>
      </c>
      <c r="Z629" s="220">
        <f t="shared" si="365"/>
        <v>0</v>
      </c>
      <c r="AA629" s="220">
        <f t="shared" si="365"/>
        <v>0</v>
      </c>
      <c r="AB629" s="220">
        <f t="shared" si="365"/>
        <v>0</v>
      </c>
      <c r="AC629" s="220">
        <f t="shared" si="365"/>
        <v>0</v>
      </c>
      <c r="AD629" s="220">
        <f t="shared" si="365"/>
        <v>0</v>
      </c>
      <c r="AE629" s="220">
        <f t="shared" si="365"/>
        <v>0</v>
      </c>
      <c r="AF629" s="220">
        <f t="shared" si="365"/>
        <v>0</v>
      </c>
      <c r="AG629" s="220">
        <f t="shared" si="365"/>
        <v>0</v>
      </c>
      <c r="AH629" s="220">
        <f t="shared" si="365"/>
        <v>0</v>
      </c>
      <c r="AI629" s="220">
        <f t="shared" si="365"/>
        <v>0</v>
      </c>
      <c r="AJ629" s="220">
        <f t="shared" si="365"/>
        <v>0</v>
      </c>
      <c r="AK629" s="220">
        <f t="shared" si="365"/>
        <v>0</v>
      </c>
      <c r="AL629" s="220">
        <f t="shared" si="365"/>
        <v>0</v>
      </c>
      <c r="AM629" s="220">
        <f t="shared" si="365"/>
        <v>0</v>
      </c>
      <c r="AN629" s="220">
        <f t="shared" si="365"/>
        <v>0</v>
      </c>
      <c r="AO629" s="220">
        <f t="shared" si="365"/>
        <v>0</v>
      </c>
      <c r="AP629" s="220">
        <f t="shared" si="365"/>
        <v>0</v>
      </c>
    </row>
    <row r="630" spans="1:42" x14ac:dyDescent="0.2">
      <c r="A630" s="4">
        <f>A629+1</f>
        <v>9</v>
      </c>
      <c r="B630" s="245">
        <f t="shared" si="356"/>
        <v>0</v>
      </c>
      <c r="C630" s="220">
        <f t="shared" ref="C630:AP630" si="366">IF(AND(C$2&gt;equip2_reserve_freq*$A617,C$2&lt;=equip2_reserve_freq*$A618),$B618/(equip2_reserve_freq),0)</f>
        <v>0</v>
      </c>
      <c r="D630" s="220">
        <f t="shared" si="366"/>
        <v>0</v>
      </c>
      <c r="E630" s="220">
        <f t="shared" si="366"/>
        <v>0</v>
      </c>
      <c r="F630" s="220">
        <f t="shared" si="366"/>
        <v>0</v>
      </c>
      <c r="G630" s="220">
        <f t="shared" si="366"/>
        <v>0</v>
      </c>
      <c r="H630" s="220">
        <f t="shared" si="366"/>
        <v>0</v>
      </c>
      <c r="I630" s="220">
        <f t="shared" si="366"/>
        <v>0</v>
      </c>
      <c r="J630" s="220">
        <f t="shared" si="366"/>
        <v>0</v>
      </c>
      <c r="K630" s="220">
        <f t="shared" si="366"/>
        <v>0</v>
      </c>
      <c r="L630" s="220">
        <f t="shared" si="366"/>
        <v>0</v>
      </c>
      <c r="M630" s="220">
        <f t="shared" si="366"/>
        <v>0</v>
      </c>
      <c r="N630" s="220">
        <f t="shared" si="366"/>
        <v>0</v>
      </c>
      <c r="O630" s="220">
        <f t="shared" si="366"/>
        <v>0</v>
      </c>
      <c r="P630" s="220">
        <f t="shared" si="366"/>
        <v>0</v>
      </c>
      <c r="Q630" s="220">
        <f t="shared" si="366"/>
        <v>0</v>
      </c>
      <c r="R630" s="220">
        <f t="shared" si="366"/>
        <v>0</v>
      </c>
      <c r="S630" s="220">
        <f t="shared" si="366"/>
        <v>0</v>
      </c>
      <c r="T630" s="220">
        <f t="shared" si="366"/>
        <v>0</v>
      </c>
      <c r="U630" s="220">
        <f t="shared" si="366"/>
        <v>0</v>
      </c>
      <c r="V630" s="220">
        <f t="shared" si="366"/>
        <v>0</v>
      </c>
      <c r="W630" s="220">
        <f t="shared" si="366"/>
        <v>0</v>
      </c>
      <c r="X630" s="220">
        <f t="shared" si="366"/>
        <v>0</v>
      </c>
      <c r="Y630" s="220">
        <f t="shared" si="366"/>
        <v>0</v>
      </c>
      <c r="Z630" s="220">
        <f t="shared" si="366"/>
        <v>0</v>
      </c>
      <c r="AA630" s="220">
        <f t="shared" si="366"/>
        <v>0</v>
      </c>
      <c r="AB630" s="220">
        <f t="shared" si="366"/>
        <v>0</v>
      </c>
      <c r="AC630" s="220">
        <f t="shared" si="366"/>
        <v>0</v>
      </c>
      <c r="AD630" s="220">
        <f t="shared" si="366"/>
        <v>0</v>
      </c>
      <c r="AE630" s="220">
        <f t="shared" si="366"/>
        <v>0</v>
      </c>
      <c r="AF630" s="220">
        <f t="shared" si="366"/>
        <v>0</v>
      </c>
      <c r="AG630" s="220">
        <f t="shared" si="366"/>
        <v>0</v>
      </c>
      <c r="AH630" s="220">
        <f t="shared" si="366"/>
        <v>0</v>
      </c>
      <c r="AI630" s="220">
        <f t="shared" si="366"/>
        <v>0</v>
      </c>
      <c r="AJ630" s="220">
        <f t="shared" si="366"/>
        <v>0</v>
      </c>
      <c r="AK630" s="220">
        <f t="shared" si="366"/>
        <v>0</v>
      </c>
      <c r="AL630" s="220">
        <f t="shared" si="366"/>
        <v>0</v>
      </c>
      <c r="AM630" s="220">
        <f t="shared" si="366"/>
        <v>0</v>
      </c>
      <c r="AN630" s="220">
        <f t="shared" si="366"/>
        <v>0</v>
      </c>
      <c r="AO630" s="220">
        <f t="shared" si="366"/>
        <v>0</v>
      </c>
      <c r="AP630" s="220">
        <f t="shared" si="366"/>
        <v>0</v>
      </c>
    </row>
    <row r="631" spans="1:42" x14ac:dyDescent="0.2">
      <c r="A631" s="4">
        <f t="shared" ref="A631" si="367">A630+1</f>
        <v>10</v>
      </c>
      <c r="B631" s="245">
        <f t="shared" si="356"/>
        <v>0</v>
      </c>
      <c r="C631" s="225">
        <f t="shared" ref="C631:AP631" si="368">IF(AND(C$2&gt;equip2_reserve_freq*$A618,C$2&lt;=equip2_reserve_freq*$A619),$B619/(equip2_reserve_freq),0)</f>
        <v>0</v>
      </c>
      <c r="D631" s="225">
        <f t="shared" si="368"/>
        <v>0</v>
      </c>
      <c r="E631" s="225">
        <f t="shared" si="368"/>
        <v>0</v>
      </c>
      <c r="F631" s="225">
        <f t="shared" si="368"/>
        <v>0</v>
      </c>
      <c r="G631" s="225">
        <f t="shared" si="368"/>
        <v>0</v>
      </c>
      <c r="H631" s="225">
        <f t="shared" si="368"/>
        <v>0</v>
      </c>
      <c r="I631" s="225">
        <f t="shared" si="368"/>
        <v>0</v>
      </c>
      <c r="J631" s="225">
        <f t="shared" si="368"/>
        <v>0</v>
      </c>
      <c r="K631" s="225">
        <f t="shared" si="368"/>
        <v>0</v>
      </c>
      <c r="L631" s="225">
        <f t="shared" si="368"/>
        <v>0</v>
      </c>
      <c r="M631" s="225">
        <f t="shared" si="368"/>
        <v>0</v>
      </c>
      <c r="N631" s="225">
        <f t="shared" si="368"/>
        <v>0</v>
      </c>
      <c r="O631" s="225">
        <f t="shared" si="368"/>
        <v>0</v>
      </c>
      <c r="P631" s="225">
        <f t="shared" si="368"/>
        <v>0</v>
      </c>
      <c r="Q631" s="225">
        <f t="shared" si="368"/>
        <v>0</v>
      </c>
      <c r="R631" s="225">
        <f t="shared" si="368"/>
        <v>0</v>
      </c>
      <c r="S631" s="225">
        <f t="shared" si="368"/>
        <v>0</v>
      </c>
      <c r="T631" s="225">
        <f t="shared" si="368"/>
        <v>0</v>
      </c>
      <c r="U631" s="225">
        <f t="shared" si="368"/>
        <v>0</v>
      </c>
      <c r="V631" s="225">
        <f t="shared" si="368"/>
        <v>0</v>
      </c>
      <c r="W631" s="225">
        <f t="shared" si="368"/>
        <v>0</v>
      </c>
      <c r="X631" s="225">
        <f t="shared" si="368"/>
        <v>0</v>
      </c>
      <c r="Y631" s="225">
        <f t="shared" si="368"/>
        <v>0</v>
      </c>
      <c r="Z631" s="225">
        <f t="shared" si="368"/>
        <v>0</v>
      </c>
      <c r="AA631" s="225">
        <f t="shared" si="368"/>
        <v>0</v>
      </c>
      <c r="AB631" s="225">
        <f t="shared" si="368"/>
        <v>0</v>
      </c>
      <c r="AC631" s="225">
        <f t="shared" si="368"/>
        <v>0</v>
      </c>
      <c r="AD631" s="225">
        <f t="shared" si="368"/>
        <v>0</v>
      </c>
      <c r="AE631" s="225">
        <f t="shared" si="368"/>
        <v>0</v>
      </c>
      <c r="AF631" s="225">
        <f t="shared" si="368"/>
        <v>0</v>
      </c>
      <c r="AG631" s="225">
        <f t="shared" si="368"/>
        <v>0</v>
      </c>
      <c r="AH631" s="225">
        <f t="shared" si="368"/>
        <v>0</v>
      </c>
      <c r="AI631" s="225">
        <f t="shared" si="368"/>
        <v>0</v>
      </c>
      <c r="AJ631" s="225">
        <f t="shared" si="368"/>
        <v>0</v>
      </c>
      <c r="AK631" s="225">
        <f t="shared" si="368"/>
        <v>0</v>
      </c>
      <c r="AL631" s="225">
        <f t="shared" si="368"/>
        <v>0</v>
      </c>
      <c r="AM631" s="225">
        <f t="shared" si="368"/>
        <v>0</v>
      </c>
      <c r="AN631" s="225">
        <f t="shared" si="368"/>
        <v>0</v>
      </c>
      <c r="AO631" s="225">
        <f t="shared" si="368"/>
        <v>0</v>
      </c>
      <c r="AP631" s="225">
        <f t="shared" si="368"/>
        <v>0</v>
      </c>
    </row>
    <row r="632" spans="1:42" x14ac:dyDescent="0.2">
      <c r="A632" s="38" t="s">
        <v>13</v>
      </c>
      <c r="B632" s="29"/>
      <c r="C632" s="224">
        <f>SUM(C622:C631)</f>
        <v>0</v>
      </c>
      <c r="D632" s="224">
        <f t="shared" ref="D632:AP632" si="369">SUM(D622:D631)</f>
        <v>0</v>
      </c>
      <c r="E632" s="224">
        <f t="shared" si="369"/>
        <v>0</v>
      </c>
      <c r="F632" s="224">
        <f t="shared" si="369"/>
        <v>0</v>
      </c>
      <c r="G632" s="224">
        <f t="shared" si="369"/>
        <v>0</v>
      </c>
      <c r="H632" s="224">
        <f t="shared" si="369"/>
        <v>0</v>
      </c>
      <c r="I632" s="224">
        <f t="shared" si="369"/>
        <v>0</v>
      </c>
      <c r="J632" s="224">
        <f t="shared" si="369"/>
        <v>0</v>
      </c>
      <c r="K632" s="224">
        <f t="shared" si="369"/>
        <v>0</v>
      </c>
      <c r="L632" s="224">
        <f t="shared" si="369"/>
        <v>0</v>
      </c>
      <c r="M632" s="224">
        <f t="shared" si="369"/>
        <v>0</v>
      </c>
      <c r="N632" s="224">
        <f t="shared" si="369"/>
        <v>0</v>
      </c>
      <c r="O632" s="224">
        <f t="shared" si="369"/>
        <v>0</v>
      </c>
      <c r="P632" s="224">
        <f t="shared" si="369"/>
        <v>0</v>
      </c>
      <c r="Q632" s="224">
        <f t="shared" si="369"/>
        <v>0</v>
      </c>
      <c r="R632" s="224">
        <f t="shared" si="369"/>
        <v>0</v>
      </c>
      <c r="S632" s="224">
        <f t="shared" si="369"/>
        <v>0</v>
      </c>
      <c r="T632" s="224">
        <f t="shared" si="369"/>
        <v>0</v>
      </c>
      <c r="U632" s="224">
        <f t="shared" si="369"/>
        <v>0</v>
      </c>
      <c r="V632" s="224">
        <f t="shared" si="369"/>
        <v>0</v>
      </c>
      <c r="W632" s="224">
        <f t="shared" si="369"/>
        <v>0</v>
      </c>
      <c r="X632" s="224">
        <f t="shared" si="369"/>
        <v>0</v>
      </c>
      <c r="Y632" s="224">
        <f t="shared" si="369"/>
        <v>0</v>
      </c>
      <c r="Z632" s="224">
        <f t="shared" si="369"/>
        <v>0</v>
      </c>
      <c r="AA632" s="224">
        <f t="shared" si="369"/>
        <v>0</v>
      </c>
      <c r="AB632" s="224">
        <f t="shared" si="369"/>
        <v>0</v>
      </c>
      <c r="AC632" s="224">
        <f t="shared" si="369"/>
        <v>0</v>
      </c>
      <c r="AD632" s="224">
        <f t="shared" si="369"/>
        <v>0</v>
      </c>
      <c r="AE632" s="224">
        <f t="shared" si="369"/>
        <v>0</v>
      </c>
      <c r="AF632" s="224">
        <f t="shared" si="369"/>
        <v>0</v>
      </c>
      <c r="AG632" s="224">
        <f t="shared" si="369"/>
        <v>0</v>
      </c>
      <c r="AH632" s="224">
        <f t="shared" si="369"/>
        <v>0</v>
      </c>
      <c r="AI632" s="224">
        <f t="shared" si="369"/>
        <v>0</v>
      </c>
      <c r="AJ632" s="224">
        <f t="shared" si="369"/>
        <v>0</v>
      </c>
      <c r="AK632" s="224">
        <f t="shared" si="369"/>
        <v>0</v>
      </c>
      <c r="AL632" s="224">
        <f t="shared" si="369"/>
        <v>0</v>
      </c>
      <c r="AM632" s="224">
        <f t="shared" si="369"/>
        <v>0</v>
      </c>
      <c r="AN632" s="224">
        <f t="shared" si="369"/>
        <v>0</v>
      </c>
      <c r="AO632" s="224">
        <f t="shared" si="369"/>
        <v>0</v>
      </c>
      <c r="AP632" s="224">
        <f t="shared" si="369"/>
        <v>0</v>
      </c>
    </row>
    <row r="633" spans="1:42" s="127" customFormat="1" x14ac:dyDescent="0.2">
      <c r="A633" s="4"/>
      <c r="B633" s="210"/>
    </row>
    <row r="634" spans="1:42" s="127" customFormat="1" x14ac:dyDescent="0.2">
      <c r="A634" s="26" t="s">
        <v>111</v>
      </c>
    </row>
    <row r="635" spans="1:42" x14ac:dyDescent="0.2">
      <c r="A635" s="4" t="s">
        <v>28</v>
      </c>
      <c r="B635" s="224">
        <v>0</v>
      </c>
      <c r="C635" s="224">
        <f>B638</f>
        <v>0</v>
      </c>
      <c r="D635" s="224">
        <f t="shared" ref="D635:AP635" si="370">C638</f>
        <v>0</v>
      </c>
      <c r="E635" s="224">
        <f t="shared" si="370"/>
        <v>0</v>
      </c>
      <c r="F635" s="224">
        <f t="shared" si="370"/>
        <v>0</v>
      </c>
      <c r="G635" s="224">
        <f t="shared" si="370"/>
        <v>0</v>
      </c>
      <c r="H635" s="224">
        <f t="shared" si="370"/>
        <v>0</v>
      </c>
      <c r="I635" s="224">
        <f t="shared" si="370"/>
        <v>0</v>
      </c>
      <c r="J635" s="224">
        <f t="shared" si="370"/>
        <v>0</v>
      </c>
      <c r="K635" s="224">
        <f t="shared" si="370"/>
        <v>0</v>
      </c>
      <c r="L635" s="224">
        <f t="shared" si="370"/>
        <v>0</v>
      </c>
      <c r="M635" s="224">
        <f t="shared" si="370"/>
        <v>0</v>
      </c>
      <c r="N635" s="224">
        <f t="shared" si="370"/>
        <v>0</v>
      </c>
      <c r="O635" s="224">
        <f t="shared" si="370"/>
        <v>0</v>
      </c>
      <c r="P635" s="224">
        <f t="shared" si="370"/>
        <v>0</v>
      </c>
      <c r="Q635" s="224">
        <f t="shared" si="370"/>
        <v>0</v>
      </c>
      <c r="R635" s="224">
        <f t="shared" si="370"/>
        <v>0</v>
      </c>
      <c r="S635" s="224">
        <f t="shared" si="370"/>
        <v>0</v>
      </c>
      <c r="T635" s="224">
        <f t="shared" si="370"/>
        <v>0</v>
      </c>
      <c r="U635" s="224">
        <f t="shared" si="370"/>
        <v>0</v>
      </c>
      <c r="V635" s="224">
        <f t="shared" si="370"/>
        <v>0</v>
      </c>
      <c r="W635" s="224">
        <f t="shared" si="370"/>
        <v>0</v>
      </c>
      <c r="X635" s="224">
        <f t="shared" si="370"/>
        <v>0</v>
      </c>
      <c r="Y635" s="224">
        <f t="shared" si="370"/>
        <v>0</v>
      </c>
      <c r="Z635" s="224">
        <f t="shared" si="370"/>
        <v>0</v>
      </c>
      <c r="AA635" s="224">
        <f t="shared" si="370"/>
        <v>0</v>
      </c>
      <c r="AB635" s="224">
        <f t="shared" si="370"/>
        <v>0</v>
      </c>
      <c r="AC635" s="224">
        <f t="shared" si="370"/>
        <v>0</v>
      </c>
      <c r="AD635" s="224">
        <f t="shared" si="370"/>
        <v>0</v>
      </c>
      <c r="AE635" s="224">
        <f t="shared" si="370"/>
        <v>0</v>
      </c>
      <c r="AF635" s="224">
        <f t="shared" si="370"/>
        <v>0</v>
      </c>
      <c r="AG635" s="224">
        <f t="shared" si="370"/>
        <v>0</v>
      </c>
      <c r="AH635" s="224">
        <f t="shared" si="370"/>
        <v>0</v>
      </c>
      <c r="AI635" s="224">
        <f t="shared" si="370"/>
        <v>0</v>
      </c>
      <c r="AJ635" s="224">
        <f t="shared" si="370"/>
        <v>0</v>
      </c>
      <c r="AK635" s="224">
        <f t="shared" si="370"/>
        <v>0</v>
      </c>
      <c r="AL635" s="224">
        <f t="shared" si="370"/>
        <v>0</v>
      </c>
      <c r="AM635" s="224">
        <f t="shared" si="370"/>
        <v>0</v>
      </c>
      <c r="AN635" s="224">
        <f t="shared" si="370"/>
        <v>0</v>
      </c>
      <c r="AO635" s="224">
        <f t="shared" si="370"/>
        <v>0</v>
      </c>
      <c r="AP635" s="224">
        <f t="shared" si="370"/>
        <v>0</v>
      </c>
    </row>
    <row r="636" spans="1:42" x14ac:dyDescent="0.2">
      <c r="A636" s="4" t="s">
        <v>86</v>
      </c>
      <c r="B636" s="224">
        <v>0</v>
      </c>
      <c r="C636" s="224">
        <f>C664</f>
        <v>0</v>
      </c>
      <c r="D636" s="224">
        <f t="shared" ref="D636:AP636" si="371">D664</f>
        <v>0</v>
      </c>
      <c r="E636" s="224">
        <f t="shared" si="371"/>
        <v>0</v>
      </c>
      <c r="F636" s="224">
        <f t="shared" si="371"/>
        <v>0</v>
      </c>
      <c r="G636" s="224">
        <f t="shared" si="371"/>
        <v>0</v>
      </c>
      <c r="H636" s="224">
        <f t="shared" si="371"/>
        <v>0</v>
      </c>
      <c r="I636" s="224">
        <f t="shared" si="371"/>
        <v>0</v>
      </c>
      <c r="J636" s="224">
        <f t="shared" si="371"/>
        <v>0</v>
      </c>
      <c r="K636" s="224">
        <f t="shared" si="371"/>
        <v>0</v>
      </c>
      <c r="L636" s="224">
        <f t="shared" si="371"/>
        <v>0</v>
      </c>
      <c r="M636" s="224">
        <f t="shared" si="371"/>
        <v>0</v>
      </c>
      <c r="N636" s="224">
        <f t="shared" si="371"/>
        <v>0</v>
      </c>
      <c r="O636" s="224">
        <f t="shared" si="371"/>
        <v>0</v>
      </c>
      <c r="P636" s="224">
        <f t="shared" si="371"/>
        <v>0</v>
      </c>
      <c r="Q636" s="224">
        <f t="shared" si="371"/>
        <v>0</v>
      </c>
      <c r="R636" s="224">
        <f t="shared" si="371"/>
        <v>0</v>
      </c>
      <c r="S636" s="224">
        <f t="shared" si="371"/>
        <v>0</v>
      </c>
      <c r="T636" s="224">
        <f t="shared" si="371"/>
        <v>0</v>
      </c>
      <c r="U636" s="224">
        <f t="shared" si="371"/>
        <v>0</v>
      </c>
      <c r="V636" s="224">
        <f t="shared" si="371"/>
        <v>0</v>
      </c>
      <c r="W636" s="224">
        <f t="shared" si="371"/>
        <v>0</v>
      </c>
      <c r="X636" s="224">
        <f t="shared" si="371"/>
        <v>0</v>
      </c>
      <c r="Y636" s="224">
        <f t="shared" si="371"/>
        <v>0</v>
      </c>
      <c r="Z636" s="224">
        <f t="shared" si="371"/>
        <v>0</v>
      </c>
      <c r="AA636" s="224">
        <f t="shared" si="371"/>
        <v>0</v>
      </c>
      <c r="AB636" s="224">
        <f t="shared" si="371"/>
        <v>0</v>
      </c>
      <c r="AC636" s="224">
        <f t="shared" si="371"/>
        <v>0</v>
      </c>
      <c r="AD636" s="224">
        <f t="shared" si="371"/>
        <v>0</v>
      </c>
      <c r="AE636" s="224">
        <f t="shared" si="371"/>
        <v>0</v>
      </c>
      <c r="AF636" s="224">
        <f t="shared" si="371"/>
        <v>0</v>
      </c>
      <c r="AG636" s="224">
        <f t="shared" si="371"/>
        <v>0</v>
      </c>
      <c r="AH636" s="224">
        <f t="shared" si="371"/>
        <v>0</v>
      </c>
      <c r="AI636" s="224">
        <f t="shared" si="371"/>
        <v>0</v>
      </c>
      <c r="AJ636" s="224">
        <f t="shared" si="371"/>
        <v>0</v>
      </c>
      <c r="AK636" s="224">
        <f t="shared" si="371"/>
        <v>0</v>
      </c>
      <c r="AL636" s="224">
        <f t="shared" si="371"/>
        <v>0</v>
      </c>
      <c r="AM636" s="224">
        <f t="shared" si="371"/>
        <v>0</v>
      </c>
      <c r="AN636" s="224">
        <f t="shared" si="371"/>
        <v>0</v>
      </c>
      <c r="AO636" s="224">
        <f t="shared" si="371"/>
        <v>0</v>
      </c>
      <c r="AP636" s="224">
        <f t="shared" si="371"/>
        <v>0</v>
      </c>
    </row>
    <row r="637" spans="1:42" x14ac:dyDescent="0.2">
      <c r="A637" s="4" t="s">
        <v>35</v>
      </c>
      <c r="B637" s="225">
        <v>0</v>
      </c>
      <c r="C637" s="225">
        <f>-C652</f>
        <v>0</v>
      </c>
      <c r="D637" s="225">
        <f t="shared" ref="D637:AP637" si="372">-D652</f>
        <v>0</v>
      </c>
      <c r="E637" s="225">
        <f t="shared" si="372"/>
        <v>0</v>
      </c>
      <c r="F637" s="225">
        <f t="shared" si="372"/>
        <v>0</v>
      </c>
      <c r="G637" s="225">
        <f t="shared" si="372"/>
        <v>0</v>
      </c>
      <c r="H637" s="225">
        <f t="shared" si="372"/>
        <v>0</v>
      </c>
      <c r="I637" s="225">
        <f t="shared" si="372"/>
        <v>0</v>
      </c>
      <c r="J637" s="225">
        <f t="shared" si="372"/>
        <v>0</v>
      </c>
      <c r="K637" s="225">
        <f t="shared" si="372"/>
        <v>0</v>
      </c>
      <c r="L637" s="225">
        <f t="shared" si="372"/>
        <v>0</v>
      </c>
      <c r="M637" s="225">
        <f t="shared" si="372"/>
        <v>0</v>
      </c>
      <c r="N637" s="225">
        <f t="shared" si="372"/>
        <v>0</v>
      </c>
      <c r="O637" s="225">
        <f t="shared" si="372"/>
        <v>0</v>
      </c>
      <c r="P637" s="225">
        <f t="shared" si="372"/>
        <v>0</v>
      </c>
      <c r="Q637" s="225">
        <f t="shared" si="372"/>
        <v>0</v>
      </c>
      <c r="R637" s="225">
        <f t="shared" si="372"/>
        <v>0</v>
      </c>
      <c r="S637" s="225">
        <f t="shared" si="372"/>
        <v>0</v>
      </c>
      <c r="T637" s="225">
        <f t="shared" si="372"/>
        <v>0</v>
      </c>
      <c r="U637" s="225">
        <f t="shared" si="372"/>
        <v>0</v>
      </c>
      <c r="V637" s="225">
        <f t="shared" si="372"/>
        <v>0</v>
      </c>
      <c r="W637" s="225">
        <f t="shared" si="372"/>
        <v>0</v>
      </c>
      <c r="X637" s="225">
        <f t="shared" si="372"/>
        <v>0</v>
      </c>
      <c r="Y637" s="225">
        <f t="shared" si="372"/>
        <v>0</v>
      </c>
      <c r="Z637" s="225">
        <f t="shared" si="372"/>
        <v>0</v>
      </c>
      <c r="AA637" s="225">
        <f t="shared" si="372"/>
        <v>0</v>
      </c>
      <c r="AB637" s="225">
        <f t="shared" si="372"/>
        <v>0</v>
      </c>
      <c r="AC637" s="225">
        <f t="shared" si="372"/>
        <v>0</v>
      </c>
      <c r="AD637" s="225">
        <f t="shared" si="372"/>
        <v>0</v>
      </c>
      <c r="AE637" s="225">
        <f t="shared" si="372"/>
        <v>0</v>
      </c>
      <c r="AF637" s="225">
        <f t="shared" si="372"/>
        <v>0</v>
      </c>
      <c r="AG637" s="225">
        <f t="shared" si="372"/>
        <v>0</v>
      </c>
      <c r="AH637" s="225">
        <f t="shared" si="372"/>
        <v>0</v>
      </c>
      <c r="AI637" s="225">
        <f t="shared" si="372"/>
        <v>0</v>
      </c>
      <c r="AJ637" s="225">
        <f t="shared" si="372"/>
        <v>0</v>
      </c>
      <c r="AK637" s="225">
        <f t="shared" si="372"/>
        <v>0</v>
      </c>
      <c r="AL637" s="225">
        <f t="shared" si="372"/>
        <v>0</v>
      </c>
      <c r="AM637" s="225">
        <f t="shared" si="372"/>
        <v>0</v>
      </c>
      <c r="AN637" s="225">
        <f t="shared" si="372"/>
        <v>0</v>
      </c>
      <c r="AO637" s="225">
        <f t="shared" si="372"/>
        <v>0</v>
      </c>
      <c r="AP637" s="225">
        <f t="shared" si="372"/>
        <v>0</v>
      </c>
    </row>
    <row r="638" spans="1:42" x14ac:dyDescent="0.2">
      <c r="A638" s="4" t="s">
        <v>31</v>
      </c>
      <c r="B638" s="224">
        <f>SUM(B635:B637)</f>
        <v>0</v>
      </c>
      <c r="C638" s="224">
        <f>SUM(C635:C637)</f>
        <v>0</v>
      </c>
      <c r="D638" s="224">
        <f t="shared" ref="D638:AP638" si="373">SUM(D635:D637)</f>
        <v>0</v>
      </c>
      <c r="E638" s="224">
        <f t="shared" si="373"/>
        <v>0</v>
      </c>
      <c r="F638" s="224">
        <f t="shared" si="373"/>
        <v>0</v>
      </c>
      <c r="G638" s="224">
        <f t="shared" si="373"/>
        <v>0</v>
      </c>
      <c r="H638" s="224">
        <f t="shared" si="373"/>
        <v>0</v>
      </c>
      <c r="I638" s="224">
        <f t="shared" si="373"/>
        <v>0</v>
      </c>
      <c r="J638" s="224">
        <f t="shared" si="373"/>
        <v>0</v>
      </c>
      <c r="K638" s="224">
        <f t="shared" si="373"/>
        <v>0</v>
      </c>
      <c r="L638" s="224">
        <f t="shared" si="373"/>
        <v>0</v>
      </c>
      <c r="M638" s="224">
        <f t="shared" si="373"/>
        <v>0</v>
      </c>
      <c r="N638" s="224">
        <f t="shared" si="373"/>
        <v>0</v>
      </c>
      <c r="O638" s="224">
        <f t="shared" si="373"/>
        <v>0</v>
      </c>
      <c r="P638" s="224">
        <f t="shared" si="373"/>
        <v>0</v>
      </c>
      <c r="Q638" s="224">
        <f t="shared" si="373"/>
        <v>0</v>
      </c>
      <c r="R638" s="224">
        <f t="shared" si="373"/>
        <v>0</v>
      </c>
      <c r="S638" s="224">
        <f t="shared" si="373"/>
        <v>0</v>
      </c>
      <c r="T638" s="224">
        <f t="shared" si="373"/>
        <v>0</v>
      </c>
      <c r="U638" s="224">
        <f t="shared" si="373"/>
        <v>0</v>
      </c>
      <c r="V638" s="224">
        <f t="shared" si="373"/>
        <v>0</v>
      </c>
      <c r="W638" s="224">
        <f t="shared" si="373"/>
        <v>0</v>
      </c>
      <c r="X638" s="224">
        <f t="shared" si="373"/>
        <v>0</v>
      </c>
      <c r="Y638" s="224">
        <f t="shared" si="373"/>
        <v>0</v>
      </c>
      <c r="Z638" s="224">
        <f t="shared" si="373"/>
        <v>0</v>
      </c>
      <c r="AA638" s="224">
        <f t="shared" si="373"/>
        <v>0</v>
      </c>
      <c r="AB638" s="224">
        <f t="shared" si="373"/>
        <v>0</v>
      </c>
      <c r="AC638" s="224">
        <f t="shared" si="373"/>
        <v>0</v>
      </c>
      <c r="AD638" s="224">
        <f t="shared" si="373"/>
        <v>0</v>
      </c>
      <c r="AE638" s="224">
        <f t="shared" si="373"/>
        <v>0</v>
      </c>
      <c r="AF638" s="224">
        <f t="shared" si="373"/>
        <v>0</v>
      </c>
      <c r="AG638" s="224">
        <f t="shared" si="373"/>
        <v>0</v>
      </c>
      <c r="AH638" s="224">
        <f t="shared" si="373"/>
        <v>0</v>
      </c>
      <c r="AI638" s="224">
        <f t="shared" si="373"/>
        <v>0</v>
      </c>
      <c r="AJ638" s="224">
        <f t="shared" si="373"/>
        <v>0</v>
      </c>
      <c r="AK638" s="224">
        <f t="shared" si="373"/>
        <v>0</v>
      </c>
      <c r="AL638" s="224">
        <f t="shared" si="373"/>
        <v>0</v>
      </c>
      <c r="AM638" s="224">
        <f t="shared" si="373"/>
        <v>0</v>
      </c>
      <c r="AN638" s="224">
        <f t="shared" si="373"/>
        <v>0</v>
      </c>
      <c r="AO638" s="224">
        <f t="shared" si="373"/>
        <v>0</v>
      </c>
      <c r="AP638" s="224">
        <f t="shared" si="373"/>
        <v>0</v>
      </c>
    </row>
    <row r="639" spans="1:42" s="127" customFormat="1" x14ac:dyDescent="0.2">
      <c r="A639" s="4"/>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D639" s="210"/>
      <c r="AE639" s="210"/>
      <c r="AF639" s="210"/>
      <c r="AG639" s="210"/>
      <c r="AH639" s="210"/>
      <c r="AI639" s="210"/>
      <c r="AJ639" s="210"/>
      <c r="AK639" s="210"/>
      <c r="AL639" s="210"/>
      <c r="AM639" s="210"/>
      <c r="AN639" s="210"/>
      <c r="AO639" s="210"/>
      <c r="AP639" s="210"/>
    </row>
    <row r="640" spans="1:42" s="127" customFormat="1" x14ac:dyDescent="0.2">
      <c r="A640" s="4" t="s">
        <v>84</v>
      </c>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27" customFormat="1" x14ac:dyDescent="0.2">
      <c r="A641" s="4" t="s">
        <v>85</v>
      </c>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x14ac:dyDescent="0.2">
      <c r="A642" s="4">
        <v>1</v>
      </c>
      <c r="B642" s="245">
        <f t="shared" ref="B642:B651" si="374">SUM(C642:AP642)</f>
        <v>0</v>
      </c>
      <c r="C642" s="220">
        <f t="shared" ref="C642:AP642" si="375">IF(C$2&gt;analysis_period,0,IF(C$2=equip3_reserve_freq*$A642,equip3_reserve_cost*system_capacity*1000*(1+inflation_rate/100)^B$2,0))</f>
        <v>0</v>
      </c>
      <c r="D642" s="220">
        <f t="shared" si="375"/>
        <v>0</v>
      </c>
      <c r="E642" s="220">
        <f t="shared" si="375"/>
        <v>0</v>
      </c>
      <c r="F642" s="220">
        <f t="shared" si="375"/>
        <v>0</v>
      </c>
      <c r="G642" s="220">
        <f t="shared" si="375"/>
        <v>0</v>
      </c>
      <c r="H642" s="220">
        <f t="shared" si="375"/>
        <v>0</v>
      </c>
      <c r="I642" s="220">
        <f t="shared" si="375"/>
        <v>0</v>
      </c>
      <c r="J642" s="220">
        <f t="shared" si="375"/>
        <v>0</v>
      </c>
      <c r="K642" s="220">
        <f t="shared" si="375"/>
        <v>0</v>
      </c>
      <c r="L642" s="220">
        <f t="shared" si="375"/>
        <v>0</v>
      </c>
      <c r="M642" s="220">
        <f t="shared" si="375"/>
        <v>0</v>
      </c>
      <c r="N642" s="220">
        <f t="shared" si="375"/>
        <v>0</v>
      </c>
      <c r="O642" s="220">
        <f t="shared" si="375"/>
        <v>0</v>
      </c>
      <c r="P642" s="220">
        <f t="shared" si="375"/>
        <v>0</v>
      </c>
      <c r="Q642" s="220">
        <f t="shared" si="375"/>
        <v>0</v>
      </c>
      <c r="R642" s="220">
        <f t="shared" si="375"/>
        <v>0</v>
      </c>
      <c r="S642" s="220">
        <f t="shared" si="375"/>
        <v>0</v>
      </c>
      <c r="T642" s="220">
        <f t="shared" si="375"/>
        <v>0</v>
      </c>
      <c r="U642" s="220">
        <f t="shared" si="375"/>
        <v>0</v>
      </c>
      <c r="V642" s="220">
        <f t="shared" si="375"/>
        <v>0</v>
      </c>
      <c r="W642" s="220">
        <f t="shared" si="375"/>
        <v>0</v>
      </c>
      <c r="X642" s="220">
        <f t="shared" si="375"/>
        <v>0</v>
      </c>
      <c r="Y642" s="220">
        <f t="shared" si="375"/>
        <v>0</v>
      </c>
      <c r="Z642" s="220">
        <f t="shared" si="375"/>
        <v>0</v>
      </c>
      <c r="AA642" s="220">
        <f t="shared" si="375"/>
        <v>0</v>
      </c>
      <c r="AB642" s="220">
        <f t="shared" si="375"/>
        <v>0</v>
      </c>
      <c r="AC642" s="220">
        <f t="shared" si="375"/>
        <v>0</v>
      </c>
      <c r="AD642" s="220">
        <f t="shared" si="375"/>
        <v>0</v>
      </c>
      <c r="AE642" s="220">
        <f t="shared" si="375"/>
        <v>0</v>
      </c>
      <c r="AF642" s="220">
        <f t="shared" si="375"/>
        <v>0</v>
      </c>
      <c r="AG642" s="220">
        <f t="shared" si="375"/>
        <v>0</v>
      </c>
      <c r="AH642" s="220">
        <f t="shared" si="375"/>
        <v>0</v>
      </c>
      <c r="AI642" s="220">
        <f t="shared" si="375"/>
        <v>0</v>
      </c>
      <c r="AJ642" s="220">
        <f t="shared" si="375"/>
        <v>0</v>
      </c>
      <c r="AK642" s="220">
        <f t="shared" si="375"/>
        <v>0</v>
      </c>
      <c r="AL642" s="220">
        <f t="shared" si="375"/>
        <v>0</v>
      </c>
      <c r="AM642" s="220">
        <f t="shared" si="375"/>
        <v>0</v>
      </c>
      <c r="AN642" s="220">
        <f t="shared" si="375"/>
        <v>0</v>
      </c>
      <c r="AO642" s="220">
        <f t="shared" si="375"/>
        <v>0</v>
      </c>
      <c r="AP642" s="220">
        <f t="shared" si="375"/>
        <v>0</v>
      </c>
    </row>
    <row r="643" spans="1:42" x14ac:dyDescent="0.2">
      <c r="A643" s="4">
        <f>A642+1</f>
        <v>2</v>
      </c>
      <c r="B643" s="245">
        <f t="shared" si="374"/>
        <v>0</v>
      </c>
      <c r="C643" s="220">
        <f t="shared" ref="C643:AP643" si="376">IF(C$2&gt;analysis_period,0,IF(C$2=equip3_reserve_freq*$A643,equip3_reserve_cost*system_capacity*1000*(1+inflation_rate/100)^B$2,0))</f>
        <v>0</v>
      </c>
      <c r="D643" s="220">
        <f t="shared" si="376"/>
        <v>0</v>
      </c>
      <c r="E643" s="220">
        <f t="shared" si="376"/>
        <v>0</v>
      </c>
      <c r="F643" s="220">
        <f t="shared" si="376"/>
        <v>0</v>
      </c>
      <c r="G643" s="220">
        <f t="shared" si="376"/>
        <v>0</v>
      </c>
      <c r="H643" s="220">
        <f t="shared" si="376"/>
        <v>0</v>
      </c>
      <c r="I643" s="220">
        <f t="shared" si="376"/>
        <v>0</v>
      </c>
      <c r="J643" s="220">
        <f t="shared" si="376"/>
        <v>0</v>
      </c>
      <c r="K643" s="220">
        <f t="shared" si="376"/>
        <v>0</v>
      </c>
      <c r="L643" s="220">
        <f t="shared" si="376"/>
        <v>0</v>
      </c>
      <c r="M643" s="220">
        <f t="shared" si="376"/>
        <v>0</v>
      </c>
      <c r="N643" s="220">
        <f t="shared" si="376"/>
        <v>0</v>
      </c>
      <c r="O643" s="220">
        <f t="shared" si="376"/>
        <v>0</v>
      </c>
      <c r="P643" s="220">
        <f t="shared" si="376"/>
        <v>0</v>
      </c>
      <c r="Q643" s="220">
        <f t="shared" si="376"/>
        <v>0</v>
      </c>
      <c r="R643" s="220">
        <f t="shared" si="376"/>
        <v>0</v>
      </c>
      <c r="S643" s="220">
        <f t="shared" si="376"/>
        <v>0</v>
      </c>
      <c r="T643" s="220">
        <f t="shared" si="376"/>
        <v>0</v>
      </c>
      <c r="U643" s="220">
        <f t="shared" si="376"/>
        <v>0</v>
      </c>
      <c r="V643" s="220">
        <f t="shared" si="376"/>
        <v>0</v>
      </c>
      <c r="W643" s="220">
        <f t="shared" si="376"/>
        <v>0</v>
      </c>
      <c r="X643" s="220">
        <f t="shared" si="376"/>
        <v>0</v>
      </c>
      <c r="Y643" s="220">
        <f t="shared" si="376"/>
        <v>0</v>
      </c>
      <c r="Z643" s="220">
        <f t="shared" si="376"/>
        <v>0</v>
      </c>
      <c r="AA643" s="220">
        <f t="shared" si="376"/>
        <v>0</v>
      </c>
      <c r="AB643" s="220">
        <f t="shared" si="376"/>
        <v>0</v>
      </c>
      <c r="AC643" s="220">
        <f t="shared" si="376"/>
        <v>0</v>
      </c>
      <c r="AD643" s="220">
        <f t="shared" si="376"/>
        <v>0</v>
      </c>
      <c r="AE643" s="220">
        <f t="shared" si="376"/>
        <v>0</v>
      </c>
      <c r="AF643" s="220">
        <f t="shared" si="376"/>
        <v>0</v>
      </c>
      <c r="AG643" s="220">
        <f t="shared" si="376"/>
        <v>0</v>
      </c>
      <c r="AH643" s="220">
        <f t="shared" si="376"/>
        <v>0</v>
      </c>
      <c r="AI643" s="220">
        <f t="shared" si="376"/>
        <v>0</v>
      </c>
      <c r="AJ643" s="220">
        <f t="shared" si="376"/>
        <v>0</v>
      </c>
      <c r="AK643" s="220">
        <f t="shared" si="376"/>
        <v>0</v>
      </c>
      <c r="AL643" s="220">
        <f t="shared" si="376"/>
        <v>0</v>
      </c>
      <c r="AM643" s="220">
        <f t="shared" si="376"/>
        <v>0</v>
      </c>
      <c r="AN643" s="220">
        <f t="shared" si="376"/>
        <v>0</v>
      </c>
      <c r="AO643" s="220">
        <f t="shared" si="376"/>
        <v>0</v>
      </c>
      <c r="AP643" s="220">
        <f t="shared" si="376"/>
        <v>0</v>
      </c>
    </row>
    <row r="644" spans="1:42" x14ac:dyDescent="0.2">
      <c r="A644" s="4">
        <f t="shared" ref="A644:A651" si="377">A643+1</f>
        <v>3</v>
      </c>
      <c r="B644" s="245">
        <f t="shared" si="374"/>
        <v>0</v>
      </c>
      <c r="C644" s="220">
        <f t="shared" ref="C644:AP644" si="378">IF(C$2&gt;analysis_period,0,IF(C$2=equip3_reserve_freq*$A644,equip3_reserve_cost*system_capacity*1000*(1+inflation_rate/100)^B$2,0))</f>
        <v>0</v>
      </c>
      <c r="D644" s="220">
        <f t="shared" si="378"/>
        <v>0</v>
      </c>
      <c r="E644" s="220">
        <f t="shared" si="378"/>
        <v>0</v>
      </c>
      <c r="F644" s="220">
        <f t="shared" si="378"/>
        <v>0</v>
      </c>
      <c r="G644" s="220">
        <f t="shared" si="378"/>
        <v>0</v>
      </c>
      <c r="H644" s="220">
        <f t="shared" si="378"/>
        <v>0</v>
      </c>
      <c r="I644" s="220">
        <f t="shared" si="378"/>
        <v>0</v>
      </c>
      <c r="J644" s="220">
        <f t="shared" si="378"/>
        <v>0</v>
      </c>
      <c r="K644" s="220">
        <f t="shared" si="378"/>
        <v>0</v>
      </c>
      <c r="L644" s="220">
        <f t="shared" si="378"/>
        <v>0</v>
      </c>
      <c r="M644" s="220">
        <f t="shared" si="378"/>
        <v>0</v>
      </c>
      <c r="N644" s="220">
        <f t="shared" si="378"/>
        <v>0</v>
      </c>
      <c r="O644" s="220">
        <f t="shared" si="378"/>
        <v>0</v>
      </c>
      <c r="P644" s="220">
        <f t="shared" si="378"/>
        <v>0</v>
      </c>
      <c r="Q644" s="220">
        <f t="shared" si="378"/>
        <v>0</v>
      </c>
      <c r="R644" s="220">
        <f t="shared" si="378"/>
        <v>0</v>
      </c>
      <c r="S644" s="220">
        <f t="shared" si="378"/>
        <v>0</v>
      </c>
      <c r="T644" s="220">
        <f t="shared" si="378"/>
        <v>0</v>
      </c>
      <c r="U644" s="220">
        <f t="shared" si="378"/>
        <v>0</v>
      </c>
      <c r="V644" s="220">
        <f t="shared" si="378"/>
        <v>0</v>
      </c>
      <c r="W644" s="220">
        <f t="shared" si="378"/>
        <v>0</v>
      </c>
      <c r="X644" s="220">
        <f t="shared" si="378"/>
        <v>0</v>
      </c>
      <c r="Y644" s="220">
        <f t="shared" si="378"/>
        <v>0</v>
      </c>
      <c r="Z644" s="220">
        <f t="shared" si="378"/>
        <v>0</v>
      </c>
      <c r="AA644" s="220">
        <f t="shared" si="378"/>
        <v>0</v>
      </c>
      <c r="AB644" s="220">
        <f t="shared" si="378"/>
        <v>0</v>
      </c>
      <c r="AC644" s="220">
        <f t="shared" si="378"/>
        <v>0</v>
      </c>
      <c r="AD644" s="220">
        <f t="shared" si="378"/>
        <v>0</v>
      </c>
      <c r="AE644" s="220">
        <f t="shared" si="378"/>
        <v>0</v>
      </c>
      <c r="AF644" s="220">
        <f t="shared" si="378"/>
        <v>0</v>
      </c>
      <c r="AG644" s="220">
        <f t="shared" si="378"/>
        <v>0</v>
      </c>
      <c r="AH644" s="220">
        <f t="shared" si="378"/>
        <v>0</v>
      </c>
      <c r="AI644" s="220">
        <f t="shared" si="378"/>
        <v>0</v>
      </c>
      <c r="AJ644" s="220">
        <f t="shared" si="378"/>
        <v>0</v>
      </c>
      <c r="AK644" s="220">
        <f t="shared" si="378"/>
        <v>0</v>
      </c>
      <c r="AL644" s="220">
        <f t="shared" si="378"/>
        <v>0</v>
      </c>
      <c r="AM644" s="220">
        <f t="shared" si="378"/>
        <v>0</v>
      </c>
      <c r="AN644" s="220">
        <f t="shared" si="378"/>
        <v>0</v>
      </c>
      <c r="AO644" s="220">
        <f t="shared" si="378"/>
        <v>0</v>
      </c>
      <c r="AP644" s="220">
        <f t="shared" si="378"/>
        <v>0</v>
      </c>
    </row>
    <row r="645" spans="1:42" x14ac:dyDescent="0.2">
      <c r="A645" s="4">
        <f t="shared" si="377"/>
        <v>4</v>
      </c>
      <c r="B645" s="245">
        <f t="shared" si="374"/>
        <v>0</v>
      </c>
      <c r="C645" s="220">
        <f t="shared" ref="C645:AP645" si="379">IF(C$2&gt;analysis_period,0,IF(C$2=equip3_reserve_freq*$A645,equip3_reserve_cost*system_capacity*1000*(1+inflation_rate/100)^B$2,0))</f>
        <v>0</v>
      </c>
      <c r="D645" s="220">
        <f t="shared" si="379"/>
        <v>0</v>
      </c>
      <c r="E645" s="220">
        <f t="shared" si="379"/>
        <v>0</v>
      </c>
      <c r="F645" s="220">
        <f t="shared" si="379"/>
        <v>0</v>
      </c>
      <c r="G645" s="220">
        <f t="shared" si="379"/>
        <v>0</v>
      </c>
      <c r="H645" s="220">
        <f t="shared" si="379"/>
        <v>0</v>
      </c>
      <c r="I645" s="220">
        <f t="shared" si="379"/>
        <v>0</v>
      </c>
      <c r="J645" s="220">
        <f t="shared" si="379"/>
        <v>0</v>
      </c>
      <c r="K645" s="220">
        <f t="shared" si="379"/>
        <v>0</v>
      </c>
      <c r="L645" s="220">
        <f t="shared" si="379"/>
        <v>0</v>
      </c>
      <c r="M645" s="220">
        <f t="shared" si="379"/>
        <v>0</v>
      </c>
      <c r="N645" s="220">
        <f t="shared" si="379"/>
        <v>0</v>
      </c>
      <c r="O645" s="220">
        <f t="shared" si="379"/>
        <v>0</v>
      </c>
      <c r="P645" s="220">
        <f t="shared" si="379"/>
        <v>0</v>
      </c>
      <c r="Q645" s="220">
        <f t="shared" si="379"/>
        <v>0</v>
      </c>
      <c r="R645" s="220">
        <f t="shared" si="379"/>
        <v>0</v>
      </c>
      <c r="S645" s="220">
        <f t="shared" si="379"/>
        <v>0</v>
      </c>
      <c r="T645" s="220">
        <f t="shared" si="379"/>
        <v>0</v>
      </c>
      <c r="U645" s="220">
        <f t="shared" si="379"/>
        <v>0</v>
      </c>
      <c r="V645" s="220">
        <f t="shared" si="379"/>
        <v>0</v>
      </c>
      <c r="W645" s="220">
        <f t="shared" si="379"/>
        <v>0</v>
      </c>
      <c r="X645" s="220">
        <f t="shared" si="379"/>
        <v>0</v>
      </c>
      <c r="Y645" s="220">
        <f t="shared" si="379"/>
        <v>0</v>
      </c>
      <c r="Z645" s="220">
        <f t="shared" si="379"/>
        <v>0</v>
      </c>
      <c r="AA645" s="220">
        <f t="shared" si="379"/>
        <v>0</v>
      </c>
      <c r="AB645" s="220">
        <f t="shared" si="379"/>
        <v>0</v>
      </c>
      <c r="AC645" s="220">
        <f t="shared" si="379"/>
        <v>0</v>
      </c>
      <c r="AD645" s="220">
        <f t="shared" si="379"/>
        <v>0</v>
      </c>
      <c r="AE645" s="220">
        <f t="shared" si="379"/>
        <v>0</v>
      </c>
      <c r="AF645" s="220">
        <f t="shared" si="379"/>
        <v>0</v>
      </c>
      <c r="AG645" s="220">
        <f t="shared" si="379"/>
        <v>0</v>
      </c>
      <c r="AH645" s="220">
        <f t="shared" si="379"/>
        <v>0</v>
      </c>
      <c r="AI645" s="220">
        <f t="shared" si="379"/>
        <v>0</v>
      </c>
      <c r="AJ645" s="220">
        <f t="shared" si="379"/>
        <v>0</v>
      </c>
      <c r="AK645" s="220">
        <f t="shared" si="379"/>
        <v>0</v>
      </c>
      <c r="AL645" s="220">
        <f t="shared" si="379"/>
        <v>0</v>
      </c>
      <c r="AM645" s="220">
        <f t="shared" si="379"/>
        <v>0</v>
      </c>
      <c r="AN645" s="220">
        <f t="shared" si="379"/>
        <v>0</v>
      </c>
      <c r="AO645" s="220">
        <f t="shared" si="379"/>
        <v>0</v>
      </c>
      <c r="AP645" s="220">
        <f t="shared" si="379"/>
        <v>0</v>
      </c>
    </row>
    <row r="646" spans="1:42" x14ac:dyDescent="0.2">
      <c r="A646" s="4">
        <f t="shared" si="377"/>
        <v>5</v>
      </c>
      <c r="B646" s="245">
        <f t="shared" si="374"/>
        <v>0</v>
      </c>
      <c r="C646" s="220">
        <f t="shared" ref="C646:AP646" si="380">IF(C$2&gt;analysis_period,0,IF(C$2=equip3_reserve_freq*$A646,equip3_reserve_cost*system_capacity*1000*(1+inflation_rate/100)^B$2,0))</f>
        <v>0</v>
      </c>
      <c r="D646" s="220">
        <f t="shared" si="380"/>
        <v>0</v>
      </c>
      <c r="E646" s="220">
        <f t="shared" si="380"/>
        <v>0</v>
      </c>
      <c r="F646" s="220">
        <f t="shared" si="380"/>
        <v>0</v>
      </c>
      <c r="G646" s="220">
        <f t="shared" si="380"/>
        <v>0</v>
      </c>
      <c r="H646" s="220">
        <f t="shared" si="380"/>
        <v>0</v>
      </c>
      <c r="I646" s="220">
        <f t="shared" si="380"/>
        <v>0</v>
      </c>
      <c r="J646" s="220">
        <f t="shared" si="380"/>
        <v>0</v>
      </c>
      <c r="K646" s="220">
        <f t="shared" si="380"/>
        <v>0</v>
      </c>
      <c r="L646" s="220">
        <f t="shared" si="380"/>
        <v>0</v>
      </c>
      <c r="M646" s="220">
        <f t="shared" si="380"/>
        <v>0</v>
      </c>
      <c r="N646" s="220">
        <f t="shared" si="380"/>
        <v>0</v>
      </c>
      <c r="O646" s="220">
        <f t="shared" si="380"/>
        <v>0</v>
      </c>
      <c r="P646" s="220">
        <f t="shared" si="380"/>
        <v>0</v>
      </c>
      <c r="Q646" s="220">
        <f t="shared" si="380"/>
        <v>0</v>
      </c>
      <c r="R646" s="220">
        <f t="shared" si="380"/>
        <v>0</v>
      </c>
      <c r="S646" s="220">
        <f t="shared" si="380"/>
        <v>0</v>
      </c>
      <c r="T646" s="220">
        <f t="shared" si="380"/>
        <v>0</v>
      </c>
      <c r="U646" s="220">
        <f t="shared" si="380"/>
        <v>0</v>
      </c>
      <c r="V646" s="220">
        <f t="shared" si="380"/>
        <v>0</v>
      </c>
      <c r="W646" s="220">
        <f t="shared" si="380"/>
        <v>0</v>
      </c>
      <c r="X646" s="220">
        <f t="shared" si="380"/>
        <v>0</v>
      </c>
      <c r="Y646" s="220">
        <f t="shared" si="380"/>
        <v>0</v>
      </c>
      <c r="Z646" s="220">
        <f t="shared" si="380"/>
        <v>0</v>
      </c>
      <c r="AA646" s="220">
        <f t="shared" si="380"/>
        <v>0</v>
      </c>
      <c r="AB646" s="220">
        <f t="shared" si="380"/>
        <v>0</v>
      </c>
      <c r="AC646" s="220">
        <f t="shared" si="380"/>
        <v>0</v>
      </c>
      <c r="AD646" s="220">
        <f t="shared" si="380"/>
        <v>0</v>
      </c>
      <c r="AE646" s="220">
        <f t="shared" si="380"/>
        <v>0</v>
      </c>
      <c r="AF646" s="220">
        <f t="shared" si="380"/>
        <v>0</v>
      </c>
      <c r="AG646" s="220">
        <f t="shared" si="380"/>
        <v>0</v>
      </c>
      <c r="AH646" s="220">
        <f t="shared" si="380"/>
        <v>0</v>
      </c>
      <c r="AI646" s="220">
        <f t="shared" si="380"/>
        <v>0</v>
      </c>
      <c r="AJ646" s="220">
        <f t="shared" si="380"/>
        <v>0</v>
      </c>
      <c r="AK646" s="220">
        <f t="shared" si="380"/>
        <v>0</v>
      </c>
      <c r="AL646" s="220">
        <f t="shared" si="380"/>
        <v>0</v>
      </c>
      <c r="AM646" s="220">
        <f t="shared" si="380"/>
        <v>0</v>
      </c>
      <c r="AN646" s="220">
        <f t="shared" si="380"/>
        <v>0</v>
      </c>
      <c r="AO646" s="220">
        <f t="shared" si="380"/>
        <v>0</v>
      </c>
      <c r="AP646" s="220">
        <f t="shared" si="380"/>
        <v>0</v>
      </c>
    </row>
    <row r="647" spans="1:42" x14ac:dyDescent="0.2">
      <c r="A647" s="4">
        <f t="shared" si="377"/>
        <v>6</v>
      </c>
      <c r="B647" s="245">
        <f t="shared" si="374"/>
        <v>0</v>
      </c>
      <c r="C647" s="220">
        <f t="shared" ref="C647:AP647" si="381">IF(C$2&gt;analysis_period,0,IF(C$2=equip3_reserve_freq*$A647,equip3_reserve_cost*system_capacity*1000*(1+inflation_rate/100)^B$2,0))</f>
        <v>0</v>
      </c>
      <c r="D647" s="220">
        <f t="shared" si="381"/>
        <v>0</v>
      </c>
      <c r="E647" s="220">
        <f t="shared" si="381"/>
        <v>0</v>
      </c>
      <c r="F647" s="220">
        <f t="shared" si="381"/>
        <v>0</v>
      </c>
      <c r="G647" s="220">
        <f t="shared" si="381"/>
        <v>0</v>
      </c>
      <c r="H647" s="220">
        <f t="shared" si="381"/>
        <v>0</v>
      </c>
      <c r="I647" s="220">
        <f t="shared" si="381"/>
        <v>0</v>
      </c>
      <c r="J647" s="220">
        <f t="shared" si="381"/>
        <v>0</v>
      </c>
      <c r="K647" s="220">
        <f t="shared" si="381"/>
        <v>0</v>
      </c>
      <c r="L647" s="220">
        <f t="shared" si="381"/>
        <v>0</v>
      </c>
      <c r="M647" s="220">
        <f t="shared" si="381"/>
        <v>0</v>
      </c>
      <c r="N647" s="220">
        <f t="shared" si="381"/>
        <v>0</v>
      </c>
      <c r="O647" s="220">
        <f t="shared" si="381"/>
        <v>0</v>
      </c>
      <c r="P647" s="220">
        <f t="shared" si="381"/>
        <v>0</v>
      </c>
      <c r="Q647" s="220">
        <f t="shared" si="381"/>
        <v>0</v>
      </c>
      <c r="R647" s="220">
        <f t="shared" si="381"/>
        <v>0</v>
      </c>
      <c r="S647" s="220">
        <f t="shared" si="381"/>
        <v>0</v>
      </c>
      <c r="T647" s="220">
        <f t="shared" si="381"/>
        <v>0</v>
      </c>
      <c r="U647" s="220">
        <f t="shared" si="381"/>
        <v>0</v>
      </c>
      <c r="V647" s="220">
        <f t="shared" si="381"/>
        <v>0</v>
      </c>
      <c r="W647" s="220">
        <f t="shared" si="381"/>
        <v>0</v>
      </c>
      <c r="X647" s="220">
        <f t="shared" si="381"/>
        <v>0</v>
      </c>
      <c r="Y647" s="220">
        <f t="shared" si="381"/>
        <v>0</v>
      </c>
      <c r="Z647" s="220">
        <f t="shared" si="381"/>
        <v>0</v>
      </c>
      <c r="AA647" s="220">
        <f t="shared" si="381"/>
        <v>0</v>
      </c>
      <c r="AB647" s="220">
        <f t="shared" si="381"/>
        <v>0</v>
      </c>
      <c r="AC647" s="220">
        <f t="shared" si="381"/>
        <v>0</v>
      </c>
      <c r="AD647" s="220">
        <f t="shared" si="381"/>
        <v>0</v>
      </c>
      <c r="AE647" s="220">
        <f t="shared" si="381"/>
        <v>0</v>
      </c>
      <c r="AF647" s="220">
        <f t="shared" si="381"/>
        <v>0</v>
      </c>
      <c r="AG647" s="220">
        <f t="shared" si="381"/>
        <v>0</v>
      </c>
      <c r="AH647" s="220">
        <f t="shared" si="381"/>
        <v>0</v>
      </c>
      <c r="AI647" s="220">
        <f t="shared" si="381"/>
        <v>0</v>
      </c>
      <c r="AJ647" s="220">
        <f t="shared" si="381"/>
        <v>0</v>
      </c>
      <c r="AK647" s="220">
        <f t="shared" si="381"/>
        <v>0</v>
      </c>
      <c r="AL647" s="220">
        <f t="shared" si="381"/>
        <v>0</v>
      </c>
      <c r="AM647" s="220">
        <f t="shared" si="381"/>
        <v>0</v>
      </c>
      <c r="AN647" s="220">
        <f t="shared" si="381"/>
        <v>0</v>
      </c>
      <c r="AO647" s="220">
        <f t="shared" si="381"/>
        <v>0</v>
      </c>
      <c r="AP647" s="220">
        <f t="shared" si="381"/>
        <v>0</v>
      </c>
    </row>
    <row r="648" spans="1:42" x14ac:dyDescent="0.2">
      <c r="A648" s="4">
        <f t="shared" si="377"/>
        <v>7</v>
      </c>
      <c r="B648" s="245">
        <f t="shared" si="374"/>
        <v>0</v>
      </c>
      <c r="C648" s="220">
        <f t="shared" ref="C648:AP648" si="382">IF(C$2&gt;analysis_period,0,IF(C$2=equip3_reserve_freq*$A648,equip3_reserve_cost*system_capacity*1000*(1+inflation_rate/100)^B$2,0))</f>
        <v>0</v>
      </c>
      <c r="D648" s="220">
        <f t="shared" si="382"/>
        <v>0</v>
      </c>
      <c r="E648" s="220">
        <f t="shared" si="382"/>
        <v>0</v>
      </c>
      <c r="F648" s="220">
        <f t="shared" si="382"/>
        <v>0</v>
      </c>
      <c r="G648" s="220">
        <f t="shared" si="382"/>
        <v>0</v>
      </c>
      <c r="H648" s="220">
        <f t="shared" si="382"/>
        <v>0</v>
      </c>
      <c r="I648" s="220">
        <f t="shared" si="382"/>
        <v>0</v>
      </c>
      <c r="J648" s="220">
        <f t="shared" si="382"/>
        <v>0</v>
      </c>
      <c r="K648" s="220">
        <f t="shared" si="382"/>
        <v>0</v>
      </c>
      <c r="L648" s="220">
        <f t="shared" si="382"/>
        <v>0</v>
      </c>
      <c r="M648" s="220">
        <f t="shared" si="382"/>
        <v>0</v>
      </c>
      <c r="N648" s="220">
        <f t="shared" si="382"/>
        <v>0</v>
      </c>
      <c r="O648" s="220">
        <f t="shared" si="382"/>
        <v>0</v>
      </c>
      <c r="P648" s="220">
        <f t="shared" si="382"/>
        <v>0</v>
      </c>
      <c r="Q648" s="220">
        <f t="shared" si="382"/>
        <v>0</v>
      </c>
      <c r="R648" s="220">
        <f t="shared" si="382"/>
        <v>0</v>
      </c>
      <c r="S648" s="220">
        <f t="shared" si="382"/>
        <v>0</v>
      </c>
      <c r="T648" s="220">
        <f t="shared" si="382"/>
        <v>0</v>
      </c>
      <c r="U648" s="220">
        <f t="shared" si="382"/>
        <v>0</v>
      </c>
      <c r="V648" s="220">
        <f t="shared" si="382"/>
        <v>0</v>
      </c>
      <c r="W648" s="220">
        <f t="shared" si="382"/>
        <v>0</v>
      </c>
      <c r="X648" s="220">
        <f t="shared" si="382"/>
        <v>0</v>
      </c>
      <c r="Y648" s="220">
        <f t="shared" si="382"/>
        <v>0</v>
      </c>
      <c r="Z648" s="220">
        <f t="shared" si="382"/>
        <v>0</v>
      </c>
      <c r="AA648" s="220">
        <f t="shared" si="382"/>
        <v>0</v>
      </c>
      <c r="AB648" s="220">
        <f t="shared" si="382"/>
        <v>0</v>
      </c>
      <c r="AC648" s="220">
        <f t="shared" si="382"/>
        <v>0</v>
      </c>
      <c r="AD648" s="220">
        <f t="shared" si="382"/>
        <v>0</v>
      </c>
      <c r="AE648" s="220">
        <f t="shared" si="382"/>
        <v>0</v>
      </c>
      <c r="AF648" s="220">
        <f t="shared" si="382"/>
        <v>0</v>
      </c>
      <c r="AG648" s="220">
        <f t="shared" si="382"/>
        <v>0</v>
      </c>
      <c r="AH648" s="220">
        <f t="shared" si="382"/>
        <v>0</v>
      </c>
      <c r="AI648" s="220">
        <f t="shared" si="382"/>
        <v>0</v>
      </c>
      <c r="AJ648" s="220">
        <f t="shared" si="382"/>
        <v>0</v>
      </c>
      <c r="AK648" s="220">
        <f t="shared" si="382"/>
        <v>0</v>
      </c>
      <c r="AL648" s="220">
        <f t="shared" si="382"/>
        <v>0</v>
      </c>
      <c r="AM648" s="220">
        <f t="shared" si="382"/>
        <v>0</v>
      </c>
      <c r="AN648" s="220">
        <f t="shared" si="382"/>
        <v>0</v>
      </c>
      <c r="AO648" s="220">
        <f t="shared" si="382"/>
        <v>0</v>
      </c>
      <c r="AP648" s="220">
        <f t="shared" si="382"/>
        <v>0</v>
      </c>
    </row>
    <row r="649" spans="1:42" x14ac:dyDescent="0.2">
      <c r="A649" s="4">
        <f t="shared" si="377"/>
        <v>8</v>
      </c>
      <c r="B649" s="245">
        <f t="shared" si="374"/>
        <v>0</v>
      </c>
      <c r="C649" s="220">
        <f t="shared" ref="C649:AP649" si="383">IF(C$2&gt;analysis_period,0,IF(C$2=equip3_reserve_freq*$A649,equip3_reserve_cost*system_capacity*1000*(1+inflation_rate/100)^B$2,0))</f>
        <v>0</v>
      </c>
      <c r="D649" s="220">
        <f t="shared" si="383"/>
        <v>0</v>
      </c>
      <c r="E649" s="220">
        <f t="shared" si="383"/>
        <v>0</v>
      </c>
      <c r="F649" s="220">
        <f t="shared" si="383"/>
        <v>0</v>
      </c>
      <c r="G649" s="220">
        <f t="shared" si="383"/>
        <v>0</v>
      </c>
      <c r="H649" s="220">
        <f t="shared" si="383"/>
        <v>0</v>
      </c>
      <c r="I649" s="220">
        <f t="shared" si="383"/>
        <v>0</v>
      </c>
      <c r="J649" s="220">
        <f t="shared" si="383"/>
        <v>0</v>
      </c>
      <c r="K649" s="220">
        <f t="shared" si="383"/>
        <v>0</v>
      </c>
      <c r="L649" s="220">
        <f t="shared" si="383"/>
        <v>0</v>
      </c>
      <c r="M649" s="220">
        <f t="shared" si="383"/>
        <v>0</v>
      </c>
      <c r="N649" s="220">
        <f t="shared" si="383"/>
        <v>0</v>
      </c>
      <c r="O649" s="220">
        <f t="shared" si="383"/>
        <v>0</v>
      </c>
      <c r="P649" s="220">
        <f t="shared" si="383"/>
        <v>0</v>
      </c>
      <c r="Q649" s="220">
        <f t="shared" si="383"/>
        <v>0</v>
      </c>
      <c r="R649" s="220">
        <f t="shared" si="383"/>
        <v>0</v>
      </c>
      <c r="S649" s="220">
        <f t="shared" si="383"/>
        <v>0</v>
      </c>
      <c r="T649" s="220">
        <f t="shared" si="383"/>
        <v>0</v>
      </c>
      <c r="U649" s="220">
        <f t="shared" si="383"/>
        <v>0</v>
      </c>
      <c r="V649" s="220">
        <f t="shared" si="383"/>
        <v>0</v>
      </c>
      <c r="W649" s="220">
        <f t="shared" si="383"/>
        <v>0</v>
      </c>
      <c r="X649" s="220">
        <f t="shared" si="383"/>
        <v>0</v>
      </c>
      <c r="Y649" s="220">
        <f t="shared" si="383"/>
        <v>0</v>
      </c>
      <c r="Z649" s="220">
        <f t="shared" si="383"/>
        <v>0</v>
      </c>
      <c r="AA649" s="220">
        <f t="shared" si="383"/>
        <v>0</v>
      </c>
      <c r="AB649" s="220">
        <f t="shared" si="383"/>
        <v>0</v>
      </c>
      <c r="AC649" s="220">
        <f t="shared" si="383"/>
        <v>0</v>
      </c>
      <c r="AD649" s="220">
        <f t="shared" si="383"/>
        <v>0</v>
      </c>
      <c r="AE649" s="220">
        <f t="shared" si="383"/>
        <v>0</v>
      </c>
      <c r="AF649" s="220">
        <f t="shared" si="383"/>
        <v>0</v>
      </c>
      <c r="AG649" s="220">
        <f t="shared" si="383"/>
        <v>0</v>
      </c>
      <c r="AH649" s="220">
        <f t="shared" si="383"/>
        <v>0</v>
      </c>
      <c r="AI649" s="220">
        <f t="shared" si="383"/>
        <v>0</v>
      </c>
      <c r="AJ649" s="220">
        <f t="shared" si="383"/>
        <v>0</v>
      </c>
      <c r="AK649" s="220">
        <f t="shared" si="383"/>
        <v>0</v>
      </c>
      <c r="AL649" s="220">
        <f t="shared" si="383"/>
        <v>0</v>
      </c>
      <c r="AM649" s="220">
        <f t="shared" si="383"/>
        <v>0</v>
      </c>
      <c r="AN649" s="220">
        <f t="shared" si="383"/>
        <v>0</v>
      </c>
      <c r="AO649" s="220">
        <f t="shared" si="383"/>
        <v>0</v>
      </c>
      <c r="AP649" s="220">
        <f t="shared" si="383"/>
        <v>0</v>
      </c>
    </row>
    <row r="650" spans="1:42" x14ac:dyDescent="0.2">
      <c r="A650" s="4">
        <f>A649+1</f>
        <v>9</v>
      </c>
      <c r="B650" s="245">
        <f t="shared" si="374"/>
        <v>0</v>
      </c>
      <c r="C650" s="220">
        <f t="shared" ref="C650:AP650" si="384">IF(C$2&gt;analysis_period,0,IF(C$2=equip3_reserve_freq*$A650,equip3_reserve_cost*system_capacity*1000*(1+inflation_rate/100)^B$2,0))</f>
        <v>0</v>
      </c>
      <c r="D650" s="220">
        <f t="shared" si="384"/>
        <v>0</v>
      </c>
      <c r="E650" s="220">
        <f t="shared" si="384"/>
        <v>0</v>
      </c>
      <c r="F650" s="220">
        <f t="shared" si="384"/>
        <v>0</v>
      </c>
      <c r="G650" s="220">
        <f t="shared" si="384"/>
        <v>0</v>
      </c>
      <c r="H650" s="220">
        <f t="shared" si="384"/>
        <v>0</v>
      </c>
      <c r="I650" s="220">
        <f t="shared" si="384"/>
        <v>0</v>
      </c>
      <c r="J650" s="220">
        <f t="shared" si="384"/>
        <v>0</v>
      </c>
      <c r="K650" s="220">
        <f t="shared" si="384"/>
        <v>0</v>
      </c>
      <c r="L650" s="220">
        <f t="shared" si="384"/>
        <v>0</v>
      </c>
      <c r="M650" s="220">
        <f t="shared" si="384"/>
        <v>0</v>
      </c>
      <c r="N650" s="220">
        <f t="shared" si="384"/>
        <v>0</v>
      </c>
      <c r="O650" s="220">
        <f t="shared" si="384"/>
        <v>0</v>
      </c>
      <c r="P650" s="220">
        <f t="shared" si="384"/>
        <v>0</v>
      </c>
      <c r="Q650" s="220">
        <f t="shared" si="384"/>
        <v>0</v>
      </c>
      <c r="R650" s="220">
        <f t="shared" si="384"/>
        <v>0</v>
      </c>
      <c r="S650" s="220">
        <f t="shared" si="384"/>
        <v>0</v>
      </c>
      <c r="T650" s="220">
        <f t="shared" si="384"/>
        <v>0</v>
      </c>
      <c r="U650" s="220">
        <f t="shared" si="384"/>
        <v>0</v>
      </c>
      <c r="V650" s="220">
        <f t="shared" si="384"/>
        <v>0</v>
      </c>
      <c r="W650" s="220">
        <f t="shared" si="384"/>
        <v>0</v>
      </c>
      <c r="X650" s="220">
        <f t="shared" si="384"/>
        <v>0</v>
      </c>
      <c r="Y650" s="220">
        <f t="shared" si="384"/>
        <v>0</v>
      </c>
      <c r="Z650" s="220">
        <f t="shared" si="384"/>
        <v>0</v>
      </c>
      <c r="AA650" s="220">
        <f t="shared" si="384"/>
        <v>0</v>
      </c>
      <c r="AB650" s="220">
        <f t="shared" si="384"/>
        <v>0</v>
      </c>
      <c r="AC650" s="220">
        <f t="shared" si="384"/>
        <v>0</v>
      </c>
      <c r="AD650" s="220">
        <f t="shared" si="384"/>
        <v>0</v>
      </c>
      <c r="AE650" s="220">
        <f t="shared" si="384"/>
        <v>0</v>
      </c>
      <c r="AF650" s="220">
        <f t="shared" si="384"/>
        <v>0</v>
      </c>
      <c r="AG650" s="220">
        <f t="shared" si="384"/>
        <v>0</v>
      </c>
      <c r="AH650" s="220">
        <f t="shared" si="384"/>
        <v>0</v>
      </c>
      <c r="AI650" s="220">
        <f t="shared" si="384"/>
        <v>0</v>
      </c>
      <c r="AJ650" s="220">
        <f t="shared" si="384"/>
        <v>0</v>
      </c>
      <c r="AK650" s="220">
        <f t="shared" si="384"/>
        <v>0</v>
      </c>
      <c r="AL650" s="220">
        <f t="shared" si="384"/>
        <v>0</v>
      </c>
      <c r="AM650" s="220">
        <f t="shared" si="384"/>
        <v>0</v>
      </c>
      <c r="AN650" s="220">
        <f t="shared" si="384"/>
        <v>0</v>
      </c>
      <c r="AO650" s="220">
        <f t="shared" si="384"/>
        <v>0</v>
      </c>
      <c r="AP650" s="220">
        <f t="shared" si="384"/>
        <v>0</v>
      </c>
    </row>
    <row r="651" spans="1:42" x14ac:dyDescent="0.2">
      <c r="A651" s="4">
        <f t="shared" si="377"/>
        <v>10</v>
      </c>
      <c r="B651" s="245">
        <f t="shared" si="374"/>
        <v>0</v>
      </c>
      <c r="C651" s="220">
        <f t="shared" ref="C651:AP651" si="385">IF(C$2&gt;analysis_period,0,IF(C$2=equip3_reserve_freq*$A651,equip3_reserve_cost*system_capacity*1000*(1+inflation_rate/100)^B$2,0))</f>
        <v>0</v>
      </c>
      <c r="D651" s="220">
        <f t="shared" si="385"/>
        <v>0</v>
      </c>
      <c r="E651" s="220">
        <f t="shared" si="385"/>
        <v>0</v>
      </c>
      <c r="F651" s="220">
        <f t="shared" si="385"/>
        <v>0</v>
      </c>
      <c r="G651" s="220">
        <f t="shared" si="385"/>
        <v>0</v>
      </c>
      <c r="H651" s="220">
        <f t="shared" si="385"/>
        <v>0</v>
      </c>
      <c r="I651" s="220">
        <f t="shared" si="385"/>
        <v>0</v>
      </c>
      <c r="J651" s="220">
        <f t="shared" si="385"/>
        <v>0</v>
      </c>
      <c r="K651" s="220">
        <f t="shared" si="385"/>
        <v>0</v>
      </c>
      <c r="L651" s="220">
        <f t="shared" si="385"/>
        <v>0</v>
      </c>
      <c r="M651" s="220">
        <f t="shared" si="385"/>
        <v>0</v>
      </c>
      <c r="N651" s="220">
        <f t="shared" si="385"/>
        <v>0</v>
      </c>
      <c r="O651" s="220">
        <f t="shared" si="385"/>
        <v>0</v>
      </c>
      <c r="P651" s="220">
        <f t="shared" si="385"/>
        <v>0</v>
      </c>
      <c r="Q651" s="220">
        <f t="shared" si="385"/>
        <v>0</v>
      </c>
      <c r="R651" s="220">
        <f t="shared" si="385"/>
        <v>0</v>
      </c>
      <c r="S651" s="220">
        <f t="shared" si="385"/>
        <v>0</v>
      </c>
      <c r="T651" s="220">
        <f t="shared" si="385"/>
        <v>0</v>
      </c>
      <c r="U651" s="220">
        <f t="shared" si="385"/>
        <v>0</v>
      </c>
      <c r="V651" s="220">
        <f t="shared" si="385"/>
        <v>0</v>
      </c>
      <c r="W651" s="220">
        <f t="shared" si="385"/>
        <v>0</v>
      </c>
      <c r="X651" s="220">
        <f t="shared" si="385"/>
        <v>0</v>
      </c>
      <c r="Y651" s="220">
        <f t="shared" si="385"/>
        <v>0</v>
      </c>
      <c r="Z651" s="220">
        <f t="shared" si="385"/>
        <v>0</v>
      </c>
      <c r="AA651" s="220">
        <f t="shared" si="385"/>
        <v>0</v>
      </c>
      <c r="AB651" s="220">
        <f t="shared" si="385"/>
        <v>0</v>
      </c>
      <c r="AC651" s="220">
        <f t="shared" si="385"/>
        <v>0</v>
      </c>
      <c r="AD651" s="220">
        <f t="shared" si="385"/>
        <v>0</v>
      </c>
      <c r="AE651" s="220">
        <f t="shared" si="385"/>
        <v>0</v>
      </c>
      <c r="AF651" s="220">
        <f t="shared" si="385"/>
        <v>0</v>
      </c>
      <c r="AG651" s="220">
        <f t="shared" si="385"/>
        <v>0</v>
      </c>
      <c r="AH651" s="220">
        <f t="shared" si="385"/>
        <v>0</v>
      </c>
      <c r="AI651" s="220">
        <f t="shared" si="385"/>
        <v>0</v>
      </c>
      <c r="AJ651" s="220">
        <f t="shared" si="385"/>
        <v>0</v>
      </c>
      <c r="AK651" s="220">
        <f t="shared" si="385"/>
        <v>0</v>
      </c>
      <c r="AL651" s="220">
        <f t="shared" si="385"/>
        <v>0</v>
      </c>
      <c r="AM651" s="220">
        <f t="shared" si="385"/>
        <v>0</v>
      </c>
      <c r="AN651" s="220">
        <f t="shared" si="385"/>
        <v>0</v>
      </c>
      <c r="AO651" s="220">
        <f t="shared" si="385"/>
        <v>0</v>
      </c>
      <c r="AP651" s="220">
        <f t="shared" si="385"/>
        <v>0</v>
      </c>
    </row>
    <row r="652" spans="1:42" x14ac:dyDescent="0.2">
      <c r="A652" s="38" t="s">
        <v>13</v>
      </c>
      <c r="B652" s="29"/>
      <c r="C652" s="224">
        <f>SUM(C642:C651)</f>
        <v>0</v>
      </c>
      <c r="D652" s="224">
        <f t="shared" ref="D652:AP652" si="386">SUM(D642:D651)</f>
        <v>0</v>
      </c>
      <c r="E652" s="224">
        <f t="shared" si="386"/>
        <v>0</v>
      </c>
      <c r="F652" s="224">
        <f t="shared" si="386"/>
        <v>0</v>
      </c>
      <c r="G652" s="224">
        <f t="shared" si="386"/>
        <v>0</v>
      </c>
      <c r="H652" s="224">
        <f t="shared" si="386"/>
        <v>0</v>
      </c>
      <c r="I652" s="224">
        <f t="shared" si="386"/>
        <v>0</v>
      </c>
      <c r="J652" s="224">
        <f t="shared" si="386"/>
        <v>0</v>
      </c>
      <c r="K652" s="224">
        <f t="shared" si="386"/>
        <v>0</v>
      </c>
      <c r="L652" s="224">
        <f t="shared" si="386"/>
        <v>0</v>
      </c>
      <c r="M652" s="224">
        <f t="shared" si="386"/>
        <v>0</v>
      </c>
      <c r="N652" s="224">
        <f t="shared" si="386"/>
        <v>0</v>
      </c>
      <c r="O652" s="224">
        <f t="shared" si="386"/>
        <v>0</v>
      </c>
      <c r="P652" s="224">
        <f t="shared" si="386"/>
        <v>0</v>
      </c>
      <c r="Q652" s="224">
        <f t="shared" si="386"/>
        <v>0</v>
      </c>
      <c r="R652" s="224">
        <f t="shared" si="386"/>
        <v>0</v>
      </c>
      <c r="S652" s="224">
        <f t="shared" si="386"/>
        <v>0</v>
      </c>
      <c r="T652" s="224">
        <f t="shared" si="386"/>
        <v>0</v>
      </c>
      <c r="U652" s="224">
        <f t="shared" si="386"/>
        <v>0</v>
      </c>
      <c r="V652" s="224">
        <f t="shared" si="386"/>
        <v>0</v>
      </c>
      <c r="W652" s="224">
        <f t="shared" si="386"/>
        <v>0</v>
      </c>
      <c r="X652" s="224">
        <f t="shared" si="386"/>
        <v>0</v>
      </c>
      <c r="Y652" s="224">
        <f t="shared" si="386"/>
        <v>0</v>
      </c>
      <c r="Z652" s="224">
        <f t="shared" si="386"/>
        <v>0</v>
      </c>
      <c r="AA652" s="224">
        <f t="shared" si="386"/>
        <v>0</v>
      </c>
      <c r="AB652" s="224">
        <f t="shared" si="386"/>
        <v>0</v>
      </c>
      <c r="AC652" s="224">
        <f t="shared" si="386"/>
        <v>0</v>
      </c>
      <c r="AD652" s="224">
        <f t="shared" si="386"/>
        <v>0</v>
      </c>
      <c r="AE652" s="224">
        <f t="shared" si="386"/>
        <v>0</v>
      </c>
      <c r="AF652" s="224">
        <f t="shared" si="386"/>
        <v>0</v>
      </c>
      <c r="AG652" s="224">
        <f t="shared" si="386"/>
        <v>0</v>
      </c>
      <c r="AH652" s="224">
        <f t="shared" si="386"/>
        <v>0</v>
      </c>
      <c r="AI652" s="224">
        <f t="shared" si="386"/>
        <v>0</v>
      </c>
      <c r="AJ652" s="224">
        <f t="shared" si="386"/>
        <v>0</v>
      </c>
      <c r="AK652" s="224">
        <f t="shared" si="386"/>
        <v>0</v>
      </c>
      <c r="AL652" s="224">
        <f t="shared" si="386"/>
        <v>0</v>
      </c>
      <c r="AM652" s="224">
        <f t="shared" si="386"/>
        <v>0</v>
      </c>
      <c r="AN652" s="224">
        <f t="shared" si="386"/>
        <v>0</v>
      </c>
      <c r="AO652" s="224">
        <f t="shared" si="386"/>
        <v>0</v>
      </c>
      <c r="AP652" s="224">
        <f t="shared" si="386"/>
        <v>0</v>
      </c>
    </row>
    <row r="653" spans="1:42" s="127" customFormat="1" x14ac:dyDescent="0.2">
      <c r="A653" s="4" t="s">
        <v>87</v>
      </c>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D653" s="210"/>
      <c r="AE653" s="210"/>
      <c r="AF653" s="210"/>
      <c r="AG653" s="210"/>
      <c r="AH653" s="210"/>
      <c r="AI653" s="210"/>
      <c r="AJ653" s="210"/>
      <c r="AK653" s="210"/>
      <c r="AL653" s="210"/>
      <c r="AM653" s="210"/>
      <c r="AN653" s="210"/>
      <c r="AO653" s="210"/>
      <c r="AP653" s="210"/>
    </row>
    <row r="654" spans="1:42" x14ac:dyDescent="0.2">
      <c r="A654" s="4">
        <v>1</v>
      </c>
      <c r="B654" s="245">
        <f t="shared" ref="B654:B663" si="387">SUM(C654:AP654)</f>
        <v>0</v>
      </c>
      <c r="C654" s="220">
        <f t="shared" ref="C654:AP654" si="388">IF(C$2&lt;=equip3_reserve_freq*$A$642,$B$642/(equip3_reserve_freq),0)</f>
        <v>0</v>
      </c>
      <c r="D654" s="220">
        <f t="shared" si="388"/>
        <v>0</v>
      </c>
      <c r="E654" s="220">
        <f t="shared" si="388"/>
        <v>0</v>
      </c>
      <c r="F654" s="220">
        <f t="shared" si="388"/>
        <v>0</v>
      </c>
      <c r="G654" s="220">
        <f t="shared" si="388"/>
        <v>0</v>
      </c>
      <c r="H654" s="220">
        <f t="shared" si="388"/>
        <v>0</v>
      </c>
      <c r="I654" s="220">
        <f t="shared" si="388"/>
        <v>0</v>
      </c>
      <c r="J654" s="220">
        <f t="shared" si="388"/>
        <v>0</v>
      </c>
      <c r="K654" s="220">
        <f t="shared" si="388"/>
        <v>0</v>
      </c>
      <c r="L654" s="220">
        <f t="shared" si="388"/>
        <v>0</v>
      </c>
      <c r="M654" s="220">
        <f t="shared" si="388"/>
        <v>0</v>
      </c>
      <c r="N654" s="220">
        <f t="shared" si="388"/>
        <v>0</v>
      </c>
      <c r="O654" s="220">
        <f t="shared" si="388"/>
        <v>0</v>
      </c>
      <c r="P654" s="220">
        <f t="shared" si="388"/>
        <v>0</v>
      </c>
      <c r="Q654" s="220">
        <f t="shared" si="388"/>
        <v>0</v>
      </c>
      <c r="R654" s="220">
        <f t="shared" si="388"/>
        <v>0</v>
      </c>
      <c r="S654" s="220">
        <f t="shared" si="388"/>
        <v>0</v>
      </c>
      <c r="T654" s="220">
        <f t="shared" si="388"/>
        <v>0</v>
      </c>
      <c r="U654" s="220">
        <f t="shared" si="388"/>
        <v>0</v>
      </c>
      <c r="V654" s="220">
        <f t="shared" si="388"/>
        <v>0</v>
      </c>
      <c r="W654" s="220">
        <f t="shared" si="388"/>
        <v>0</v>
      </c>
      <c r="X654" s="220">
        <f t="shared" si="388"/>
        <v>0</v>
      </c>
      <c r="Y654" s="220">
        <f t="shared" si="388"/>
        <v>0</v>
      </c>
      <c r="Z654" s="220">
        <f t="shared" si="388"/>
        <v>0</v>
      </c>
      <c r="AA654" s="220">
        <f t="shared" si="388"/>
        <v>0</v>
      </c>
      <c r="AB654" s="220">
        <f t="shared" si="388"/>
        <v>0</v>
      </c>
      <c r="AC654" s="220">
        <f t="shared" si="388"/>
        <v>0</v>
      </c>
      <c r="AD654" s="220">
        <f t="shared" si="388"/>
        <v>0</v>
      </c>
      <c r="AE654" s="220">
        <f t="shared" si="388"/>
        <v>0</v>
      </c>
      <c r="AF654" s="220">
        <f t="shared" si="388"/>
        <v>0</v>
      </c>
      <c r="AG654" s="220">
        <f t="shared" si="388"/>
        <v>0</v>
      </c>
      <c r="AH654" s="220">
        <f t="shared" si="388"/>
        <v>0</v>
      </c>
      <c r="AI654" s="220">
        <f t="shared" si="388"/>
        <v>0</v>
      </c>
      <c r="AJ654" s="220">
        <f t="shared" si="388"/>
        <v>0</v>
      </c>
      <c r="AK654" s="220">
        <f t="shared" si="388"/>
        <v>0</v>
      </c>
      <c r="AL654" s="220">
        <f t="shared" si="388"/>
        <v>0</v>
      </c>
      <c r="AM654" s="220">
        <f t="shared" si="388"/>
        <v>0</v>
      </c>
      <c r="AN654" s="220">
        <f t="shared" si="388"/>
        <v>0</v>
      </c>
      <c r="AO654" s="220">
        <f t="shared" si="388"/>
        <v>0</v>
      </c>
      <c r="AP654" s="220">
        <f t="shared" si="388"/>
        <v>0</v>
      </c>
    </row>
    <row r="655" spans="1:42" x14ac:dyDescent="0.2">
      <c r="A655" s="4">
        <f>A654+1</f>
        <v>2</v>
      </c>
      <c r="B655" s="245">
        <f t="shared" si="387"/>
        <v>0</v>
      </c>
      <c r="C655" s="220">
        <f t="shared" ref="C655:AP655" si="389">IF(AND(C$2&gt;equip3_reserve_freq*$A642,C$2&lt;=equip3_reserve_freq*$A643),$B643/(equip3_reserve_freq),0)</f>
        <v>0</v>
      </c>
      <c r="D655" s="220">
        <f t="shared" si="389"/>
        <v>0</v>
      </c>
      <c r="E655" s="220">
        <f t="shared" si="389"/>
        <v>0</v>
      </c>
      <c r="F655" s="220">
        <f t="shared" si="389"/>
        <v>0</v>
      </c>
      <c r="G655" s="220">
        <f t="shared" si="389"/>
        <v>0</v>
      </c>
      <c r="H655" s="220">
        <f t="shared" si="389"/>
        <v>0</v>
      </c>
      <c r="I655" s="220">
        <f t="shared" si="389"/>
        <v>0</v>
      </c>
      <c r="J655" s="220">
        <f t="shared" si="389"/>
        <v>0</v>
      </c>
      <c r="K655" s="220">
        <f t="shared" si="389"/>
        <v>0</v>
      </c>
      <c r="L655" s="220">
        <f t="shared" si="389"/>
        <v>0</v>
      </c>
      <c r="M655" s="220">
        <f t="shared" si="389"/>
        <v>0</v>
      </c>
      <c r="N655" s="220">
        <f t="shared" si="389"/>
        <v>0</v>
      </c>
      <c r="O655" s="220">
        <f t="shared" si="389"/>
        <v>0</v>
      </c>
      <c r="P655" s="220">
        <f t="shared" si="389"/>
        <v>0</v>
      </c>
      <c r="Q655" s="220">
        <f t="shared" si="389"/>
        <v>0</v>
      </c>
      <c r="R655" s="220">
        <f t="shared" si="389"/>
        <v>0</v>
      </c>
      <c r="S655" s="220">
        <f t="shared" si="389"/>
        <v>0</v>
      </c>
      <c r="T655" s="220">
        <f t="shared" si="389"/>
        <v>0</v>
      </c>
      <c r="U655" s="220">
        <f t="shared" si="389"/>
        <v>0</v>
      </c>
      <c r="V655" s="220">
        <f t="shared" si="389"/>
        <v>0</v>
      </c>
      <c r="W655" s="220">
        <f t="shared" si="389"/>
        <v>0</v>
      </c>
      <c r="X655" s="220">
        <f t="shared" si="389"/>
        <v>0</v>
      </c>
      <c r="Y655" s="220">
        <f t="shared" si="389"/>
        <v>0</v>
      </c>
      <c r="Z655" s="220">
        <f t="shared" si="389"/>
        <v>0</v>
      </c>
      <c r="AA655" s="220">
        <f t="shared" si="389"/>
        <v>0</v>
      </c>
      <c r="AB655" s="220">
        <f t="shared" si="389"/>
        <v>0</v>
      </c>
      <c r="AC655" s="220">
        <f t="shared" si="389"/>
        <v>0</v>
      </c>
      <c r="AD655" s="220">
        <f t="shared" si="389"/>
        <v>0</v>
      </c>
      <c r="AE655" s="220">
        <f t="shared" si="389"/>
        <v>0</v>
      </c>
      <c r="AF655" s="220">
        <f t="shared" si="389"/>
        <v>0</v>
      </c>
      <c r="AG655" s="220">
        <f t="shared" si="389"/>
        <v>0</v>
      </c>
      <c r="AH655" s="220">
        <f t="shared" si="389"/>
        <v>0</v>
      </c>
      <c r="AI655" s="220">
        <f t="shared" si="389"/>
        <v>0</v>
      </c>
      <c r="AJ655" s="220">
        <f t="shared" si="389"/>
        <v>0</v>
      </c>
      <c r="AK655" s="220">
        <f t="shared" si="389"/>
        <v>0</v>
      </c>
      <c r="AL655" s="220">
        <f t="shared" si="389"/>
        <v>0</v>
      </c>
      <c r="AM655" s="220">
        <f t="shared" si="389"/>
        <v>0</v>
      </c>
      <c r="AN655" s="220">
        <f t="shared" si="389"/>
        <v>0</v>
      </c>
      <c r="AO655" s="220">
        <f t="shared" si="389"/>
        <v>0</v>
      </c>
      <c r="AP655" s="220">
        <f t="shared" si="389"/>
        <v>0</v>
      </c>
    </row>
    <row r="656" spans="1:42" x14ac:dyDescent="0.2">
      <c r="A656" s="4">
        <f t="shared" ref="A656:A661" si="390">A655+1</f>
        <v>3</v>
      </c>
      <c r="B656" s="245">
        <f t="shared" si="387"/>
        <v>0</v>
      </c>
      <c r="C656" s="220">
        <f t="shared" ref="C656:AP656" si="391">IF(AND(C$2&gt;equip3_reserve_freq*$A643,C$2&lt;=equip3_reserve_freq*$A644),$B644/(equip3_reserve_freq),0)</f>
        <v>0</v>
      </c>
      <c r="D656" s="220">
        <f t="shared" si="391"/>
        <v>0</v>
      </c>
      <c r="E656" s="220">
        <f t="shared" si="391"/>
        <v>0</v>
      </c>
      <c r="F656" s="220">
        <f t="shared" si="391"/>
        <v>0</v>
      </c>
      <c r="G656" s="220">
        <f t="shared" si="391"/>
        <v>0</v>
      </c>
      <c r="H656" s="220">
        <f t="shared" si="391"/>
        <v>0</v>
      </c>
      <c r="I656" s="220">
        <f t="shared" si="391"/>
        <v>0</v>
      </c>
      <c r="J656" s="220">
        <f t="shared" si="391"/>
        <v>0</v>
      </c>
      <c r="K656" s="220">
        <f t="shared" si="391"/>
        <v>0</v>
      </c>
      <c r="L656" s="220">
        <f t="shared" si="391"/>
        <v>0</v>
      </c>
      <c r="M656" s="220">
        <f t="shared" si="391"/>
        <v>0</v>
      </c>
      <c r="N656" s="220">
        <f t="shared" si="391"/>
        <v>0</v>
      </c>
      <c r="O656" s="220">
        <f t="shared" si="391"/>
        <v>0</v>
      </c>
      <c r="P656" s="220">
        <f t="shared" si="391"/>
        <v>0</v>
      </c>
      <c r="Q656" s="220">
        <f t="shared" si="391"/>
        <v>0</v>
      </c>
      <c r="R656" s="220">
        <f t="shared" si="391"/>
        <v>0</v>
      </c>
      <c r="S656" s="220">
        <f t="shared" si="391"/>
        <v>0</v>
      </c>
      <c r="T656" s="220">
        <f t="shared" si="391"/>
        <v>0</v>
      </c>
      <c r="U656" s="220">
        <f t="shared" si="391"/>
        <v>0</v>
      </c>
      <c r="V656" s="220">
        <f t="shared" si="391"/>
        <v>0</v>
      </c>
      <c r="W656" s="220">
        <f t="shared" si="391"/>
        <v>0</v>
      </c>
      <c r="X656" s="220">
        <f t="shared" si="391"/>
        <v>0</v>
      </c>
      <c r="Y656" s="220">
        <f t="shared" si="391"/>
        <v>0</v>
      </c>
      <c r="Z656" s="220">
        <f t="shared" si="391"/>
        <v>0</v>
      </c>
      <c r="AA656" s="220">
        <f t="shared" si="391"/>
        <v>0</v>
      </c>
      <c r="AB656" s="220">
        <f t="shared" si="391"/>
        <v>0</v>
      </c>
      <c r="AC656" s="220">
        <f t="shared" si="391"/>
        <v>0</v>
      </c>
      <c r="AD656" s="220">
        <f t="shared" si="391"/>
        <v>0</v>
      </c>
      <c r="AE656" s="220">
        <f t="shared" si="391"/>
        <v>0</v>
      </c>
      <c r="AF656" s="220">
        <f t="shared" si="391"/>
        <v>0</v>
      </c>
      <c r="AG656" s="220">
        <f t="shared" si="391"/>
        <v>0</v>
      </c>
      <c r="AH656" s="220">
        <f t="shared" si="391"/>
        <v>0</v>
      </c>
      <c r="AI656" s="220">
        <f t="shared" si="391"/>
        <v>0</v>
      </c>
      <c r="AJ656" s="220">
        <f t="shared" si="391"/>
        <v>0</v>
      </c>
      <c r="AK656" s="220">
        <f t="shared" si="391"/>
        <v>0</v>
      </c>
      <c r="AL656" s="220">
        <f t="shared" si="391"/>
        <v>0</v>
      </c>
      <c r="AM656" s="220">
        <f t="shared" si="391"/>
        <v>0</v>
      </c>
      <c r="AN656" s="220">
        <f t="shared" si="391"/>
        <v>0</v>
      </c>
      <c r="AO656" s="220">
        <f t="shared" si="391"/>
        <v>0</v>
      </c>
      <c r="AP656" s="220">
        <f t="shared" si="391"/>
        <v>0</v>
      </c>
    </row>
    <row r="657" spans="1:42" x14ac:dyDescent="0.2">
      <c r="A657" s="4">
        <f t="shared" si="390"/>
        <v>4</v>
      </c>
      <c r="B657" s="245">
        <f t="shared" si="387"/>
        <v>0</v>
      </c>
      <c r="C657" s="220">
        <f t="shared" ref="C657:AP657" si="392">IF(AND(C$2&gt;equip3_reserve_freq*$A644,C$2&lt;=equip3_reserve_freq*$A645),$B645/(equip3_reserve_freq),0)</f>
        <v>0</v>
      </c>
      <c r="D657" s="220">
        <f t="shared" si="392"/>
        <v>0</v>
      </c>
      <c r="E657" s="220">
        <f t="shared" si="392"/>
        <v>0</v>
      </c>
      <c r="F657" s="220">
        <f t="shared" si="392"/>
        <v>0</v>
      </c>
      <c r="G657" s="220">
        <f t="shared" si="392"/>
        <v>0</v>
      </c>
      <c r="H657" s="220">
        <f t="shared" si="392"/>
        <v>0</v>
      </c>
      <c r="I657" s="220">
        <f t="shared" si="392"/>
        <v>0</v>
      </c>
      <c r="J657" s="220">
        <f t="shared" si="392"/>
        <v>0</v>
      </c>
      <c r="K657" s="220">
        <f t="shared" si="392"/>
        <v>0</v>
      </c>
      <c r="L657" s="220">
        <f t="shared" si="392"/>
        <v>0</v>
      </c>
      <c r="M657" s="220">
        <f t="shared" si="392"/>
        <v>0</v>
      </c>
      <c r="N657" s="220">
        <f t="shared" si="392"/>
        <v>0</v>
      </c>
      <c r="O657" s="220">
        <f t="shared" si="392"/>
        <v>0</v>
      </c>
      <c r="P657" s="220">
        <f t="shared" si="392"/>
        <v>0</v>
      </c>
      <c r="Q657" s="220">
        <f t="shared" si="392"/>
        <v>0</v>
      </c>
      <c r="R657" s="220">
        <f t="shared" si="392"/>
        <v>0</v>
      </c>
      <c r="S657" s="220">
        <f t="shared" si="392"/>
        <v>0</v>
      </c>
      <c r="T657" s="220">
        <f t="shared" si="392"/>
        <v>0</v>
      </c>
      <c r="U657" s="220">
        <f t="shared" si="392"/>
        <v>0</v>
      </c>
      <c r="V657" s="220">
        <f t="shared" si="392"/>
        <v>0</v>
      </c>
      <c r="W657" s="220">
        <f t="shared" si="392"/>
        <v>0</v>
      </c>
      <c r="X657" s="220">
        <f t="shared" si="392"/>
        <v>0</v>
      </c>
      <c r="Y657" s="220">
        <f t="shared" si="392"/>
        <v>0</v>
      </c>
      <c r="Z657" s="220">
        <f t="shared" si="392"/>
        <v>0</v>
      </c>
      <c r="AA657" s="220">
        <f t="shared" si="392"/>
        <v>0</v>
      </c>
      <c r="AB657" s="220">
        <f t="shared" si="392"/>
        <v>0</v>
      </c>
      <c r="AC657" s="220">
        <f t="shared" si="392"/>
        <v>0</v>
      </c>
      <c r="AD657" s="220">
        <f t="shared" si="392"/>
        <v>0</v>
      </c>
      <c r="AE657" s="220">
        <f t="shared" si="392"/>
        <v>0</v>
      </c>
      <c r="AF657" s="220">
        <f t="shared" si="392"/>
        <v>0</v>
      </c>
      <c r="AG657" s="220">
        <f t="shared" si="392"/>
        <v>0</v>
      </c>
      <c r="AH657" s="220">
        <f t="shared" si="392"/>
        <v>0</v>
      </c>
      <c r="AI657" s="220">
        <f t="shared" si="392"/>
        <v>0</v>
      </c>
      <c r="AJ657" s="220">
        <f t="shared" si="392"/>
        <v>0</v>
      </c>
      <c r="AK657" s="220">
        <f t="shared" si="392"/>
        <v>0</v>
      </c>
      <c r="AL657" s="220">
        <f t="shared" si="392"/>
        <v>0</v>
      </c>
      <c r="AM657" s="220">
        <f t="shared" si="392"/>
        <v>0</v>
      </c>
      <c r="AN657" s="220">
        <f t="shared" si="392"/>
        <v>0</v>
      </c>
      <c r="AO657" s="220">
        <f t="shared" si="392"/>
        <v>0</v>
      </c>
      <c r="AP657" s="220">
        <f t="shared" si="392"/>
        <v>0</v>
      </c>
    </row>
    <row r="658" spans="1:42" x14ac:dyDescent="0.2">
      <c r="A658" s="4">
        <f t="shared" si="390"/>
        <v>5</v>
      </c>
      <c r="B658" s="245">
        <f t="shared" si="387"/>
        <v>0</v>
      </c>
      <c r="C658" s="220">
        <f t="shared" ref="C658:AP658" si="393">IF(AND(C$2&gt;equip3_reserve_freq*$A645,C$2&lt;=equip3_reserve_freq*$A646),$B646/(equip3_reserve_freq),0)</f>
        <v>0</v>
      </c>
      <c r="D658" s="220">
        <f t="shared" si="393"/>
        <v>0</v>
      </c>
      <c r="E658" s="220">
        <f t="shared" si="393"/>
        <v>0</v>
      </c>
      <c r="F658" s="220">
        <f t="shared" si="393"/>
        <v>0</v>
      </c>
      <c r="G658" s="220">
        <f t="shared" si="393"/>
        <v>0</v>
      </c>
      <c r="H658" s="220">
        <f t="shared" si="393"/>
        <v>0</v>
      </c>
      <c r="I658" s="220">
        <f t="shared" si="393"/>
        <v>0</v>
      </c>
      <c r="J658" s="220">
        <f t="shared" si="393"/>
        <v>0</v>
      </c>
      <c r="K658" s="220">
        <f t="shared" si="393"/>
        <v>0</v>
      </c>
      <c r="L658" s="220">
        <f t="shared" si="393"/>
        <v>0</v>
      </c>
      <c r="M658" s="220">
        <f t="shared" si="393"/>
        <v>0</v>
      </c>
      <c r="N658" s="220">
        <f t="shared" si="393"/>
        <v>0</v>
      </c>
      <c r="O658" s="220">
        <f t="shared" si="393"/>
        <v>0</v>
      </c>
      <c r="P658" s="220">
        <f t="shared" si="393"/>
        <v>0</v>
      </c>
      <c r="Q658" s="220">
        <f t="shared" si="393"/>
        <v>0</v>
      </c>
      <c r="R658" s="220">
        <f t="shared" si="393"/>
        <v>0</v>
      </c>
      <c r="S658" s="220">
        <f t="shared" si="393"/>
        <v>0</v>
      </c>
      <c r="T658" s="220">
        <f t="shared" si="393"/>
        <v>0</v>
      </c>
      <c r="U658" s="220">
        <f t="shared" si="393"/>
        <v>0</v>
      </c>
      <c r="V658" s="220">
        <f t="shared" si="393"/>
        <v>0</v>
      </c>
      <c r="W658" s="220">
        <f t="shared" si="393"/>
        <v>0</v>
      </c>
      <c r="X658" s="220">
        <f t="shared" si="393"/>
        <v>0</v>
      </c>
      <c r="Y658" s="220">
        <f t="shared" si="393"/>
        <v>0</v>
      </c>
      <c r="Z658" s="220">
        <f t="shared" si="393"/>
        <v>0</v>
      </c>
      <c r="AA658" s="220">
        <f t="shared" si="393"/>
        <v>0</v>
      </c>
      <c r="AB658" s="220">
        <f t="shared" si="393"/>
        <v>0</v>
      </c>
      <c r="AC658" s="220">
        <f t="shared" si="393"/>
        <v>0</v>
      </c>
      <c r="AD658" s="220">
        <f t="shared" si="393"/>
        <v>0</v>
      </c>
      <c r="AE658" s="220">
        <f t="shared" si="393"/>
        <v>0</v>
      </c>
      <c r="AF658" s="220">
        <f t="shared" si="393"/>
        <v>0</v>
      </c>
      <c r="AG658" s="220">
        <f t="shared" si="393"/>
        <v>0</v>
      </c>
      <c r="AH658" s="220">
        <f t="shared" si="393"/>
        <v>0</v>
      </c>
      <c r="AI658" s="220">
        <f t="shared" si="393"/>
        <v>0</v>
      </c>
      <c r="AJ658" s="220">
        <f t="shared" si="393"/>
        <v>0</v>
      </c>
      <c r="AK658" s="220">
        <f t="shared" si="393"/>
        <v>0</v>
      </c>
      <c r="AL658" s="220">
        <f t="shared" si="393"/>
        <v>0</v>
      </c>
      <c r="AM658" s="220">
        <f t="shared" si="393"/>
        <v>0</v>
      </c>
      <c r="AN658" s="220">
        <f t="shared" si="393"/>
        <v>0</v>
      </c>
      <c r="AO658" s="220">
        <f t="shared" si="393"/>
        <v>0</v>
      </c>
      <c r="AP658" s="220">
        <f t="shared" si="393"/>
        <v>0</v>
      </c>
    </row>
    <row r="659" spans="1:42" x14ac:dyDescent="0.2">
      <c r="A659" s="4">
        <f t="shared" si="390"/>
        <v>6</v>
      </c>
      <c r="B659" s="245">
        <f t="shared" si="387"/>
        <v>0</v>
      </c>
      <c r="C659" s="220">
        <f t="shared" ref="C659:AP659" si="394">IF(AND(C$2&gt;equip3_reserve_freq*$A646,C$2&lt;=equip3_reserve_freq*$A647),$B647/(equip3_reserve_freq),0)</f>
        <v>0</v>
      </c>
      <c r="D659" s="220">
        <f t="shared" si="394"/>
        <v>0</v>
      </c>
      <c r="E659" s="220">
        <f t="shared" si="394"/>
        <v>0</v>
      </c>
      <c r="F659" s="220">
        <f t="shared" si="394"/>
        <v>0</v>
      </c>
      <c r="G659" s="220">
        <f t="shared" si="394"/>
        <v>0</v>
      </c>
      <c r="H659" s="220">
        <f t="shared" si="394"/>
        <v>0</v>
      </c>
      <c r="I659" s="220">
        <f t="shared" si="394"/>
        <v>0</v>
      </c>
      <c r="J659" s="220">
        <f t="shared" si="394"/>
        <v>0</v>
      </c>
      <c r="K659" s="220">
        <f t="shared" si="394"/>
        <v>0</v>
      </c>
      <c r="L659" s="220">
        <f t="shared" si="394"/>
        <v>0</v>
      </c>
      <c r="M659" s="220">
        <f t="shared" si="394"/>
        <v>0</v>
      </c>
      <c r="N659" s="220">
        <f t="shared" si="394"/>
        <v>0</v>
      </c>
      <c r="O659" s="220">
        <f t="shared" si="394"/>
        <v>0</v>
      </c>
      <c r="P659" s="220">
        <f t="shared" si="394"/>
        <v>0</v>
      </c>
      <c r="Q659" s="220">
        <f t="shared" si="394"/>
        <v>0</v>
      </c>
      <c r="R659" s="220">
        <f t="shared" si="394"/>
        <v>0</v>
      </c>
      <c r="S659" s="220">
        <f t="shared" si="394"/>
        <v>0</v>
      </c>
      <c r="T659" s="220">
        <f t="shared" si="394"/>
        <v>0</v>
      </c>
      <c r="U659" s="220">
        <f t="shared" si="394"/>
        <v>0</v>
      </c>
      <c r="V659" s="220">
        <f t="shared" si="394"/>
        <v>0</v>
      </c>
      <c r="W659" s="220">
        <f t="shared" si="394"/>
        <v>0</v>
      </c>
      <c r="X659" s="220">
        <f t="shared" si="394"/>
        <v>0</v>
      </c>
      <c r="Y659" s="220">
        <f t="shared" si="394"/>
        <v>0</v>
      </c>
      <c r="Z659" s="220">
        <f t="shared" si="394"/>
        <v>0</v>
      </c>
      <c r="AA659" s="220">
        <f t="shared" si="394"/>
        <v>0</v>
      </c>
      <c r="AB659" s="220">
        <f t="shared" si="394"/>
        <v>0</v>
      </c>
      <c r="AC659" s="220">
        <f t="shared" si="394"/>
        <v>0</v>
      </c>
      <c r="AD659" s="220">
        <f t="shared" si="394"/>
        <v>0</v>
      </c>
      <c r="AE659" s="220">
        <f t="shared" si="394"/>
        <v>0</v>
      </c>
      <c r="AF659" s="220">
        <f t="shared" si="394"/>
        <v>0</v>
      </c>
      <c r="AG659" s="220">
        <f t="shared" si="394"/>
        <v>0</v>
      </c>
      <c r="AH659" s="220">
        <f t="shared" si="394"/>
        <v>0</v>
      </c>
      <c r="AI659" s="220">
        <f t="shared" si="394"/>
        <v>0</v>
      </c>
      <c r="AJ659" s="220">
        <f t="shared" si="394"/>
        <v>0</v>
      </c>
      <c r="AK659" s="220">
        <f t="shared" si="394"/>
        <v>0</v>
      </c>
      <c r="AL659" s="220">
        <f t="shared" si="394"/>
        <v>0</v>
      </c>
      <c r="AM659" s="220">
        <f t="shared" si="394"/>
        <v>0</v>
      </c>
      <c r="AN659" s="220">
        <f t="shared" si="394"/>
        <v>0</v>
      </c>
      <c r="AO659" s="220">
        <f t="shared" si="394"/>
        <v>0</v>
      </c>
      <c r="AP659" s="220">
        <f t="shared" si="394"/>
        <v>0</v>
      </c>
    </row>
    <row r="660" spans="1:42" x14ac:dyDescent="0.2">
      <c r="A660" s="4">
        <f t="shared" si="390"/>
        <v>7</v>
      </c>
      <c r="B660" s="245">
        <f t="shared" si="387"/>
        <v>0</v>
      </c>
      <c r="C660" s="220">
        <f t="shared" ref="C660:AP660" si="395">IF(AND(C$2&gt;equip3_reserve_freq*$A647,C$2&lt;=equip3_reserve_freq*$A648),$B648/(equip3_reserve_freq),0)</f>
        <v>0</v>
      </c>
      <c r="D660" s="220">
        <f t="shared" si="395"/>
        <v>0</v>
      </c>
      <c r="E660" s="220">
        <f t="shared" si="395"/>
        <v>0</v>
      </c>
      <c r="F660" s="220">
        <f t="shared" si="395"/>
        <v>0</v>
      </c>
      <c r="G660" s="220">
        <f t="shared" si="395"/>
        <v>0</v>
      </c>
      <c r="H660" s="220">
        <f t="shared" si="395"/>
        <v>0</v>
      </c>
      <c r="I660" s="220">
        <f t="shared" si="395"/>
        <v>0</v>
      </c>
      <c r="J660" s="220">
        <f t="shared" si="395"/>
        <v>0</v>
      </c>
      <c r="K660" s="220">
        <f t="shared" si="395"/>
        <v>0</v>
      </c>
      <c r="L660" s="220">
        <f t="shared" si="395"/>
        <v>0</v>
      </c>
      <c r="M660" s="220">
        <f t="shared" si="395"/>
        <v>0</v>
      </c>
      <c r="N660" s="220">
        <f t="shared" si="395"/>
        <v>0</v>
      </c>
      <c r="O660" s="220">
        <f t="shared" si="395"/>
        <v>0</v>
      </c>
      <c r="P660" s="220">
        <f t="shared" si="395"/>
        <v>0</v>
      </c>
      <c r="Q660" s="220">
        <f t="shared" si="395"/>
        <v>0</v>
      </c>
      <c r="R660" s="220">
        <f t="shared" si="395"/>
        <v>0</v>
      </c>
      <c r="S660" s="220">
        <f t="shared" si="395"/>
        <v>0</v>
      </c>
      <c r="T660" s="220">
        <f t="shared" si="395"/>
        <v>0</v>
      </c>
      <c r="U660" s="220">
        <f t="shared" si="395"/>
        <v>0</v>
      </c>
      <c r="V660" s="220">
        <f t="shared" si="395"/>
        <v>0</v>
      </c>
      <c r="W660" s="220">
        <f t="shared" si="395"/>
        <v>0</v>
      </c>
      <c r="X660" s="220">
        <f t="shared" si="395"/>
        <v>0</v>
      </c>
      <c r="Y660" s="220">
        <f t="shared" si="395"/>
        <v>0</v>
      </c>
      <c r="Z660" s="220">
        <f t="shared" si="395"/>
        <v>0</v>
      </c>
      <c r="AA660" s="220">
        <f t="shared" si="395"/>
        <v>0</v>
      </c>
      <c r="AB660" s="220">
        <f t="shared" si="395"/>
        <v>0</v>
      </c>
      <c r="AC660" s="220">
        <f t="shared" si="395"/>
        <v>0</v>
      </c>
      <c r="AD660" s="220">
        <f t="shared" si="395"/>
        <v>0</v>
      </c>
      <c r="AE660" s="220">
        <f t="shared" si="395"/>
        <v>0</v>
      </c>
      <c r="AF660" s="220">
        <f t="shared" si="395"/>
        <v>0</v>
      </c>
      <c r="AG660" s="220">
        <f t="shared" si="395"/>
        <v>0</v>
      </c>
      <c r="AH660" s="220">
        <f t="shared" si="395"/>
        <v>0</v>
      </c>
      <c r="AI660" s="220">
        <f t="shared" si="395"/>
        <v>0</v>
      </c>
      <c r="AJ660" s="220">
        <f t="shared" si="395"/>
        <v>0</v>
      </c>
      <c r="AK660" s="220">
        <f t="shared" si="395"/>
        <v>0</v>
      </c>
      <c r="AL660" s="220">
        <f t="shared" si="395"/>
        <v>0</v>
      </c>
      <c r="AM660" s="220">
        <f t="shared" si="395"/>
        <v>0</v>
      </c>
      <c r="AN660" s="220">
        <f t="shared" si="395"/>
        <v>0</v>
      </c>
      <c r="AO660" s="220">
        <f t="shared" si="395"/>
        <v>0</v>
      </c>
      <c r="AP660" s="220">
        <f t="shared" si="395"/>
        <v>0</v>
      </c>
    </row>
    <row r="661" spans="1:42" x14ac:dyDescent="0.2">
      <c r="A661" s="4">
        <f t="shared" si="390"/>
        <v>8</v>
      </c>
      <c r="B661" s="245">
        <f t="shared" si="387"/>
        <v>0</v>
      </c>
      <c r="C661" s="220">
        <f t="shared" ref="C661:AP661" si="396">IF(AND(C$2&gt;equip3_reserve_freq*$A648,C$2&lt;=equip3_reserve_freq*$A649),$B649/(equip3_reserve_freq),0)</f>
        <v>0</v>
      </c>
      <c r="D661" s="220">
        <f t="shared" si="396"/>
        <v>0</v>
      </c>
      <c r="E661" s="220">
        <f t="shared" si="396"/>
        <v>0</v>
      </c>
      <c r="F661" s="220">
        <f t="shared" si="396"/>
        <v>0</v>
      </c>
      <c r="G661" s="220">
        <f t="shared" si="396"/>
        <v>0</v>
      </c>
      <c r="H661" s="220">
        <f t="shared" si="396"/>
        <v>0</v>
      </c>
      <c r="I661" s="220">
        <f t="shared" si="396"/>
        <v>0</v>
      </c>
      <c r="J661" s="220">
        <f t="shared" si="396"/>
        <v>0</v>
      </c>
      <c r="K661" s="220">
        <f t="shared" si="396"/>
        <v>0</v>
      </c>
      <c r="L661" s="220">
        <f t="shared" si="396"/>
        <v>0</v>
      </c>
      <c r="M661" s="220">
        <f t="shared" si="396"/>
        <v>0</v>
      </c>
      <c r="N661" s="220">
        <f t="shared" si="396"/>
        <v>0</v>
      </c>
      <c r="O661" s="220">
        <f t="shared" si="396"/>
        <v>0</v>
      </c>
      <c r="P661" s="220">
        <f t="shared" si="396"/>
        <v>0</v>
      </c>
      <c r="Q661" s="220">
        <f t="shared" si="396"/>
        <v>0</v>
      </c>
      <c r="R661" s="220">
        <f t="shared" si="396"/>
        <v>0</v>
      </c>
      <c r="S661" s="220">
        <f t="shared" si="396"/>
        <v>0</v>
      </c>
      <c r="T661" s="220">
        <f t="shared" si="396"/>
        <v>0</v>
      </c>
      <c r="U661" s="220">
        <f t="shared" si="396"/>
        <v>0</v>
      </c>
      <c r="V661" s="220">
        <f t="shared" si="396"/>
        <v>0</v>
      </c>
      <c r="W661" s="220">
        <f t="shared" si="396"/>
        <v>0</v>
      </c>
      <c r="X661" s="220">
        <f t="shared" si="396"/>
        <v>0</v>
      </c>
      <c r="Y661" s="220">
        <f t="shared" si="396"/>
        <v>0</v>
      </c>
      <c r="Z661" s="220">
        <f t="shared" si="396"/>
        <v>0</v>
      </c>
      <c r="AA661" s="220">
        <f t="shared" si="396"/>
        <v>0</v>
      </c>
      <c r="AB661" s="220">
        <f t="shared" si="396"/>
        <v>0</v>
      </c>
      <c r="AC661" s="220">
        <f t="shared" si="396"/>
        <v>0</v>
      </c>
      <c r="AD661" s="220">
        <f t="shared" si="396"/>
        <v>0</v>
      </c>
      <c r="AE661" s="220">
        <f t="shared" si="396"/>
        <v>0</v>
      </c>
      <c r="AF661" s="220">
        <f t="shared" si="396"/>
        <v>0</v>
      </c>
      <c r="AG661" s="220">
        <f t="shared" si="396"/>
        <v>0</v>
      </c>
      <c r="AH661" s="220">
        <f t="shared" si="396"/>
        <v>0</v>
      </c>
      <c r="AI661" s="220">
        <f t="shared" si="396"/>
        <v>0</v>
      </c>
      <c r="AJ661" s="220">
        <f t="shared" si="396"/>
        <v>0</v>
      </c>
      <c r="AK661" s="220">
        <f t="shared" si="396"/>
        <v>0</v>
      </c>
      <c r="AL661" s="220">
        <f t="shared" si="396"/>
        <v>0</v>
      </c>
      <c r="AM661" s="220">
        <f t="shared" si="396"/>
        <v>0</v>
      </c>
      <c r="AN661" s="220">
        <f t="shared" si="396"/>
        <v>0</v>
      </c>
      <c r="AO661" s="220">
        <f t="shared" si="396"/>
        <v>0</v>
      </c>
      <c r="AP661" s="220">
        <f t="shared" si="396"/>
        <v>0</v>
      </c>
    </row>
    <row r="662" spans="1:42" x14ac:dyDescent="0.2">
      <c r="A662" s="4">
        <f>A661+1</f>
        <v>9</v>
      </c>
      <c r="B662" s="245">
        <f t="shared" si="387"/>
        <v>0</v>
      </c>
      <c r="C662" s="220">
        <f t="shared" ref="C662:AP662" si="397">IF(AND(C$2&gt;equip3_reserve_freq*$A649,C$2&lt;=equip3_reserve_freq*$A650),$B650/(equip3_reserve_freq),0)</f>
        <v>0</v>
      </c>
      <c r="D662" s="220">
        <f t="shared" si="397"/>
        <v>0</v>
      </c>
      <c r="E662" s="220">
        <f t="shared" si="397"/>
        <v>0</v>
      </c>
      <c r="F662" s="220">
        <f t="shared" si="397"/>
        <v>0</v>
      </c>
      <c r="G662" s="220">
        <f t="shared" si="397"/>
        <v>0</v>
      </c>
      <c r="H662" s="220">
        <f t="shared" si="397"/>
        <v>0</v>
      </c>
      <c r="I662" s="220">
        <f t="shared" si="397"/>
        <v>0</v>
      </c>
      <c r="J662" s="220">
        <f t="shared" si="397"/>
        <v>0</v>
      </c>
      <c r="K662" s="220">
        <f t="shared" si="397"/>
        <v>0</v>
      </c>
      <c r="L662" s="220">
        <f t="shared" si="397"/>
        <v>0</v>
      </c>
      <c r="M662" s="220">
        <f t="shared" si="397"/>
        <v>0</v>
      </c>
      <c r="N662" s="220">
        <f t="shared" si="397"/>
        <v>0</v>
      </c>
      <c r="O662" s="220">
        <f t="shared" si="397"/>
        <v>0</v>
      </c>
      <c r="P662" s="220">
        <f t="shared" si="397"/>
        <v>0</v>
      </c>
      <c r="Q662" s="220">
        <f t="shared" si="397"/>
        <v>0</v>
      </c>
      <c r="R662" s="220">
        <f t="shared" si="397"/>
        <v>0</v>
      </c>
      <c r="S662" s="220">
        <f t="shared" si="397"/>
        <v>0</v>
      </c>
      <c r="T662" s="220">
        <f t="shared" si="397"/>
        <v>0</v>
      </c>
      <c r="U662" s="220">
        <f t="shared" si="397"/>
        <v>0</v>
      </c>
      <c r="V662" s="220">
        <f t="shared" si="397"/>
        <v>0</v>
      </c>
      <c r="W662" s="220">
        <f t="shared" si="397"/>
        <v>0</v>
      </c>
      <c r="X662" s="220">
        <f t="shared" si="397"/>
        <v>0</v>
      </c>
      <c r="Y662" s="220">
        <f t="shared" si="397"/>
        <v>0</v>
      </c>
      <c r="Z662" s="220">
        <f t="shared" si="397"/>
        <v>0</v>
      </c>
      <c r="AA662" s="220">
        <f t="shared" si="397"/>
        <v>0</v>
      </c>
      <c r="AB662" s="220">
        <f t="shared" si="397"/>
        <v>0</v>
      </c>
      <c r="AC662" s="220">
        <f t="shared" si="397"/>
        <v>0</v>
      </c>
      <c r="AD662" s="220">
        <f t="shared" si="397"/>
        <v>0</v>
      </c>
      <c r="AE662" s="220">
        <f t="shared" si="397"/>
        <v>0</v>
      </c>
      <c r="AF662" s="220">
        <f t="shared" si="397"/>
        <v>0</v>
      </c>
      <c r="AG662" s="220">
        <f t="shared" si="397"/>
        <v>0</v>
      </c>
      <c r="AH662" s="220">
        <f t="shared" si="397"/>
        <v>0</v>
      </c>
      <c r="AI662" s="220">
        <f t="shared" si="397"/>
        <v>0</v>
      </c>
      <c r="AJ662" s="220">
        <f t="shared" si="397"/>
        <v>0</v>
      </c>
      <c r="AK662" s="220">
        <f t="shared" si="397"/>
        <v>0</v>
      </c>
      <c r="AL662" s="220">
        <f t="shared" si="397"/>
        <v>0</v>
      </c>
      <c r="AM662" s="220">
        <f t="shared" si="397"/>
        <v>0</v>
      </c>
      <c r="AN662" s="220">
        <f t="shared" si="397"/>
        <v>0</v>
      </c>
      <c r="AO662" s="220">
        <f t="shared" si="397"/>
        <v>0</v>
      </c>
      <c r="AP662" s="220">
        <f t="shared" si="397"/>
        <v>0</v>
      </c>
    </row>
    <row r="663" spans="1:42" x14ac:dyDescent="0.2">
      <c r="A663" s="4">
        <f t="shared" ref="A663" si="398">A662+1</f>
        <v>10</v>
      </c>
      <c r="B663" s="245">
        <f t="shared" si="387"/>
        <v>0</v>
      </c>
      <c r="C663" s="225">
        <f t="shared" ref="C663:AP663" si="399">IF(AND(C$2&gt;equip3_reserve_freq*$A650,C$2&lt;=equip3_reserve_freq*$A651),$B651/(equip3_reserve_freq),0)</f>
        <v>0</v>
      </c>
      <c r="D663" s="225">
        <f t="shared" si="399"/>
        <v>0</v>
      </c>
      <c r="E663" s="225">
        <f t="shared" si="399"/>
        <v>0</v>
      </c>
      <c r="F663" s="225">
        <f t="shared" si="399"/>
        <v>0</v>
      </c>
      <c r="G663" s="225">
        <f t="shared" si="399"/>
        <v>0</v>
      </c>
      <c r="H663" s="225">
        <f t="shared" si="399"/>
        <v>0</v>
      </c>
      <c r="I663" s="225">
        <f t="shared" si="399"/>
        <v>0</v>
      </c>
      <c r="J663" s="225">
        <f t="shared" si="399"/>
        <v>0</v>
      </c>
      <c r="K663" s="225">
        <f t="shared" si="399"/>
        <v>0</v>
      </c>
      <c r="L663" s="225">
        <f t="shared" si="399"/>
        <v>0</v>
      </c>
      <c r="M663" s="225">
        <f t="shared" si="399"/>
        <v>0</v>
      </c>
      <c r="N663" s="225">
        <f t="shared" si="399"/>
        <v>0</v>
      </c>
      <c r="O663" s="225">
        <f t="shared" si="399"/>
        <v>0</v>
      </c>
      <c r="P663" s="225">
        <f t="shared" si="399"/>
        <v>0</v>
      </c>
      <c r="Q663" s="225">
        <f t="shared" si="399"/>
        <v>0</v>
      </c>
      <c r="R663" s="225">
        <f t="shared" si="399"/>
        <v>0</v>
      </c>
      <c r="S663" s="225">
        <f t="shared" si="399"/>
        <v>0</v>
      </c>
      <c r="T663" s="225">
        <f t="shared" si="399"/>
        <v>0</v>
      </c>
      <c r="U663" s="225">
        <f t="shared" si="399"/>
        <v>0</v>
      </c>
      <c r="V663" s="225">
        <f t="shared" si="399"/>
        <v>0</v>
      </c>
      <c r="W663" s="225">
        <f t="shared" si="399"/>
        <v>0</v>
      </c>
      <c r="X663" s="225">
        <f t="shared" si="399"/>
        <v>0</v>
      </c>
      <c r="Y663" s="225">
        <f t="shared" si="399"/>
        <v>0</v>
      </c>
      <c r="Z663" s="225">
        <f t="shared" si="399"/>
        <v>0</v>
      </c>
      <c r="AA663" s="225">
        <f t="shared" si="399"/>
        <v>0</v>
      </c>
      <c r="AB663" s="225">
        <f t="shared" si="399"/>
        <v>0</v>
      </c>
      <c r="AC663" s="225">
        <f t="shared" si="399"/>
        <v>0</v>
      </c>
      <c r="AD663" s="225">
        <f t="shared" si="399"/>
        <v>0</v>
      </c>
      <c r="AE663" s="225">
        <f t="shared" si="399"/>
        <v>0</v>
      </c>
      <c r="AF663" s="225">
        <f t="shared" si="399"/>
        <v>0</v>
      </c>
      <c r="AG663" s="225">
        <f t="shared" si="399"/>
        <v>0</v>
      </c>
      <c r="AH663" s="225">
        <f t="shared" si="399"/>
        <v>0</v>
      </c>
      <c r="AI663" s="225">
        <f t="shared" si="399"/>
        <v>0</v>
      </c>
      <c r="AJ663" s="225">
        <f t="shared" si="399"/>
        <v>0</v>
      </c>
      <c r="AK663" s="225">
        <f t="shared" si="399"/>
        <v>0</v>
      </c>
      <c r="AL663" s="225">
        <f t="shared" si="399"/>
        <v>0</v>
      </c>
      <c r="AM663" s="225">
        <f t="shared" si="399"/>
        <v>0</v>
      </c>
      <c r="AN663" s="225">
        <f t="shared" si="399"/>
        <v>0</v>
      </c>
      <c r="AO663" s="225">
        <f t="shared" si="399"/>
        <v>0</v>
      </c>
      <c r="AP663" s="225">
        <f t="shared" si="399"/>
        <v>0</v>
      </c>
    </row>
    <row r="664" spans="1:42" x14ac:dyDescent="0.2">
      <c r="A664" s="38" t="s">
        <v>13</v>
      </c>
      <c r="B664" s="29"/>
      <c r="C664" s="224">
        <f>SUM(C654:C663)</f>
        <v>0</v>
      </c>
      <c r="D664" s="224">
        <f t="shared" ref="D664:AP664" si="400">SUM(D654:D663)</f>
        <v>0</v>
      </c>
      <c r="E664" s="224">
        <f t="shared" si="400"/>
        <v>0</v>
      </c>
      <c r="F664" s="224">
        <f t="shared" si="400"/>
        <v>0</v>
      </c>
      <c r="G664" s="224">
        <f t="shared" si="400"/>
        <v>0</v>
      </c>
      <c r="H664" s="224">
        <f t="shared" si="400"/>
        <v>0</v>
      </c>
      <c r="I664" s="224">
        <f t="shared" si="400"/>
        <v>0</v>
      </c>
      <c r="J664" s="224">
        <f t="shared" si="400"/>
        <v>0</v>
      </c>
      <c r="K664" s="224">
        <f t="shared" si="400"/>
        <v>0</v>
      </c>
      <c r="L664" s="224">
        <f t="shared" si="400"/>
        <v>0</v>
      </c>
      <c r="M664" s="224">
        <f t="shared" si="400"/>
        <v>0</v>
      </c>
      <c r="N664" s="224">
        <f t="shared" si="400"/>
        <v>0</v>
      </c>
      <c r="O664" s="224">
        <f t="shared" si="400"/>
        <v>0</v>
      </c>
      <c r="P664" s="224">
        <f t="shared" si="400"/>
        <v>0</v>
      </c>
      <c r="Q664" s="224">
        <f t="shared" si="400"/>
        <v>0</v>
      </c>
      <c r="R664" s="224">
        <f t="shared" si="400"/>
        <v>0</v>
      </c>
      <c r="S664" s="224">
        <f t="shared" si="400"/>
        <v>0</v>
      </c>
      <c r="T664" s="224">
        <f t="shared" si="400"/>
        <v>0</v>
      </c>
      <c r="U664" s="224">
        <f t="shared" si="400"/>
        <v>0</v>
      </c>
      <c r="V664" s="224">
        <f t="shared" si="400"/>
        <v>0</v>
      </c>
      <c r="W664" s="224">
        <f t="shared" si="400"/>
        <v>0</v>
      </c>
      <c r="X664" s="224">
        <f t="shared" si="400"/>
        <v>0</v>
      </c>
      <c r="Y664" s="224">
        <f t="shared" si="400"/>
        <v>0</v>
      </c>
      <c r="Z664" s="224">
        <f t="shared" si="400"/>
        <v>0</v>
      </c>
      <c r="AA664" s="224">
        <f t="shared" si="400"/>
        <v>0</v>
      </c>
      <c r="AB664" s="224">
        <f t="shared" si="400"/>
        <v>0</v>
      </c>
      <c r="AC664" s="224">
        <f t="shared" si="400"/>
        <v>0</v>
      </c>
      <c r="AD664" s="224">
        <f t="shared" si="400"/>
        <v>0</v>
      </c>
      <c r="AE664" s="224">
        <f t="shared" si="400"/>
        <v>0</v>
      </c>
      <c r="AF664" s="224">
        <f t="shared" si="400"/>
        <v>0</v>
      </c>
      <c r="AG664" s="224">
        <f t="shared" si="400"/>
        <v>0</v>
      </c>
      <c r="AH664" s="224">
        <f t="shared" si="400"/>
        <v>0</v>
      </c>
      <c r="AI664" s="224">
        <f t="shared" si="400"/>
        <v>0</v>
      </c>
      <c r="AJ664" s="224">
        <f t="shared" si="400"/>
        <v>0</v>
      </c>
      <c r="AK664" s="224">
        <f t="shared" si="400"/>
        <v>0</v>
      </c>
      <c r="AL664" s="224">
        <f t="shared" si="400"/>
        <v>0</v>
      </c>
      <c r="AM664" s="224">
        <f t="shared" si="400"/>
        <v>0</v>
      </c>
      <c r="AN664" s="224">
        <f t="shared" si="400"/>
        <v>0</v>
      </c>
      <c r="AO664" s="224">
        <f t="shared" si="400"/>
        <v>0</v>
      </c>
      <c r="AP664" s="224">
        <f t="shared" si="400"/>
        <v>0</v>
      </c>
    </row>
    <row r="665" spans="1:42" s="127" customFormat="1" x14ac:dyDescent="0.2">
      <c r="A665" s="4"/>
      <c r="B665" s="210"/>
    </row>
    <row r="666" spans="1:42" s="127" customFormat="1" x14ac:dyDescent="0.2">
      <c r="A666" s="4" t="s">
        <v>88</v>
      </c>
      <c r="B666" s="210"/>
    </row>
    <row r="667" spans="1:42" x14ac:dyDescent="0.2">
      <c r="A667" s="28" t="s">
        <v>89</v>
      </c>
      <c r="B667" s="224">
        <f>B562+B568+B574+B606+B638</f>
        <v>1263232.9392398032</v>
      </c>
      <c r="C667" s="224">
        <f t="shared" ref="C667:AP667" si="401">C562+C568+C574+C606+C638</f>
        <v>1816019.6131017371</v>
      </c>
      <c r="D667" s="224">
        <f t="shared" si="401"/>
        <v>2368959.4778636713</v>
      </c>
      <c r="E667" s="224">
        <f t="shared" si="401"/>
        <v>2922056.3632981055</v>
      </c>
      <c r="F667" s="224">
        <f t="shared" si="401"/>
        <v>3475314.1949218521</v>
      </c>
      <c r="G667" s="224">
        <f t="shared" si="401"/>
        <v>4028736.9963896438</v>
      </c>
      <c r="H667" s="224">
        <f t="shared" si="401"/>
        <v>4582328.8919475824</v>
      </c>
      <c r="I667" s="224">
        <f t="shared" si="401"/>
        <v>5136094.1089479197</v>
      </c>
      <c r="J667" s="224">
        <f t="shared" si="401"/>
        <v>5690036.9804267194</v>
      </c>
      <c r="K667" s="224">
        <f t="shared" si="401"/>
        <v>6244161.9477459388</v>
      </c>
      <c r="L667" s="224">
        <f t="shared" si="401"/>
        <v>6798473.5633015912</v>
      </c>
      <c r="M667" s="224">
        <f t="shared" si="401"/>
        <v>7352976.4932995867</v>
      </c>
      <c r="N667" s="224">
        <f t="shared" si="401"/>
        <v>1347767.0662577748</v>
      </c>
      <c r="O667" s="224">
        <f t="shared" si="401"/>
        <v>2091203.686126973</v>
      </c>
      <c r="P667" s="224">
        <f t="shared" si="401"/>
        <v>2834846.3307255572</v>
      </c>
      <c r="Q667" s="224">
        <f t="shared" si="401"/>
        <v>3578700.1506717624</v>
      </c>
      <c r="R667" s="224">
        <f t="shared" si="401"/>
        <v>4322770.4253492793</v>
      </c>
      <c r="S667" s="224">
        <f t="shared" si="401"/>
        <v>5067062.5661263904</v>
      </c>
      <c r="T667" s="224">
        <f t="shared" si="401"/>
        <v>4793454.6204157816</v>
      </c>
      <c r="U667" s="224">
        <f t="shared" si="401"/>
        <v>5538207.2720158631</v>
      </c>
      <c r="V667" s="224">
        <f t="shared" si="401"/>
        <v>6283198.8491386017</v>
      </c>
      <c r="W667" s="224">
        <f t="shared" si="401"/>
        <v>7028435.3249220653</v>
      </c>
      <c r="X667" s="224">
        <f t="shared" si="401"/>
        <v>7773922.8218327723</v>
      </c>
      <c r="Y667" s="224">
        <f t="shared" si="401"/>
        <v>8519667.6153989024</v>
      </c>
      <c r="Z667" s="224">
        <f t="shared" si="401"/>
        <v>443328.56971185829</v>
      </c>
      <c r="AA667" s="224">
        <f t="shared" si="401"/>
        <v>0</v>
      </c>
      <c r="AB667" s="224">
        <f t="shared" si="401"/>
        <v>0</v>
      </c>
      <c r="AC667" s="224">
        <f t="shared" si="401"/>
        <v>0</v>
      </c>
      <c r="AD667" s="224">
        <f t="shared" si="401"/>
        <v>0</v>
      </c>
      <c r="AE667" s="224">
        <f t="shared" si="401"/>
        <v>0</v>
      </c>
      <c r="AF667" s="224">
        <f t="shared" si="401"/>
        <v>0</v>
      </c>
      <c r="AG667" s="224">
        <f t="shared" si="401"/>
        <v>0</v>
      </c>
      <c r="AH667" s="224">
        <f t="shared" si="401"/>
        <v>0</v>
      </c>
      <c r="AI667" s="224">
        <f t="shared" si="401"/>
        <v>0</v>
      </c>
      <c r="AJ667" s="224">
        <f t="shared" si="401"/>
        <v>0</v>
      </c>
      <c r="AK667" s="224">
        <f t="shared" si="401"/>
        <v>0</v>
      </c>
      <c r="AL667" s="224">
        <f t="shared" si="401"/>
        <v>0</v>
      </c>
      <c r="AM667" s="224">
        <f t="shared" si="401"/>
        <v>0</v>
      </c>
      <c r="AN667" s="224">
        <f t="shared" si="401"/>
        <v>0</v>
      </c>
      <c r="AO667" s="224">
        <f t="shared" si="401"/>
        <v>0</v>
      </c>
      <c r="AP667" s="224">
        <f t="shared" si="401"/>
        <v>0</v>
      </c>
    </row>
    <row r="668" spans="1:42" x14ac:dyDescent="0.2">
      <c r="A668" s="28" t="s">
        <v>88</v>
      </c>
      <c r="B668" s="220"/>
      <c r="C668" s="224">
        <f t="shared" ref="C668:AP668" si="402">IF(C$2&lt;=analysis_period,B667*reserves_interest/100,0)</f>
        <v>22106.576436696556</v>
      </c>
      <c r="D668" s="224">
        <f t="shared" si="402"/>
        <v>31780.343229280399</v>
      </c>
      <c r="E668" s="224">
        <f t="shared" si="402"/>
        <v>41456.790862614245</v>
      </c>
      <c r="F668" s="224">
        <f t="shared" si="402"/>
        <v>51135.986357716843</v>
      </c>
      <c r="G668" s="224">
        <f t="shared" si="402"/>
        <v>60817.998411132416</v>
      </c>
      <c r="H668" s="224">
        <f t="shared" si="402"/>
        <v>70502.897436818763</v>
      </c>
      <c r="I668" s="224">
        <f t="shared" si="402"/>
        <v>80190.755609082698</v>
      </c>
      <c r="J668" s="224">
        <f t="shared" si="402"/>
        <v>89881.646906588605</v>
      </c>
      <c r="K668" s="224">
        <f t="shared" si="402"/>
        <v>99575.647157467582</v>
      </c>
      <c r="L668" s="224">
        <f t="shared" si="402"/>
        <v>109272.83408555393</v>
      </c>
      <c r="M668" s="224">
        <f t="shared" si="402"/>
        <v>118973.28735777784</v>
      </c>
      <c r="N668" s="224">
        <f t="shared" si="402"/>
        <v>128677.08863274276</v>
      </c>
      <c r="O668" s="224">
        <f t="shared" si="402"/>
        <v>23585.92365951106</v>
      </c>
      <c r="P668" s="224">
        <f t="shared" si="402"/>
        <v>36596.064507222029</v>
      </c>
      <c r="Q668" s="224">
        <f t="shared" si="402"/>
        <v>49609.81078769725</v>
      </c>
      <c r="R668" s="224">
        <f t="shared" si="402"/>
        <v>62627.252636755846</v>
      </c>
      <c r="S668" s="224">
        <f t="shared" si="402"/>
        <v>75648.482443612389</v>
      </c>
      <c r="T668" s="224">
        <f t="shared" si="402"/>
        <v>88673.594907211824</v>
      </c>
      <c r="U668" s="224">
        <f t="shared" si="402"/>
        <v>83885.455857276174</v>
      </c>
      <c r="V668" s="224">
        <f t="shared" si="402"/>
        <v>96918.627260277601</v>
      </c>
      <c r="W668" s="224">
        <f t="shared" si="402"/>
        <v>109955.97985992553</v>
      </c>
      <c r="X668" s="224">
        <f t="shared" si="402"/>
        <v>122997.61818613615</v>
      </c>
      <c r="Y668" s="224">
        <f t="shared" si="402"/>
        <v>136043.64938207352</v>
      </c>
      <c r="Z668" s="224">
        <f t="shared" si="402"/>
        <v>149094.1832694808</v>
      </c>
      <c r="AA668" s="224">
        <f t="shared" si="402"/>
        <v>7758.2499699575201</v>
      </c>
      <c r="AB668" s="224">
        <f t="shared" si="402"/>
        <v>0</v>
      </c>
      <c r="AC668" s="224">
        <f t="shared" si="402"/>
        <v>0</v>
      </c>
      <c r="AD668" s="224">
        <f t="shared" si="402"/>
        <v>0</v>
      </c>
      <c r="AE668" s="224">
        <f t="shared" si="402"/>
        <v>0</v>
      </c>
      <c r="AF668" s="224">
        <f t="shared" si="402"/>
        <v>0</v>
      </c>
      <c r="AG668" s="224">
        <f t="shared" si="402"/>
        <v>0</v>
      </c>
      <c r="AH668" s="224">
        <f t="shared" si="402"/>
        <v>0</v>
      </c>
      <c r="AI668" s="224">
        <f t="shared" si="402"/>
        <v>0</v>
      </c>
      <c r="AJ668" s="224">
        <f t="shared" si="402"/>
        <v>0</v>
      </c>
      <c r="AK668" s="224">
        <f t="shared" si="402"/>
        <v>0</v>
      </c>
      <c r="AL668" s="224">
        <f t="shared" si="402"/>
        <v>0</v>
      </c>
      <c r="AM668" s="224">
        <f t="shared" si="402"/>
        <v>0</v>
      </c>
      <c r="AN668" s="224">
        <f t="shared" si="402"/>
        <v>0</v>
      </c>
      <c r="AO668" s="224">
        <f t="shared" si="402"/>
        <v>0</v>
      </c>
      <c r="AP668" s="224">
        <f t="shared" si="402"/>
        <v>0</v>
      </c>
    </row>
  </sheetData>
  <mergeCells count="4">
    <mergeCell ref="G212:J212"/>
    <mergeCell ref="K212:L212"/>
    <mergeCell ref="G345:J345"/>
    <mergeCell ref="K345:L34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20" t="s">
        <v>275</v>
      </c>
      <c r="B1" s="321"/>
      <c r="C1" s="322"/>
      <c r="D1" s="321"/>
      <c r="E1" s="363"/>
      <c r="F1" s="363"/>
      <c r="G1" s="364"/>
    </row>
    <row r="2" spans="1:7" s="1" customFormat="1" ht="12.75" x14ac:dyDescent="0.2">
      <c r="A2" s="2" t="s">
        <v>93</v>
      </c>
      <c r="B2" s="3" t="s">
        <v>52</v>
      </c>
      <c r="C2" s="3" t="s">
        <v>53</v>
      </c>
      <c r="D2" s="3" t="s">
        <v>54</v>
      </c>
      <c r="E2" s="3" t="s">
        <v>55</v>
      </c>
      <c r="F2" s="3" t="s">
        <v>56</v>
      </c>
      <c r="G2" s="365" t="s">
        <v>57</v>
      </c>
    </row>
    <row r="3" spans="1:7" s="1" customFormat="1" ht="12.75" x14ac:dyDescent="0.2">
      <c r="A3" s="136">
        <v>1</v>
      </c>
      <c r="B3" s="226">
        <v>20</v>
      </c>
      <c r="C3" s="232">
        <v>5</v>
      </c>
      <c r="D3" s="226">
        <v>10</v>
      </c>
      <c r="E3" s="226">
        <v>3.33</v>
      </c>
      <c r="F3" s="226">
        <v>2.5</v>
      </c>
      <c r="G3" s="226">
        <f>2.56410256410256*0.5</f>
        <v>1.2820512820512799</v>
      </c>
    </row>
    <row r="4" spans="1:7" s="1" customFormat="1" ht="12.75" x14ac:dyDescent="0.2">
      <c r="A4" s="137">
        <v>2</v>
      </c>
      <c r="B4" s="226">
        <v>32</v>
      </c>
      <c r="C4" s="233">
        <v>9.5</v>
      </c>
      <c r="D4" s="228">
        <v>20</v>
      </c>
      <c r="E4" s="228">
        <v>6.67</v>
      </c>
      <c r="F4" s="228">
        <v>5</v>
      </c>
      <c r="G4" s="228">
        <v>2.5641025641025599</v>
      </c>
    </row>
    <row r="5" spans="1:7" s="1" customFormat="1" ht="12.75" x14ac:dyDescent="0.2">
      <c r="A5" s="137">
        <v>3</v>
      </c>
      <c r="B5" s="226">
        <v>19.2</v>
      </c>
      <c r="C5" s="228">
        <v>8.5500000000000007</v>
      </c>
      <c r="D5" s="228">
        <v>20</v>
      </c>
      <c r="E5" s="228">
        <v>6.67</v>
      </c>
      <c r="F5" s="228">
        <v>5</v>
      </c>
      <c r="G5" s="228">
        <v>2.5641025641025599</v>
      </c>
    </row>
    <row r="6" spans="1:7" s="1" customFormat="1" ht="12.75" x14ac:dyDescent="0.2">
      <c r="A6" s="137">
        <v>4</v>
      </c>
      <c r="B6" s="226">
        <v>11.52</v>
      </c>
      <c r="C6" s="228">
        <v>7.7</v>
      </c>
      <c r="D6" s="228">
        <v>20</v>
      </c>
      <c r="E6" s="228">
        <v>6.67</v>
      </c>
      <c r="F6" s="228">
        <v>5</v>
      </c>
      <c r="G6" s="228">
        <v>2.5641025641025599</v>
      </c>
    </row>
    <row r="7" spans="1:7" s="1" customFormat="1" ht="12.75" x14ac:dyDescent="0.2">
      <c r="A7" s="137">
        <v>5</v>
      </c>
      <c r="B7" s="226">
        <v>11.52</v>
      </c>
      <c r="C7" s="228">
        <v>6.93</v>
      </c>
      <c r="D7" s="228">
        <v>20</v>
      </c>
      <c r="E7" s="228">
        <v>6.67</v>
      </c>
      <c r="F7" s="228">
        <v>5</v>
      </c>
      <c r="G7" s="228">
        <v>2.5641025641025599</v>
      </c>
    </row>
    <row r="8" spans="1:7" s="1" customFormat="1" ht="12.75" x14ac:dyDescent="0.2">
      <c r="A8" s="137">
        <v>6</v>
      </c>
      <c r="B8" s="226">
        <v>5.76</v>
      </c>
      <c r="C8" s="228">
        <v>6.23</v>
      </c>
      <c r="D8" s="228">
        <v>10</v>
      </c>
      <c r="E8" s="228">
        <v>6.67</v>
      </c>
      <c r="F8" s="228">
        <v>5</v>
      </c>
      <c r="G8" s="228">
        <v>2.5641025641025599</v>
      </c>
    </row>
    <row r="9" spans="1:7" s="1" customFormat="1" ht="12.75" x14ac:dyDescent="0.2">
      <c r="A9" s="137">
        <v>7</v>
      </c>
      <c r="B9" s="227">
        <v>0</v>
      </c>
      <c r="C9" s="228">
        <v>5.9</v>
      </c>
      <c r="D9" s="228">
        <v>0</v>
      </c>
      <c r="E9" s="228">
        <v>6.67</v>
      </c>
      <c r="F9" s="228">
        <v>5</v>
      </c>
      <c r="G9" s="228">
        <v>2.5641025641025599</v>
      </c>
    </row>
    <row r="10" spans="1:7" s="1" customFormat="1" ht="12.75" x14ac:dyDescent="0.2">
      <c r="A10" s="137">
        <v>8</v>
      </c>
      <c r="B10" s="228">
        <v>0</v>
      </c>
      <c r="C10" s="228">
        <v>5.9</v>
      </c>
      <c r="D10" s="228">
        <v>0</v>
      </c>
      <c r="E10" s="228">
        <v>6.67</v>
      </c>
      <c r="F10" s="228">
        <v>5</v>
      </c>
      <c r="G10" s="228">
        <v>2.5641025641025599</v>
      </c>
    </row>
    <row r="11" spans="1:7" s="1" customFormat="1" ht="12.75" x14ac:dyDescent="0.2">
      <c r="A11" s="137">
        <v>9</v>
      </c>
      <c r="B11" s="228">
        <v>0</v>
      </c>
      <c r="C11" s="228">
        <v>5.91</v>
      </c>
      <c r="D11" s="228">
        <v>0</v>
      </c>
      <c r="E11" s="228">
        <v>6.67</v>
      </c>
      <c r="F11" s="228">
        <v>5</v>
      </c>
      <c r="G11" s="228">
        <v>2.5641025641025599</v>
      </c>
    </row>
    <row r="12" spans="1:7" s="1" customFormat="1" ht="12.75" x14ac:dyDescent="0.2">
      <c r="A12" s="137">
        <v>10</v>
      </c>
      <c r="B12" s="228">
        <v>0</v>
      </c>
      <c r="C12" s="228">
        <v>5.9</v>
      </c>
      <c r="D12" s="228">
        <v>0</v>
      </c>
      <c r="E12" s="228">
        <v>6.67</v>
      </c>
      <c r="F12" s="228">
        <v>5</v>
      </c>
      <c r="G12" s="228">
        <v>2.5641025641025599</v>
      </c>
    </row>
    <row r="13" spans="1:7" s="1" customFormat="1" ht="12.75" x14ac:dyDescent="0.2">
      <c r="A13" s="137">
        <v>11</v>
      </c>
      <c r="B13" s="228">
        <v>0</v>
      </c>
      <c r="C13" s="228">
        <v>5.91</v>
      </c>
      <c r="D13" s="228">
        <v>0</v>
      </c>
      <c r="E13" s="228">
        <v>6.67</v>
      </c>
      <c r="F13" s="228">
        <v>5</v>
      </c>
      <c r="G13" s="228">
        <v>2.5641025641025599</v>
      </c>
    </row>
    <row r="14" spans="1:7" s="1" customFormat="1" ht="12.75" x14ac:dyDescent="0.2">
      <c r="A14" s="137">
        <v>12</v>
      </c>
      <c r="B14" s="228">
        <v>0</v>
      </c>
      <c r="C14" s="228">
        <v>5.9</v>
      </c>
      <c r="D14" s="228">
        <v>0</v>
      </c>
      <c r="E14" s="228">
        <v>6.66</v>
      </c>
      <c r="F14" s="228">
        <v>5</v>
      </c>
      <c r="G14" s="228">
        <v>2.5641025641025599</v>
      </c>
    </row>
    <row r="15" spans="1:7" s="1" customFormat="1" ht="12.75" x14ac:dyDescent="0.2">
      <c r="A15" s="137">
        <v>13</v>
      </c>
      <c r="B15" s="228">
        <v>0</v>
      </c>
      <c r="C15" s="228">
        <v>5.91</v>
      </c>
      <c r="D15" s="228">
        <v>0</v>
      </c>
      <c r="E15" s="228">
        <v>6.67</v>
      </c>
      <c r="F15" s="228">
        <v>5</v>
      </c>
      <c r="G15" s="228">
        <v>2.5641025641025599</v>
      </c>
    </row>
    <row r="16" spans="1:7" s="1" customFormat="1" ht="12.75" x14ac:dyDescent="0.2">
      <c r="A16" s="137">
        <v>14</v>
      </c>
      <c r="B16" s="228">
        <v>0</v>
      </c>
      <c r="C16" s="228">
        <v>5.9</v>
      </c>
      <c r="D16" s="228">
        <v>0</v>
      </c>
      <c r="E16" s="228">
        <v>6.66</v>
      </c>
      <c r="F16" s="228">
        <v>5</v>
      </c>
      <c r="G16" s="228">
        <v>2.5641025641025599</v>
      </c>
    </row>
    <row r="17" spans="1:7" s="1" customFormat="1" ht="12.75" x14ac:dyDescent="0.2">
      <c r="A17" s="137">
        <v>15</v>
      </c>
      <c r="B17" s="228">
        <v>0</v>
      </c>
      <c r="C17" s="228">
        <v>5.9</v>
      </c>
      <c r="D17" s="228">
        <v>0</v>
      </c>
      <c r="E17" s="228">
        <v>6.67</v>
      </c>
      <c r="F17" s="228">
        <v>5</v>
      </c>
      <c r="G17" s="228">
        <v>2.5641025641025599</v>
      </c>
    </row>
    <row r="18" spans="1:7" s="1" customFormat="1" ht="12.75" x14ac:dyDescent="0.2">
      <c r="A18" s="137">
        <v>16</v>
      </c>
      <c r="B18" s="228">
        <v>0</v>
      </c>
      <c r="C18" s="228">
        <v>2.95</v>
      </c>
      <c r="D18" s="228">
        <v>0</v>
      </c>
      <c r="E18" s="228">
        <v>3.33</v>
      </c>
      <c r="F18" s="228">
        <v>5</v>
      </c>
      <c r="G18" s="228">
        <v>2.5641025641025599</v>
      </c>
    </row>
    <row r="19" spans="1:7" s="1" customFormat="1" ht="12.75" x14ac:dyDescent="0.2">
      <c r="A19" s="137">
        <v>17</v>
      </c>
      <c r="B19" s="228">
        <v>0</v>
      </c>
      <c r="C19" s="228">
        <v>0</v>
      </c>
      <c r="D19" s="228">
        <v>0</v>
      </c>
      <c r="E19" s="228">
        <v>0</v>
      </c>
      <c r="F19" s="228">
        <v>5</v>
      </c>
      <c r="G19" s="228">
        <v>2.5641025641025599</v>
      </c>
    </row>
    <row r="20" spans="1:7" s="1" customFormat="1" ht="12.75" x14ac:dyDescent="0.2">
      <c r="A20" s="137">
        <v>18</v>
      </c>
      <c r="B20" s="228">
        <v>0</v>
      </c>
      <c r="C20" s="228">
        <v>0</v>
      </c>
      <c r="D20" s="228">
        <v>0</v>
      </c>
      <c r="E20" s="228">
        <v>0</v>
      </c>
      <c r="F20" s="228">
        <v>5</v>
      </c>
      <c r="G20" s="228">
        <v>2.5641025641025599</v>
      </c>
    </row>
    <row r="21" spans="1:7" s="1" customFormat="1" ht="12.75" x14ac:dyDescent="0.2">
      <c r="A21" s="137">
        <v>19</v>
      </c>
      <c r="B21" s="228">
        <v>0</v>
      </c>
      <c r="C21" s="228">
        <v>0</v>
      </c>
      <c r="D21" s="228">
        <v>0</v>
      </c>
      <c r="E21" s="228">
        <v>0</v>
      </c>
      <c r="F21" s="228">
        <v>5</v>
      </c>
      <c r="G21" s="228">
        <v>2.5641025641025599</v>
      </c>
    </row>
    <row r="22" spans="1:7" s="1" customFormat="1" ht="12.75" x14ac:dyDescent="0.2">
      <c r="A22" s="137">
        <v>20</v>
      </c>
      <c r="B22" s="228">
        <v>0</v>
      </c>
      <c r="C22" s="228">
        <v>0</v>
      </c>
      <c r="D22" s="228">
        <v>0</v>
      </c>
      <c r="E22" s="228">
        <v>0</v>
      </c>
      <c r="F22" s="228">
        <v>5</v>
      </c>
      <c r="G22" s="228">
        <v>2.5641025641025599</v>
      </c>
    </row>
    <row r="23" spans="1:7" s="1" customFormat="1" ht="12.75" x14ac:dyDescent="0.2">
      <c r="A23" s="137">
        <v>21</v>
      </c>
      <c r="B23" s="228">
        <v>0</v>
      </c>
      <c r="C23" s="228">
        <v>0</v>
      </c>
      <c r="D23" s="228">
        <v>0</v>
      </c>
      <c r="E23" s="228">
        <v>0</v>
      </c>
      <c r="F23" s="228">
        <v>2.5</v>
      </c>
      <c r="G23" s="228">
        <v>2.5641025641025599</v>
      </c>
    </row>
    <row r="24" spans="1:7" s="1" customFormat="1" ht="12.75" customHeight="1" x14ac:dyDescent="0.2">
      <c r="A24" s="137">
        <v>22</v>
      </c>
      <c r="B24" s="228">
        <v>0</v>
      </c>
      <c r="C24" s="228">
        <v>0</v>
      </c>
      <c r="D24" s="228">
        <v>0</v>
      </c>
      <c r="E24" s="228">
        <v>0</v>
      </c>
      <c r="F24" s="228">
        <v>0</v>
      </c>
      <c r="G24" s="228">
        <v>2.5641025641025599</v>
      </c>
    </row>
    <row r="25" spans="1:7" s="1" customFormat="1" ht="12.75" customHeight="1" x14ac:dyDescent="0.2">
      <c r="A25" s="137">
        <v>23</v>
      </c>
      <c r="B25" s="228">
        <v>0</v>
      </c>
      <c r="C25" s="228">
        <v>0</v>
      </c>
      <c r="D25" s="228">
        <v>0</v>
      </c>
      <c r="E25" s="228">
        <v>0</v>
      </c>
      <c r="F25" s="228">
        <v>0</v>
      </c>
      <c r="G25" s="228">
        <v>2.5641025641025599</v>
      </c>
    </row>
    <row r="26" spans="1:7" s="1" customFormat="1" ht="12.75" customHeight="1" x14ac:dyDescent="0.2">
      <c r="A26" s="137">
        <v>24</v>
      </c>
      <c r="B26" s="228">
        <v>0</v>
      </c>
      <c r="C26" s="228">
        <v>0</v>
      </c>
      <c r="D26" s="228">
        <v>0</v>
      </c>
      <c r="E26" s="228">
        <v>0</v>
      </c>
      <c r="F26" s="228">
        <v>0</v>
      </c>
      <c r="G26" s="228">
        <v>2.5641025641025599</v>
      </c>
    </row>
    <row r="27" spans="1:7" s="1" customFormat="1" ht="12.75" customHeight="1" x14ac:dyDescent="0.2">
      <c r="A27" s="137">
        <v>25</v>
      </c>
      <c r="B27" s="228">
        <v>0</v>
      </c>
      <c r="C27" s="228">
        <v>0</v>
      </c>
      <c r="D27" s="228">
        <v>0</v>
      </c>
      <c r="E27" s="228">
        <v>0</v>
      </c>
      <c r="F27" s="228">
        <v>0</v>
      </c>
      <c r="G27" s="228">
        <v>2.5641025641025599</v>
      </c>
    </row>
    <row r="28" spans="1:7" s="1" customFormat="1" ht="12.75" customHeight="1" x14ac:dyDescent="0.2">
      <c r="A28" s="137">
        <v>26</v>
      </c>
      <c r="B28" s="228">
        <v>0</v>
      </c>
      <c r="C28" s="228">
        <v>0</v>
      </c>
      <c r="D28" s="228">
        <v>0</v>
      </c>
      <c r="E28" s="228">
        <v>0</v>
      </c>
      <c r="F28" s="228">
        <v>0</v>
      </c>
      <c r="G28" s="228">
        <v>2.5641025641025599</v>
      </c>
    </row>
    <row r="29" spans="1:7" s="1" customFormat="1" ht="12.75" customHeight="1" x14ac:dyDescent="0.2">
      <c r="A29" s="137">
        <v>27</v>
      </c>
      <c r="B29" s="228">
        <v>0</v>
      </c>
      <c r="C29" s="228">
        <v>0</v>
      </c>
      <c r="D29" s="228">
        <v>0</v>
      </c>
      <c r="E29" s="228">
        <v>0</v>
      </c>
      <c r="F29" s="228">
        <v>0</v>
      </c>
      <c r="G29" s="228">
        <v>2.5641025641025599</v>
      </c>
    </row>
    <row r="30" spans="1:7" ht="12.75" customHeight="1" x14ac:dyDescent="0.25">
      <c r="A30" s="137">
        <v>28</v>
      </c>
      <c r="B30" s="228">
        <v>0</v>
      </c>
      <c r="C30" s="228">
        <v>0</v>
      </c>
      <c r="D30" s="228">
        <v>0</v>
      </c>
      <c r="E30" s="228">
        <v>0</v>
      </c>
      <c r="F30" s="228">
        <v>0</v>
      </c>
      <c r="G30" s="228">
        <v>2.5641025641025599</v>
      </c>
    </row>
    <row r="31" spans="1:7" ht="12.75" customHeight="1" x14ac:dyDescent="0.25">
      <c r="A31" s="137">
        <v>29</v>
      </c>
      <c r="B31" s="228">
        <v>0</v>
      </c>
      <c r="C31" s="228">
        <v>0</v>
      </c>
      <c r="D31" s="228">
        <v>0</v>
      </c>
      <c r="E31" s="228">
        <v>0</v>
      </c>
      <c r="F31" s="228">
        <v>0</v>
      </c>
      <c r="G31" s="228">
        <v>2.5641025641025599</v>
      </c>
    </row>
    <row r="32" spans="1:7" ht="12.75" customHeight="1" x14ac:dyDescent="0.25">
      <c r="A32" s="137">
        <v>30</v>
      </c>
      <c r="B32" s="228">
        <v>0</v>
      </c>
      <c r="C32" s="228">
        <v>0</v>
      </c>
      <c r="D32" s="228">
        <v>0</v>
      </c>
      <c r="E32" s="228">
        <v>0</v>
      </c>
      <c r="F32" s="228">
        <v>0</v>
      </c>
      <c r="G32" s="228">
        <v>2.5641025641025599</v>
      </c>
    </row>
    <row r="33" spans="1:7" ht="12.75" customHeight="1" x14ac:dyDescent="0.25">
      <c r="A33" s="137">
        <v>31</v>
      </c>
      <c r="B33" s="228">
        <v>0</v>
      </c>
      <c r="C33" s="228">
        <v>0</v>
      </c>
      <c r="D33" s="228">
        <v>0</v>
      </c>
      <c r="E33" s="228">
        <v>0</v>
      </c>
      <c r="F33" s="228">
        <v>0</v>
      </c>
      <c r="G33" s="228">
        <v>2.5641025641025599</v>
      </c>
    </row>
    <row r="34" spans="1:7" ht="12.75" customHeight="1" x14ac:dyDescent="0.25">
      <c r="A34" s="137">
        <v>32</v>
      </c>
      <c r="B34" s="228">
        <v>0</v>
      </c>
      <c r="C34" s="228">
        <v>0</v>
      </c>
      <c r="D34" s="228">
        <v>0</v>
      </c>
      <c r="E34" s="228">
        <v>0</v>
      </c>
      <c r="F34" s="228">
        <v>0</v>
      </c>
      <c r="G34" s="228">
        <v>2.5641025641025599</v>
      </c>
    </row>
    <row r="35" spans="1:7" ht="12.75" customHeight="1" x14ac:dyDescent="0.25">
      <c r="A35" s="137">
        <v>33</v>
      </c>
      <c r="B35" s="228">
        <v>0</v>
      </c>
      <c r="C35" s="228">
        <v>0</v>
      </c>
      <c r="D35" s="228">
        <v>0</v>
      </c>
      <c r="E35" s="228">
        <v>0</v>
      </c>
      <c r="F35" s="228">
        <v>0</v>
      </c>
      <c r="G35" s="228">
        <v>2.5641025641025599</v>
      </c>
    </row>
    <row r="36" spans="1:7" ht="12.75" customHeight="1" x14ac:dyDescent="0.25">
      <c r="A36" s="137">
        <v>34</v>
      </c>
      <c r="B36" s="228">
        <v>0</v>
      </c>
      <c r="C36" s="228">
        <v>0</v>
      </c>
      <c r="D36" s="228">
        <v>0</v>
      </c>
      <c r="E36" s="228">
        <v>0</v>
      </c>
      <c r="F36" s="228">
        <v>0</v>
      </c>
      <c r="G36" s="228">
        <v>2.5641025641025599</v>
      </c>
    </row>
    <row r="37" spans="1:7" ht="12.75" customHeight="1" x14ac:dyDescent="0.25">
      <c r="A37" s="137">
        <v>35</v>
      </c>
      <c r="B37" s="228">
        <v>0</v>
      </c>
      <c r="C37" s="228">
        <v>0</v>
      </c>
      <c r="D37" s="228">
        <v>0</v>
      </c>
      <c r="E37" s="228">
        <v>0</v>
      </c>
      <c r="F37" s="228">
        <v>0</v>
      </c>
      <c r="G37" s="228">
        <v>2.5641025641025599</v>
      </c>
    </row>
    <row r="38" spans="1:7" ht="12.75" customHeight="1" x14ac:dyDescent="0.25">
      <c r="A38" s="137">
        <v>36</v>
      </c>
      <c r="B38" s="228">
        <v>0</v>
      </c>
      <c r="C38" s="228">
        <v>0</v>
      </c>
      <c r="D38" s="228">
        <v>0</v>
      </c>
      <c r="E38" s="228">
        <v>0</v>
      </c>
      <c r="F38" s="228">
        <v>0</v>
      </c>
      <c r="G38" s="228">
        <v>2.5641025641025599</v>
      </c>
    </row>
    <row r="39" spans="1:7" ht="12.75" customHeight="1" x14ac:dyDescent="0.25">
      <c r="A39" s="137">
        <v>37</v>
      </c>
      <c r="B39" s="228">
        <v>0</v>
      </c>
      <c r="C39" s="228">
        <v>0</v>
      </c>
      <c r="D39" s="228">
        <v>0</v>
      </c>
      <c r="E39" s="228">
        <v>0</v>
      </c>
      <c r="F39" s="228">
        <v>0</v>
      </c>
      <c r="G39" s="228">
        <v>2.5641025641025599</v>
      </c>
    </row>
    <row r="40" spans="1:7" ht="12.75" customHeight="1" x14ac:dyDescent="0.25">
      <c r="A40" s="137">
        <v>38</v>
      </c>
      <c r="B40" s="228">
        <v>0</v>
      </c>
      <c r="C40" s="228">
        <v>0</v>
      </c>
      <c r="D40" s="228">
        <v>0</v>
      </c>
      <c r="E40" s="228">
        <v>0</v>
      </c>
      <c r="F40" s="228">
        <v>0</v>
      </c>
      <c r="G40" s="228">
        <v>2.5641025641025599</v>
      </c>
    </row>
    <row r="41" spans="1:7" ht="12.75" customHeight="1" x14ac:dyDescent="0.25">
      <c r="A41" s="137">
        <v>39</v>
      </c>
      <c r="B41" s="228">
        <v>0</v>
      </c>
      <c r="C41" s="228">
        <v>0</v>
      </c>
      <c r="D41" s="228">
        <v>0</v>
      </c>
      <c r="E41" s="228">
        <v>0</v>
      </c>
      <c r="F41" s="228">
        <v>0</v>
      </c>
      <c r="G41" s="228">
        <v>2.5641025641025599</v>
      </c>
    </row>
    <row r="42" spans="1:7" ht="12.75" customHeight="1" x14ac:dyDescent="0.25">
      <c r="A42" s="138">
        <v>40</v>
      </c>
      <c r="B42" s="229">
        <v>0</v>
      </c>
      <c r="C42" s="229">
        <v>0</v>
      </c>
      <c r="D42" s="229">
        <v>0</v>
      </c>
      <c r="E42" s="229">
        <v>0</v>
      </c>
      <c r="F42" s="229">
        <v>0</v>
      </c>
      <c r="G42" s="229">
        <f>2.56410256410256*0.5</f>
        <v>1.2820512820512799</v>
      </c>
    </row>
    <row r="43" spans="1:7" x14ac:dyDescent="0.25">
      <c r="A43" s="135" t="s">
        <v>218</v>
      </c>
      <c r="B43" s="135"/>
      <c r="C43" s="135"/>
      <c r="D43" s="135"/>
      <c r="E43" s="135"/>
      <c r="F43" s="135"/>
      <c r="G43" s="135"/>
    </row>
    <row r="44" spans="1:7" x14ac:dyDescent="0.25">
      <c r="A44" s="135" t="s">
        <v>120</v>
      </c>
      <c r="B44" s="135"/>
      <c r="C44" s="135"/>
      <c r="D44" s="135"/>
      <c r="E44" s="135"/>
      <c r="F44" s="135"/>
      <c r="G44" s="13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223</vt:i4>
      </vt:variant>
    </vt:vector>
  </HeadingPairs>
  <TitlesOfParts>
    <vt:vector size="226"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2015-06-11T21:29:11Z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