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filterPrivacy="1" showInkAnnotation="0" codeName="ThisWorkbook" defaultThemeVersion="124226"/>
  <bookViews>
    <workbookView xWindow="10788" yWindow="-24" windowWidth="10836" windowHeight="10740" tabRatio="930" activeTab="2"/>
  </bookViews>
  <sheets>
    <sheet name="General Notes" sheetId="19" r:id="rId1"/>
    <sheet name="Assumptions" sheetId="12" r:id="rId2"/>
    <sheet name="Calculations" sheetId="13" r:id="rId3"/>
    <sheet name="Term Loan" sheetId="14" r:id="rId4"/>
    <sheet name="Working Capital" sheetId="15" r:id="rId5"/>
  </sheets>
  <definedNames>
    <definedName name="analysis_period">Assumptions!$F$8</definedName>
    <definedName name="annual_fuel_usage">#REF!</definedName>
    <definedName name="AnnualEnergy">#REF!</definedName>
    <definedName name="AnnualOMCapacity">#REF!</definedName>
    <definedName name="AnnualOMFixed">#REF!</definedName>
    <definedName name="AnnualOMProduction">#REF!</definedName>
    <definedName name="AnnualPPAPrice">#REF!</definedName>
    <definedName name="AnnualPPARevenue">#REF!</definedName>
    <definedName name="capacity_factor">Assumptions!$F$7</definedName>
    <definedName name="capacity_mw">Assumptions!$F$5</definedName>
    <definedName name="cbi_fed_amount">#REF!</definedName>
    <definedName name="cbi_fed_deprbas_fed">#REF!</definedName>
    <definedName name="cbi_fed_deprbas_sta">#REF!</definedName>
    <definedName name="cbi_fed_maxvalue">#REF!</definedName>
    <definedName name="cbi_fed_tax_fed">#REF!</definedName>
    <definedName name="cbi_fed_tax_sta">#REF!</definedName>
    <definedName name="cbi_oth_amount">#REF!</definedName>
    <definedName name="cbi_oth_deprbas_fed">#REF!</definedName>
    <definedName name="cbi_oth_deprbas_sta">#REF!</definedName>
    <definedName name="cbi_oth_maxvalue">#REF!</definedName>
    <definedName name="cbi_oth_tax_fed">#REF!</definedName>
    <definedName name="cbi_oth_tax_sta">#REF!</definedName>
    <definedName name="cbi_sta_amount">#REF!</definedName>
    <definedName name="cbi_sta_deprbas_fed">#REF!</definedName>
    <definedName name="cbi_sta_deprbas_sta">#REF!</definedName>
    <definedName name="cbi_sta_maxvalue">#REF!</definedName>
    <definedName name="cbi_sta_tax_fed">#REF!</definedName>
    <definedName name="cbi_sta_tax_sta">#REF!</definedName>
    <definedName name="cbi_uti_amount">#REF!</definedName>
    <definedName name="cbi_uti_deprbas_fed">#REF!</definedName>
    <definedName name="cbi_uti_deprbas_sta">#REF!</definedName>
    <definedName name="cbi_uti_maxvalue">#REF!</definedName>
    <definedName name="cbi_uti_tax_fed">#REF!</definedName>
    <definedName name="cbi_uti_tax_sta">#REF!</definedName>
    <definedName name="const_per_interest_rate1">#REF!</definedName>
    <definedName name="const_per_interest_rate2">#REF!</definedName>
    <definedName name="const_per_interest_rate3">#REF!</definedName>
    <definedName name="const_per_interest_rate4">#REF!</definedName>
    <definedName name="const_per_interest_rate5">#REF!</definedName>
    <definedName name="const_per_months1">#REF!</definedName>
    <definedName name="const_per_months2">#REF!</definedName>
    <definedName name="const_per_months3">#REF!</definedName>
    <definedName name="const_per_months4">#REF!</definedName>
    <definedName name="const_per_months5">#REF!</definedName>
    <definedName name="const_per_percent1">#REF!</definedName>
    <definedName name="const_per_percent2">#REF!</definedName>
    <definedName name="const_per_percent3">#REF!</definedName>
    <definedName name="const_per_percent4">#REF!</definedName>
    <definedName name="const_per_percent5">#REF!</definedName>
    <definedName name="const_per_upfront_rate1">#REF!</definedName>
    <definedName name="const_per_upfront_rate2">#REF!</definedName>
    <definedName name="const_per_upfront_rate3">#REF!</definedName>
    <definedName name="const_per_upfront_rate4">#REF!</definedName>
    <definedName name="const_per_upfront_rate5">#REF!</definedName>
    <definedName name="construction_financing_cost">#REF!</definedName>
    <definedName name="cost_debt_closing">#REF!</definedName>
    <definedName name="cost_debt_fee">#REF!</definedName>
    <definedName name="cost_other_financing">#REF!</definedName>
    <definedName name="cost_per_mw">Assumptions!$F$9</definedName>
    <definedName name="CostDebtUpfront">#REF!</definedName>
    <definedName name="debt_percent">Assumptions!$F$11</definedName>
    <definedName name="DebtPercent">#REF!</definedName>
    <definedName name="DebtServiceCoverageRatio">#REF!</definedName>
    <definedName name="depr_12">Assumptions!$F$27</definedName>
    <definedName name="depr_13">Assumptions!$F$28</definedName>
    <definedName name="depr_alloc_macrs_15_percent">#REF!</definedName>
    <definedName name="depr_alloc_macrs_5_percent">#REF!</definedName>
    <definedName name="depr_alloc_sl_15_percent">#REF!</definedName>
    <definedName name="depr_alloc_sl_20_percent">#REF!</definedName>
    <definedName name="depr_alloc_sl_39_percent">#REF!</definedName>
    <definedName name="depr_alloc_sl_5_percent">#REF!</definedName>
    <definedName name="depr_bonus_fed">#REF!</definedName>
    <definedName name="depr_bonus_fed_macrs_15">#REF!</definedName>
    <definedName name="depr_bonus_fed_macrs_5">#REF!</definedName>
    <definedName name="depr_bonus_fed_sl_15">#REF!</definedName>
    <definedName name="depr_bonus_fed_sl_20">#REF!</definedName>
    <definedName name="depr_bonus_fed_sl_39">#REF!</definedName>
    <definedName name="depr_bonus_fed_sl_5">#REF!</definedName>
    <definedName name="depr_bonus_sta">#REF!</definedName>
    <definedName name="depr_bonus_sta_macrs_15">#REF!</definedName>
    <definedName name="depr_bonus_sta_macrs_5">#REF!</definedName>
    <definedName name="depr_bonus_sta_sl_15">#REF!</definedName>
    <definedName name="depr_bonus_sta_sl_20">#REF!</definedName>
    <definedName name="depr_bonus_sta_sl_39">#REF!</definedName>
    <definedName name="depr_bonus_sta_sl_5">#REF!</definedName>
    <definedName name="depr_itc_fed_macrs_15">#REF!</definedName>
    <definedName name="depr_itc_fed_macrs_5">#REF!</definedName>
    <definedName name="depr_itc_fed_sl_15">#REF!</definedName>
    <definedName name="depr_itc_fed_sl_20">#REF!</definedName>
    <definedName name="depr_itc_fed_sl_39">#REF!</definedName>
    <definedName name="depr_itc_fed_sl_5">#REF!</definedName>
    <definedName name="depr_itc_sta_macrs_15">#REF!</definedName>
    <definedName name="depr_itc_sta_macrs_5">#REF!</definedName>
    <definedName name="depr_itc_sta_sl_15">#REF!</definedName>
    <definedName name="depr_itc_sta_sl_20">#REF!</definedName>
    <definedName name="depr_itc_sta_sl_39">#REF!</definedName>
    <definedName name="depr_itc_sta_sl_5">#REF!</definedName>
    <definedName name="dscr_reserve_months">#REF!</definedName>
    <definedName name="equip_reserve_depr_fed">#REF!</definedName>
    <definedName name="equip_reserve_depr_sta">#REF!</definedName>
    <definedName name="equip1_reserve_cost">#REF!</definedName>
    <definedName name="equip1_reserve_freq">#REF!</definedName>
    <definedName name="equip2_reserve_cost">#REF!</definedName>
    <definedName name="equip2_reserve_freq">#REF!</definedName>
    <definedName name="equip3_reserve_cost">#REF!</definedName>
    <definedName name="equip3_reserve_freq">#REF!</definedName>
    <definedName name="equity">Assumptions!$F$19</definedName>
    <definedName name="equity_wo_receivables">Assumptions!$F$20</definedName>
    <definedName name="federal_tax_rate">#REF!</definedName>
    <definedName name="generation" comment="actual generation of installation">Assumptions!$F$4</definedName>
    <definedName name="ibi_fed_amount">#REF!</definedName>
    <definedName name="ibi_fed_amount_deprbas_fed">#REF!</definedName>
    <definedName name="ibi_fed_amount_deprbas_sta">#REF!</definedName>
    <definedName name="ibi_fed_amount_tax_fed">#REF!</definedName>
    <definedName name="ibi_fed_amount_tax_sta">#REF!</definedName>
    <definedName name="ibi_fed_percent">#REF!</definedName>
    <definedName name="ibi_fed_percent_deprbas_fed">#REF!</definedName>
    <definedName name="ibi_fed_percent_deprbas_sta">#REF!</definedName>
    <definedName name="ibi_fed_percent_maxvalue">#REF!</definedName>
    <definedName name="ibi_fed_percent_tax_fed">#REF!</definedName>
    <definedName name="ibi_fed_percent_tax_sta">#REF!</definedName>
    <definedName name="ibi_oth_amount">#REF!</definedName>
    <definedName name="ibi_oth_amount_deprbas_fed">#REF!</definedName>
    <definedName name="ibi_oth_amount_deprbas_sta">#REF!</definedName>
    <definedName name="ibi_oth_amount_tax_fed">#REF!</definedName>
    <definedName name="ibi_oth_amount_tax_sta">#REF!</definedName>
    <definedName name="ibi_oth_percent">#REF!</definedName>
    <definedName name="ibi_oth_percent_deprbas_fed">#REF!</definedName>
    <definedName name="ibi_oth_percent_deprbas_sta">#REF!</definedName>
    <definedName name="ibi_oth_percent_maxvalue">#REF!</definedName>
    <definedName name="ibi_oth_percent_tax_fed">#REF!</definedName>
    <definedName name="ibi_oth_percent_tax_sta">#REF!</definedName>
    <definedName name="ibi_sta_amount">#REF!</definedName>
    <definedName name="ibi_sta_amount_deprbas_fed">#REF!</definedName>
    <definedName name="ibi_sta_amount_deprbas_sta">#REF!</definedName>
    <definedName name="ibi_sta_amount_tax_fed">#REF!</definedName>
    <definedName name="ibi_sta_amount_tax_sta">#REF!</definedName>
    <definedName name="ibi_sta_percent">#REF!</definedName>
    <definedName name="ibi_sta_percent_deprbas_fed">#REF!</definedName>
    <definedName name="ibi_sta_percent_deprbas_sta">#REF!</definedName>
    <definedName name="ibi_sta_percent_maxvalue">#REF!</definedName>
    <definedName name="ibi_sta_percent_tax_fed">#REF!</definedName>
    <definedName name="ibi_sta_percent_tax_sta">#REF!</definedName>
    <definedName name="ibi_uti_amount">#REF!</definedName>
    <definedName name="ibi_uti_amount_deprbas_fed">#REF!</definedName>
    <definedName name="ibi_uti_amount_deprbas_sta">#REF!</definedName>
    <definedName name="ibi_uti_amount_tax_fed">#REF!</definedName>
    <definedName name="ibi_uti_amount_tax_sta">#REF!</definedName>
    <definedName name="ibi_uti_percent">#REF!</definedName>
    <definedName name="ibi_uti_percent_deprbas_fed">#REF!</definedName>
    <definedName name="ibi_uti_percent_deprbas_sta">#REF!</definedName>
    <definedName name="ibi_uti_percent_maxvalue">#REF!</definedName>
    <definedName name="ibi_uti_percent_tax_fed">#REF!</definedName>
    <definedName name="ibi_uti_percent_tax_sta">#REF!</definedName>
    <definedName name="inflation_rate">#REF!</definedName>
    <definedName name="installed_capacity">Assumptions!$F$5</definedName>
    <definedName name="insurance_rate">#REF!</definedName>
    <definedName name="IRRTarget">#REF!</definedName>
    <definedName name="IRRTargetYear">#REF!</definedName>
    <definedName name="itc_fed_amount">#REF!</definedName>
    <definedName name="itc_fed_amount_deprbas_fed">#REF!</definedName>
    <definedName name="itc_fed_amount_deprbas_sta">#REF!</definedName>
    <definedName name="itc_fed_percent">#REF!</definedName>
    <definedName name="itc_fed_percent_deprbas_fed">#REF!</definedName>
    <definedName name="itc_fed_percent_deprbas_sta">#REF!</definedName>
    <definedName name="itc_fed_percent_maxvalue">#REF!</definedName>
    <definedName name="itc_sta_amount">#REF!</definedName>
    <definedName name="itc_sta_amount_deprbas_fed">#REF!</definedName>
    <definedName name="itc_sta_amount_deprbas_sta">#REF!</definedName>
    <definedName name="itc_sta_percent">#REF!</definedName>
    <definedName name="itc_sta_percent_deprbas_fed">#REF!</definedName>
    <definedName name="itc_sta_percent_deprbas_sta">#REF!</definedName>
    <definedName name="itc_sta_percent_maxvalue">#REF!</definedName>
    <definedName name="loan_moratorium">Assumptions!$F$16</definedName>
    <definedName name="loan_principal">Assumptions!$F$15</definedName>
    <definedName name="months_receivables_reserve">Assumptions!$F$31</definedName>
    <definedName name="months_working_reserve">#REF!</definedName>
    <definedName name="MortgageSizeOfDebt">#REF!</definedName>
    <definedName name="nominal_discount_rate">Assumptions!$F$23</definedName>
    <definedName name="NominalDiscountRate">#REF!</definedName>
    <definedName name="om_acceleration">Assumptions!$F$34</definedName>
    <definedName name="om_capacity">#REF!</definedName>
    <definedName name="om_capacity_escal">#REF!</definedName>
    <definedName name="om_fixed">#REF!</definedName>
    <definedName name="om_fixed_escal">#REF!</definedName>
    <definedName name="om_fuel_cost">#REF!</definedName>
    <definedName name="om_fuel_cost_escal">#REF!</definedName>
    <definedName name="om_mw">Assumptions!$F$33</definedName>
    <definedName name="om_opt_fuel_1_cost">#REF!</definedName>
    <definedName name="om_opt_fuel_1_cost_escal">#REF!</definedName>
    <definedName name="om_opt_fuel_1_usage">#REF!</definedName>
    <definedName name="om_opt_fuel_2_cost">#REF!</definedName>
    <definedName name="om_opt_fuel_2_cost_escal">#REF!</definedName>
    <definedName name="om_opt_fuel_2_usage">#REF!</definedName>
    <definedName name="om_production">#REF!</definedName>
    <definedName name="om_production_escal">#REF!</definedName>
    <definedName name="pbi_fed_amount">#REF!</definedName>
    <definedName name="pbi_fed_escal">#REF!</definedName>
    <definedName name="pbi_fed_for_ds">#REF!</definedName>
    <definedName name="pbi_fed_tax_fed">#REF!</definedName>
    <definedName name="pbi_fed_tax_sta">#REF!</definedName>
    <definedName name="pbi_fed_term">#REF!</definedName>
    <definedName name="pbi_oth_amount">#REF!</definedName>
    <definedName name="pbi_oth_escal">#REF!</definedName>
    <definedName name="pbi_oth_for_ds">#REF!</definedName>
    <definedName name="pbi_oth_tax_fed">#REF!</definedName>
    <definedName name="pbi_oth_tax_sta">#REF!</definedName>
    <definedName name="pbi_oth_term">#REF!</definedName>
    <definedName name="pbi_sta_amount">#REF!</definedName>
    <definedName name="pbi_sta_escal">#REF!</definedName>
    <definedName name="pbi_sta_for_ds">#REF!</definedName>
    <definedName name="pbi_sta_tax_fed">#REF!</definedName>
    <definedName name="pbi_sta_tax_sta">#REF!</definedName>
    <definedName name="pbi_sta_term">#REF!</definedName>
    <definedName name="pbi_uti_amount">#REF!</definedName>
    <definedName name="pbi_uti_escal">#REF!</definedName>
    <definedName name="pbi_uti_for_ds">#REF!</definedName>
    <definedName name="pbi_uti_tax_fed">#REF!</definedName>
    <definedName name="pbi_uti_tax_sta">#REF!</definedName>
    <definedName name="pbi_uti_term">#REF!</definedName>
    <definedName name="ppa_escalation">#REF!</definedName>
    <definedName name="ppa_price">Assumptions!$F$35</definedName>
    <definedName name="PPAPriceInput">#REF!</definedName>
    <definedName name="prop_tax_assessed_decline">#REF!</definedName>
    <definedName name="prop_tax_cost_assessed_percent">#REF!</definedName>
    <definedName name="property_tax_rate">#REF!</definedName>
    <definedName name="PropertyTaxAssessedValue">#REF!</definedName>
    <definedName name="ptc_fed_amount">#REF!</definedName>
    <definedName name="ptc_fed_escal">#REF!</definedName>
    <definedName name="ptc_fed_term">#REF!</definedName>
    <definedName name="ptc_sta_amount">#REF!</definedName>
    <definedName name="ptc_sta_escal">#REF!</definedName>
    <definedName name="ptc_sta_term">#REF!</definedName>
    <definedName name="real_discount_rate">#REF!</definedName>
    <definedName name="reserves_interest">Assumptions!$F$32</definedName>
    <definedName name="roe_10">Assumptions!$F$21</definedName>
    <definedName name="roe_11">Assumptions!$F$22</definedName>
    <definedName name="sales_tax_rate">#REF!</definedName>
    <definedName name="salvage_percentage">#REF!</definedName>
    <definedName name="state_tax_rate">#REF!</definedName>
    <definedName name="system_capacity">#REF!</definedName>
    <definedName name="system_heat_rate">#REF!</definedName>
    <definedName name="tax_rate">Assumptions!$F$24</definedName>
    <definedName name="term_int_rate">Assumptions!$F$18</definedName>
    <definedName name="term_tenor">Assumptions!$F$17</definedName>
    <definedName name="total_installed_cost">#REF!</definedName>
  </definedNames>
  <calcPr calcId="171027"/>
</workbook>
</file>

<file path=xl/calcChain.xml><?xml version="1.0" encoding="utf-8"?>
<calcChain xmlns="http://schemas.openxmlformats.org/spreadsheetml/2006/main">
  <c r="E22" i="13" l="1"/>
  <c r="D21" i="13"/>
  <c r="Q19" i="13"/>
  <c r="R19" i="13"/>
  <c r="S19" i="13"/>
  <c r="T19" i="13"/>
  <c r="U19" i="13"/>
  <c r="V19" i="13"/>
  <c r="W19" i="13"/>
  <c r="X19" i="13"/>
  <c r="Y19" i="13"/>
  <c r="Z19" i="13"/>
  <c r="AA19" i="13"/>
  <c r="AB19" i="13"/>
  <c r="P19" i="13"/>
  <c r="O19" i="13"/>
  <c r="E19" i="13"/>
  <c r="F19" i="13"/>
  <c r="G19" i="13"/>
  <c r="H19" i="13"/>
  <c r="I19" i="13"/>
  <c r="J19" i="13"/>
  <c r="K19" i="13"/>
  <c r="L19" i="13"/>
  <c r="M19" i="13"/>
  <c r="N19" i="13"/>
  <c r="D19" i="13"/>
  <c r="P4" i="14" l="1"/>
  <c r="P6" i="14"/>
  <c r="Q6" i="14"/>
  <c r="Q4" i="14"/>
  <c r="R4" i="14" s="1"/>
  <c r="S4" i="14" l="1"/>
  <c r="T4" i="14" s="1"/>
  <c r="U4" i="14" s="1"/>
  <c r="T6" i="14"/>
  <c r="U6" i="14"/>
  <c r="Y6" i="14"/>
  <c r="V6" i="14"/>
  <c r="R6" i="14"/>
  <c r="Z6" i="14"/>
  <c r="S6" i="14"/>
  <c r="W6" i="14"/>
  <c r="AA6" i="14"/>
  <c r="X6" i="14"/>
  <c r="Q5" i="14"/>
  <c r="P5" i="14"/>
  <c r="P7" i="14" s="1"/>
  <c r="P20" i="13"/>
  <c r="Q20" i="13"/>
  <c r="R20" i="13"/>
  <c r="S20" i="13"/>
  <c r="T20" i="13"/>
  <c r="U20" i="13"/>
  <c r="V20" i="13"/>
  <c r="W20" i="13"/>
  <c r="X20" i="13"/>
  <c r="Y20" i="13"/>
  <c r="Z20" i="13"/>
  <c r="AA20" i="13"/>
  <c r="AB20" i="13"/>
  <c r="V4" i="14" l="1"/>
  <c r="Q7" i="14"/>
  <c r="D20" i="13"/>
  <c r="E20" i="13"/>
  <c r="E15" i="13"/>
  <c r="F15" i="13"/>
  <c r="G15" i="13"/>
  <c r="H15" i="13"/>
  <c r="I15" i="13"/>
  <c r="J15" i="13"/>
  <c r="K15" i="13"/>
  <c r="L15" i="13"/>
  <c r="M15" i="13"/>
  <c r="N15" i="13"/>
  <c r="O15" i="13"/>
  <c r="P15" i="13"/>
  <c r="Q15" i="13"/>
  <c r="R15" i="13"/>
  <c r="S15" i="13"/>
  <c r="T15" i="13"/>
  <c r="U15" i="13"/>
  <c r="V15" i="13"/>
  <c r="W15" i="13"/>
  <c r="X15" i="13"/>
  <c r="Y15" i="13"/>
  <c r="Z15" i="13"/>
  <c r="AA15" i="13"/>
  <c r="AB15" i="13"/>
  <c r="D15" i="13"/>
  <c r="W4" i="14" l="1"/>
  <c r="R5" i="14"/>
  <c r="R7" i="14" s="1"/>
  <c r="F10" i="12"/>
  <c r="F15" i="12"/>
  <c r="F12" i="12"/>
  <c r="X4" i="14" l="1"/>
  <c r="F20" i="13"/>
  <c r="B4" i="14"/>
  <c r="AB26" i="13"/>
  <c r="AA26" i="13"/>
  <c r="Z26" i="13"/>
  <c r="Y26" i="13"/>
  <c r="X26" i="13"/>
  <c r="W26" i="13"/>
  <c r="V26" i="13"/>
  <c r="U26" i="13"/>
  <c r="T26" i="13"/>
  <c r="S26" i="13"/>
  <c r="R26" i="13"/>
  <c r="Q26" i="13"/>
  <c r="P26" i="13"/>
  <c r="O26" i="13"/>
  <c r="N26" i="13"/>
  <c r="M26" i="13"/>
  <c r="L26" i="13"/>
  <c r="K26" i="13"/>
  <c r="J26" i="13"/>
  <c r="I26" i="13"/>
  <c r="H26" i="13"/>
  <c r="G26" i="13"/>
  <c r="F26" i="13"/>
  <c r="E26" i="13"/>
  <c r="D26" i="13"/>
  <c r="D18" i="13"/>
  <c r="E18" i="13" s="1"/>
  <c r="F18" i="13" s="1"/>
  <c r="G18" i="13" s="1"/>
  <c r="H18" i="13" s="1"/>
  <c r="I18" i="13" s="1"/>
  <c r="J18" i="13" s="1"/>
  <c r="K18" i="13" s="1"/>
  <c r="L18" i="13" s="1"/>
  <c r="M18" i="13" s="1"/>
  <c r="N18" i="13" s="1"/>
  <c r="O18" i="13" s="1"/>
  <c r="P18" i="13" s="1"/>
  <c r="Q18" i="13" s="1"/>
  <c r="R18" i="13" s="1"/>
  <c r="S18" i="13" s="1"/>
  <c r="T18" i="13" s="1"/>
  <c r="U18" i="13" s="1"/>
  <c r="V18" i="13" s="1"/>
  <c r="W18" i="13" s="1"/>
  <c r="X18" i="13" s="1"/>
  <c r="Y18" i="13" s="1"/>
  <c r="Z18" i="13" s="1"/>
  <c r="AA18" i="13" s="1"/>
  <c r="AB18" i="13" s="1"/>
  <c r="AB13" i="13"/>
  <c r="AA13" i="13"/>
  <c r="Z13" i="13"/>
  <c r="Y13" i="13"/>
  <c r="X13" i="13"/>
  <c r="W13" i="13"/>
  <c r="V13" i="13"/>
  <c r="U13" i="13"/>
  <c r="T13" i="13"/>
  <c r="S13" i="13"/>
  <c r="R13" i="13"/>
  <c r="Q13" i="13"/>
  <c r="P13" i="13"/>
  <c r="O13" i="13"/>
  <c r="N13" i="13"/>
  <c r="M13" i="13"/>
  <c r="L13" i="13"/>
  <c r="K13" i="13"/>
  <c r="J13" i="13"/>
  <c r="I13" i="13"/>
  <c r="H13" i="13"/>
  <c r="G13" i="13"/>
  <c r="F13" i="13"/>
  <c r="E13" i="13"/>
  <c r="D13" i="13"/>
  <c r="AB12" i="13"/>
  <c r="AA12" i="13"/>
  <c r="Z12" i="13"/>
  <c r="Y12" i="13"/>
  <c r="X12" i="13"/>
  <c r="W12" i="13"/>
  <c r="V12" i="13"/>
  <c r="U12" i="13"/>
  <c r="T12" i="13"/>
  <c r="S12" i="13"/>
  <c r="R12" i="13"/>
  <c r="Q12" i="13"/>
  <c r="P12" i="13"/>
  <c r="O12" i="13"/>
  <c r="N12" i="13"/>
  <c r="M12" i="13"/>
  <c r="L12" i="13"/>
  <c r="K12" i="13"/>
  <c r="J12" i="13"/>
  <c r="I12" i="13"/>
  <c r="H12" i="13"/>
  <c r="G12" i="13"/>
  <c r="F12" i="13"/>
  <c r="E12" i="13"/>
  <c r="D11" i="13"/>
  <c r="D12" i="13" s="1"/>
  <c r="F14" i="12"/>
  <c r="F13" i="12"/>
  <c r="Y4" i="14" l="1"/>
  <c r="B18" i="14"/>
  <c r="B5" i="14"/>
  <c r="C26" i="13"/>
  <c r="K14" i="13"/>
  <c r="J4" i="15" s="1"/>
  <c r="J7" i="15" s="1"/>
  <c r="S14" i="13"/>
  <c r="R4" i="15" s="1"/>
  <c r="R7" i="15" s="1"/>
  <c r="AA14" i="13"/>
  <c r="Z4" i="15" s="1"/>
  <c r="Z7" i="15" s="1"/>
  <c r="G14" i="13"/>
  <c r="F4" i="15" s="1"/>
  <c r="F7" i="15" s="1"/>
  <c r="O14" i="13"/>
  <c r="N4" i="15" s="1"/>
  <c r="N7" i="15" s="1"/>
  <c r="W14" i="13"/>
  <c r="V4" i="15" s="1"/>
  <c r="V7" i="15" s="1"/>
  <c r="D14" i="13"/>
  <c r="C4" i="15" s="1"/>
  <c r="C7" i="15" s="1"/>
  <c r="H14" i="13"/>
  <c r="H4" i="13" s="1"/>
  <c r="L14" i="13"/>
  <c r="K4" i="15" s="1"/>
  <c r="K7" i="15" s="1"/>
  <c r="P14" i="13"/>
  <c r="O4" i="15" s="1"/>
  <c r="O7" i="15" s="1"/>
  <c r="T14" i="13"/>
  <c r="S4" i="15" s="1"/>
  <c r="S7" i="15" s="1"/>
  <c r="X14" i="13"/>
  <c r="AB14" i="13"/>
  <c r="F14" i="13"/>
  <c r="E4" i="15" s="1"/>
  <c r="E7" i="15" s="1"/>
  <c r="J14" i="13"/>
  <c r="I4" i="15" s="1"/>
  <c r="I7" i="15" s="1"/>
  <c r="N14" i="13"/>
  <c r="M4" i="15" s="1"/>
  <c r="M7" i="15" s="1"/>
  <c r="R14" i="13"/>
  <c r="Q4" i="15" s="1"/>
  <c r="Q7" i="15" s="1"/>
  <c r="V14" i="13"/>
  <c r="U4" i="15" s="1"/>
  <c r="U7" i="15" s="1"/>
  <c r="Z14" i="13"/>
  <c r="Y4" i="15" s="1"/>
  <c r="Y7" i="15" s="1"/>
  <c r="E14" i="13"/>
  <c r="D4" i="15" s="1"/>
  <c r="D7" i="15" s="1"/>
  <c r="I14" i="13"/>
  <c r="H4" i="15" s="1"/>
  <c r="H7" i="15" s="1"/>
  <c r="M14" i="13"/>
  <c r="L4" i="15" s="1"/>
  <c r="L7" i="15" s="1"/>
  <c r="Q14" i="13"/>
  <c r="P4" i="15" s="1"/>
  <c r="P7" i="15" s="1"/>
  <c r="U14" i="13"/>
  <c r="T4" i="15" s="1"/>
  <c r="T7" i="15" s="1"/>
  <c r="Y14" i="13"/>
  <c r="X4" i="15" s="1"/>
  <c r="X7" i="15" s="1"/>
  <c r="D4" i="13"/>
  <c r="L4" i="13"/>
  <c r="D3" i="13"/>
  <c r="K4" i="13"/>
  <c r="S4" i="13"/>
  <c r="W4" i="13"/>
  <c r="AA4" i="13"/>
  <c r="C3" i="15"/>
  <c r="C5" i="15"/>
  <c r="Z4" i="14" l="1"/>
  <c r="S5" i="14"/>
  <c r="S7" i="14" s="1"/>
  <c r="B34" i="14"/>
  <c r="G4" i="15"/>
  <c r="G7" i="15" s="1"/>
  <c r="G4" i="13"/>
  <c r="T4" i="13"/>
  <c r="J4" i="13"/>
  <c r="AA4" i="15"/>
  <c r="AA7" i="15" s="1"/>
  <c r="X4" i="13"/>
  <c r="O4" i="13"/>
  <c r="W4" i="15"/>
  <c r="W7" i="15" s="1"/>
  <c r="R4" i="13"/>
  <c r="I4" i="13"/>
  <c r="AB4" i="13"/>
  <c r="Z4" i="13"/>
  <c r="P5" i="13"/>
  <c r="F4" i="13"/>
  <c r="P4" i="13"/>
  <c r="Y4" i="13"/>
  <c r="V4" i="13"/>
  <c r="Q4" i="13"/>
  <c r="N4" i="13"/>
  <c r="M4" i="13"/>
  <c r="C8" i="15"/>
  <c r="D6" i="13" s="1"/>
  <c r="U4" i="13"/>
  <c r="E4" i="13"/>
  <c r="C4" i="13" s="1"/>
  <c r="Q5" i="13"/>
  <c r="D5" i="15"/>
  <c r="D3" i="15"/>
  <c r="E3" i="13"/>
  <c r="B19" i="14"/>
  <c r="B6" i="14"/>
  <c r="AA4" i="14" l="1"/>
  <c r="G20" i="13"/>
  <c r="F19" i="12"/>
  <c r="F20" i="12" s="1"/>
  <c r="D8" i="15"/>
  <c r="E21" i="13" s="1"/>
  <c r="E6" i="13" s="1"/>
  <c r="B20" i="14"/>
  <c r="B36" i="14" s="1"/>
  <c r="B7" i="14"/>
  <c r="B35" i="14"/>
  <c r="E5" i="15"/>
  <c r="E3" i="15"/>
  <c r="F3" i="13"/>
  <c r="Y22" i="13" l="1"/>
  <c r="Y7" i="13" s="1"/>
  <c r="N22" i="13"/>
  <c r="O22" i="13"/>
  <c r="AA22" i="13"/>
  <c r="AA7" i="13" s="1"/>
  <c r="E7" i="13"/>
  <c r="N7" i="13"/>
  <c r="F22" i="13"/>
  <c r="F7" i="13" s="1"/>
  <c r="AB22" i="13"/>
  <c r="AB7" i="13" s="1"/>
  <c r="Z22" i="13"/>
  <c r="Z7" i="13" s="1"/>
  <c r="P22" i="13"/>
  <c r="P7" i="13" s="1"/>
  <c r="W22" i="13"/>
  <c r="W7" i="13" s="1"/>
  <c r="K22" i="13"/>
  <c r="K7" i="13" s="1"/>
  <c r="G22" i="13"/>
  <c r="G7" i="13" s="1"/>
  <c r="X22" i="13"/>
  <c r="X7" i="13" s="1"/>
  <c r="V22" i="13"/>
  <c r="V7" i="13" s="1"/>
  <c r="U22" i="13"/>
  <c r="U7" i="13" s="1"/>
  <c r="S22" i="13"/>
  <c r="S7" i="13" s="1"/>
  <c r="M22" i="13"/>
  <c r="M7" i="13" s="1"/>
  <c r="D22" i="13"/>
  <c r="D7" i="13" s="1"/>
  <c r="I22" i="13"/>
  <c r="I7" i="13" s="1"/>
  <c r="J22" i="13"/>
  <c r="J7" i="13" s="1"/>
  <c r="T22" i="13"/>
  <c r="T7" i="13" s="1"/>
  <c r="R22" i="13"/>
  <c r="R7" i="13" s="1"/>
  <c r="Q22" i="13"/>
  <c r="Q7" i="13" s="1"/>
  <c r="L22" i="13"/>
  <c r="L7" i="13" s="1"/>
  <c r="O7" i="13"/>
  <c r="H22" i="13"/>
  <c r="H7" i="13" s="1"/>
  <c r="E8" i="15"/>
  <c r="F21" i="13" s="1"/>
  <c r="F6" i="13" s="1"/>
  <c r="B21" i="14"/>
  <c r="B8" i="14"/>
  <c r="F3" i="15"/>
  <c r="F5" i="15"/>
  <c r="G3" i="13"/>
  <c r="T5" i="14" l="1"/>
  <c r="T7" i="14" s="1"/>
  <c r="C7" i="13"/>
  <c r="F8" i="15"/>
  <c r="G21" i="13" s="1"/>
  <c r="G6" i="13" s="1"/>
  <c r="B22" i="14"/>
  <c r="B38" i="14" s="1"/>
  <c r="B9" i="14"/>
  <c r="B37" i="14"/>
  <c r="G3" i="15"/>
  <c r="G5" i="15"/>
  <c r="H3" i="13"/>
  <c r="H20" i="13" l="1"/>
  <c r="G8" i="15"/>
  <c r="H21" i="13" s="1"/>
  <c r="H6" i="13" s="1"/>
  <c r="H5" i="15"/>
  <c r="H3" i="15"/>
  <c r="I3" i="13"/>
  <c r="B23" i="14"/>
  <c r="B10" i="14"/>
  <c r="H8" i="15" l="1"/>
  <c r="I21" i="13" s="1"/>
  <c r="I6" i="13" s="1"/>
  <c r="B24" i="14"/>
  <c r="B40" i="14" s="1"/>
  <c r="B11" i="14"/>
  <c r="I5" i="15"/>
  <c r="I3" i="15"/>
  <c r="J3" i="13"/>
  <c r="B39" i="14"/>
  <c r="U5" i="14" l="1"/>
  <c r="I8" i="15"/>
  <c r="J21" i="13" s="1"/>
  <c r="J6" i="13" s="1"/>
  <c r="B25" i="14"/>
  <c r="B12" i="14"/>
  <c r="J3" i="15"/>
  <c r="J5" i="15"/>
  <c r="K3" i="13"/>
  <c r="U7" i="14" l="1"/>
  <c r="I20" i="13"/>
  <c r="R5" i="13"/>
  <c r="J8" i="15"/>
  <c r="K21" i="13" s="1"/>
  <c r="K6" i="13" s="1"/>
  <c r="K3" i="15"/>
  <c r="K5" i="15"/>
  <c r="L3" i="13"/>
  <c r="B26" i="14"/>
  <c r="B42" i="14" s="1"/>
  <c r="B13" i="14"/>
  <c r="B41" i="14"/>
  <c r="K8" i="15" l="1"/>
  <c r="L21" i="13" s="1"/>
  <c r="L6" i="13" s="1"/>
  <c r="L5" i="15"/>
  <c r="L3" i="15"/>
  <c r="M3" i="13"/>
  <c r="B27" i="14"/>
  <c r="B43" i="14" s="1"/>
  <c r="B14" i="14"/>
  <c r="V5" i="14" l="1"/>
  <c r="L8" i="15"/>
  <c r="M21" i="13" s="1"/>
  <c r="M6" i="13" s="1"/>
  <c r="B28" i="14"/>
  <c r="B44" i="14" s="1"/>
  <c r="B15" i="14"/>
  <c r="C4" i="14" s="1"/>
  <c r="M5" i="15"/>
  <c r="M3" i="15"/>
  <c r="N3" i="13"/>
  <c r="V7" i="14" l="1"/>
  <c r="J20" i="13"/>
  <c r="M8" i="15"/>
  <c r="N21" i="13" s="1"/>
  <c r="N6" i="13" s="1"/>
  <c r="B29" i="14"/>
  <c r="B31" i="14" s="1"/>
  <c r="N3" i="15"/>
  <c r="N5" i="15"/>
  <c r="O3" i="13"/>
  <c r="N8" i="15" l="1"/>
  <c r="O21" i="13" s="1"/>
  <c r="O6" i="13" s="1"/>
  <c r="O3" i="15"/>
  <c r="O5" i="15"/>
  <c r="P3" i="13"/>
  <c r="C18" i="14"/>
  <c r="C5" i="14"/>
  <c r="B45" i="14"/>
  <c r="W5" i="14" l="1"/>
  <c r="C19" i="14"/>
  <c r="C35" i="14" s="1"/>
  <c r="C6" i="14"/>
  <c r="C34" i="14"/>
  <c r="D5" i="13"/>
  <c r="D23" i="13"/>
  <c r="D8" i="13" s="1"/>
  <c r="P5" i="15"/>
  <c r="Q3" i="13"/>
  <c r="P3" i="15"/>
  <c r="O8" i="15"/>
  <c r="P21" i="13" s="1"/>
  <c r="W7" i="14" l="1"/>
  <c r="K20" i="13"/>
  <c r="P8" i="15"/>
  <c r="Q21" i="13" s="1"/>
  <c r="Q6" i="13" s="1"/>
  <c r="P6" i="13"/>
  <c r="P23" i="13"/>
  <c r="P8" i="13" s="1"/>
  <c r="C20" i="14"/>
  <c r="C7" i="14"/>
  <c r="Q5" i="15"/>
  <c r="Q3" i="15"/>
  <c r="R3" i="13"/>
  <c r="X5" i="14" l="1"/>
  <c r="Q8" i="15"/>
  <c r="R21" i="13" s="1"/>
  <c r="R6" i="13" s="1"/>
  <c r="Q23" i="13"/>
  <c r="Q8" i="13" s="1"/>
  <c r="C21" i="14"/>
  <c r="C37" i="14" s="1"/>
  <c r="C8" i="14"/>
  <c r="R3" i="15"/>
  <c r="R5" i="15"/>
  <c r="S3" i="13"/>
  <c r="C36" i="14"/>
  <c r="X7" i="14" l="1"/>
  <c r="L20" i="13"/>
  <c r="R23" i="13"/>
  <c r="R8" i="13" s="1"/>
  <c r="R8" i="15"/>
  <c r="S21" i="13" s="1"/>
  <c r="S6" i="13" s="1"/>
  <c r="S3" i="15"/>
  <c r="S5" i="15"/>
  <c r="T3" i="13"/>
  <c r="C22" i="14"/>
  <c r="C9" i="14"/>
  <c r="C23" i="14" l="1"/>
  <c r="C39" i="14" s="1"/>
  <c r="C10" i="14"/>
  <c r="C38" i="14"/>
  <c r="T5" i="15"/>
  <c r="T3" i="15"/>
  <c r="U3" i="13"/>
  <c r="S8" i="15"/>
  <c r="T21" i="13" s="1"/>
  <c r="Y5" i="14" l="1"/>
  <c r="T8" i="15"/>
  <c r="U21" i="13" s="1"/>
  <c r="U6" i="13" s="1"/>
  <c r="T6" i="13"/>
  <c r="U5" i="15"/>
  <c r="U3" i="15"/>
  <c r="V3" i="13"/>
  <c r="C24" i="14"/>
  <c r="C11" i="14"/>
  <c r="Y7" i="14" l="1"/>
  <c r="M20" i="13"/>
  <c r="U8" i="15"/>
  <c r="V21" i="13" s="1"/>
  <c r="V6" i="13" s="1"/>
  <c r="C40" i="14"/>
  <c r="C25" i="14"/>
  <c r="C41" i="14" s="1"/>
  <c r="C12" i="14"/>
  <c r="V3" i="15"/>
  <c r="V5" i="15"/>
  <c r="W3" i="13"/>
  <c r="Z5" i="14" l="1"/>
  <c r="V8" i="15"/>
  <c r="W21" i="13" s="1"/>
  <c r="W3" i="15"/>
  <c r="W5" i="15"/>
  <c r="X3" i="13"/>
  <c r="C13" i="14"/>
  <c r="C26" i="14"/>
  <c r="Z7" i="14" l="1"/>
  <c r="N20" i="13"/>
  <c r="S5" i="13"/>
  <c r="S23" i="13"/>
  <c r="S8" i="13" s="1"/>
  <c r="C14" i="14"/>
  <c r="C27" i="14"/>
  <c r="C43" i="14" s="1"/>
  <c r="C42" i="14"/>
  <c r="W8" i="15"/>
  <c r="X21" i="13" s="1"/>
  <c r="X5" i="15"/>
  <c r="X3" i="15"/>
  <c r="Y3" i="13"/>
  <c r="W6" i="13"/>
  <c r="AA5" i="14" l="1"/>
  <c r="X8" i="15"/>
  <c r="Y21" i="13" s="1"/>
  <c r="Y5" i="15"/>
  <c r="Y3" i="15"/>
  <c r="Z3" i="13"/>
  <c r="X6" i="13"/>
  <c r="C15" i="14"/>
  <c r="C28" i="14"/>
  <c r="C44" i="14" s="1"/>
  <c r="AA7" i="14" l="1"/>
  <c r="O20" i="13"/>
  <c r="Y8" i="15"/>
  <c r="Z21" i="13" s="1"/>
  <c r="Z6" i="13" s="1"/>
  <c r="Z3" i="15"/>
  <c r="Z5" i="15"/>
  <c r="AA3" i="13"/>
  <c r="C29" i="14"/>
  <c r="D4" i="14"/>
  <c r="Y6" i="13"/>
  <c r="AB4" i="14" l="1"/>
  <c r="D18" i="14"/>
  <c r="D5" i="14"/>
  <c r="Z8" i="15"/>
  <c r="AA21" i="13" s="1"/>
  <c r="C45" i="14"/>
  <c r="C31" i="14"/>
  <c r="AA3" i="15"/>
  <c r="AA5" i="15"/>
  <c r="AB3" i="13"/>
  <c r="C3" i="13" s="1"/>
  <c r="AA6" i="13" l="1"/>
  <c r="AA8" i="15"/>
  <c r="AB21" i="13" s="1"/>
  <c r="D6" i="14"/>
  <c r="D19" i="14"/>
  <c r="D35" i="14" s="1"/>
  <c r="E5" i="13"/>
  <c r="E23" i="13"/>
  <c r="E8" i="13" s="1"/>
  <c r="D34" i="14"/>
  <c r="AB6" i="13" l="1"/>
  <c r="C6" i="13" s="1"/>
  <c r="D20" i="14"/>
  <c r="D7" i="14"/>
  <c r="D36" i="14" l="1"/>
  <c r="D21" i="14"/>
  <c r="D37" i="14" s="1"/>
  <c r="D8" i="14"/>
  <c r="D22" i="14" l="1"/>
  <c r="D38" i="14" s="1"/>
  <c r="D9" i="14"/>
  <c r="D10" i="14" l="1"/>
  <c r="D23" i="14"/>
  <c r="D39" i="14" l="1"/>
  <c r="D24" i="14"/>
  <c r="D40" i="14" s="1"/>
  <c r="D11" i="14"/>
  <c r="D25" i="14" l="1"/>
  <c r="D41" i="14" s="1"/>
  <c r="D12" i="14"/>
  <c r="D26" i="14" l="1"/>
  <c r="D42" i="14" s="1"/>
  <c r="D13" i="14"/>
  <c r="T5" i="13" l="1"/>
  <c r="T23" i="13"/>
  <c r="T8" i="13" s="1"/>
  <c r="D27" i="14"/>
  <c r="D43" i="14" s="1"/>
  <c r="D14" i="14"/>
  <c r="D28" i="14" l="1"/>
  <c r="D44" i="14" s="1"/>
  <c r="D15" i="14"/>
  <c r="D29" i="14" l="1"/>
  <c r="E4" i="14"/>
  <c r="E18" i="14" l="1"/>
  <c r="E5" i="14"/>
  <c r="D45" i="14"/>
  <c r="D31" i="14"/>
  <c r="F5" i="13" l="1"/>
  <c r="F23" i="13"/>
  <c r="F8" i="13" s="1"/>
  <c r="E19" i="14"/>
  <c r="E35" i="14" s="1"/>
  <c r="E6" i="14"/>
  <c r="E34" i="14"/>
  <c r="E20" i="14" l="1"/>
  <c r="E36" i="14" s="1"/>
  <c r="E7" i="14"/>
  <c r="E21" i="14" l="1"/>
  <c r="E37" i="14" s="1"/>
  <c r="E8" i="14"/>
  <c r="E22" i="14" l="1"/>
  <c r="E9" i="14"/>
  <c r="E23" i="14" l="1"/>
  <c r="E39" i="14" s="1"/>
  <c r="E10" i="14"/>
  <c r="E38" i="14"/>
  <c r="E24" i="14" l="1"/>
  <c r="E11" i="14"/>
  <c r="E25" i="14" l="1"/>
  <c r="E41" i="14" s="1"/>
  <c r="E12" i="14"/>
  <c r="E40" i="14"/>
  <c r="E26" i="14" l="1"/>
  <c r="E42" i="14" s="1"/>
  <c r="E13" i="14"/>
  <c r="U5" i="13" l="1"/>
  <c r="U23" i="13"/>
  <c r="U8" i="13" s="1"/>
  <c r="E27" i="14"/>
  <c r="E43" i="14" s="1"/>
  <c r="E14" i="14"/>
  <c r="E28" i="14" l="1"/>
  <c r="E44" i="14" s="1"/>
  <c r="E15" i="14"/>
  <c r="E29" i="14" l="1"/>
  <c r="F4" i="14"/>
  <c r="F18" i="14" l="1"/>
  <c r="F5" i="14"/>
  <c r="E45" i="14"/>
  <c r="E31" i="14"/>
  <c r="G5" i="13" l="1"/>
  <c r="G23" i="13"/>
  <c r="G8" i="13" s="1"/>
  <c r="F19" i="14"/>
  <c r="F35" i="14" s="1"/>
  <c r="F6" i="14"/>
  <c r="F34" i="14"/>
  <c r="F20" i="14" l="1"/>
  <c r="F36" i="14" s="1"/>
  <c r="F7" i="14"/>
  <c r="F21" i="14" l="1"/>
  <c r="F8" i="14"/>
  <c r="F37" i="14" l="1"/>
  <c r="F22" i="14"/>
  <c r="F38" i="14" s="1"/>
  <c r="F9" i="14"/>
  <c r="F23" i="14" l="1"/>
  <c r="F39" i="14" s="1"/>
  <c r="F10" i="14"/>
  <c r="F24" i="14" l="1"/>
  <c r="F11" i="14"/>
  <c r="F25" i="14" l="1"/>
  <c r="F41" i="14" s="1"/>
  <c r="F12" i="14"/>
  <c r="F40" i="14"/>
  <c r="F26" i="14" l="1"/>
  <c r="F42" i="14" s="1"/>
  <c r="F13" i="14"/>
  <c r="V5" i="13" l="1"/>
  <c r="V23" i="13"/>
  <c r="V8" i="13" s="1"/>
  <c r="F27" i="14"/>
  <c r="F43" i="14" s="1"/>
  <c r="F14" i="14"/>
  <c r="F28" i="14" l="1"/>
  <c r="F44" i="14" s="1"/>
  <c r="F15" i="14"/>
  <c r="F29" i="14" l="1"/>
  <c r="G4" i="14"/>
  <c r="G18" i="14" l="1"/>
  <c r="G5" i="14"/>
  <c r="F45" i="14"/>
  <c r="F31" i="14"/>
  <c r="H5" i="13" l="1"/>
  <c r="H23" i="13"/>
  <c r="H8" i="13" s="1"/>
  <c r="G19" i="14"/>
  <c r="G35" i="14" s="1"/>
  <c r="G6" i="14"/>
  <c r="G34" i="14"/>
  <c r="G20" i="14" l="1"/>
  <c r="G7" i="14"/>
  <c r="G36" i="14" l="1"/>
  <c r="G21" i="14"/>
  <c r="G37" i="14" s="1"/>
  <c r="G8" i="14"/>
  <c r="G22" i="14" l="1"/>
  <c r="G38" i="14" s="1"/>
  <c r="G9" i="14"/>
  <c r="G23" i="14" l="1"/>
  <c r="G10" i="14"/>
  <c r="G24" i="14" l="1"/>
  <c r="G40" i="14" s="1"/>
  <c r="G11" i="14"/>
  <c r="G39" i="14"/>
  <c r="G12" i="14" l="1"/>
  <c r="G25" i="14"/>
  <c r="G41" i="14" l="1"/>
  <c r="G26" i="14"/>
  <c r="G42" i="14" s="1"/>
  <c r="G13" i="14"/>
  <c r="W5" i="13" l="1"/>
  <c r="W23" i="13"/>
  <c r="W8" i="13" s="1"/>
  <c r="G14" i="14"/>
  <c r="G27" i="14"/>
  <c r="G43" i="14" s="1"/>
  <c r="G15" i="14" l="1"/>
  <c r="G28" i="14"/>
  <c r="G44" i="14" s="1"/>
  <c r="G29" i="14" l="1"/>
  <c r="H4" i="14"/>
  <c r="H18" i="14" l="1"/>
  <c r="H5" i="14"/>
  <c r="G45" i="14"/>
  <c r="G31" i="14"/>
  <c r="I5" i="13" l="1"/>
  <c r="I23" i="13"/>
  <c r="I8" i="13" s="1"/>
  <c r="H6" i="14"/>
  <c r="H19" i="14"/>
  <c r="H35" i="14" s="1"/>
  <c r="H34" i="14"/>
  <c r="H7" i="14" l="1"/>
  <c r="H20" i="14"/>
  <c r="H36" i="14" s="1"/>
  <c r="H21" i="14" l="1"/>
  <c r="H37" i="14" s="1"/>
  <c r="H8" i="14"/>
  <c r="H22" i="14" l="1"/>
  <c r="H38" i="14" s="1"/>
  <c r="H9" i="14"/>
  <c r="H10" i="14" l="1"/>
  <c r="H23" i="14"/>
  <c r="H39" i="14" l="1"/>
  <c r="H11" i="14"/>
  <c r="H24" i="14"/>
  <c r="H40" i="14" s="1"/>
  <c r="H25" i="14" l="1"/>
  <c r="H41" i="14" s="1"/>
  <c r="H12" i="14"/>
  <c r="H26" i="14" l="1"/>
  <c r="H42" i="14" s="1"/>
  <c r="H13" i="14"/>
  <c r="X5" i="13" l="1"/>
  <c r="X23" i="13"/>
  <c r="X8" i="13" s="1"/>
  <c r="H27" i="14"/>
  <c r="H43" i="14" s="1"/>
  <c r="H14" i="14"/>
  <c r="H28" i="14" l="1"/>
  <c r="H44" i="14" s="1"/>
  <c r="H15" i="14"/>
  <c r="H29" i="14" l="1"/>
  <c r="I4" i="14"/>
  <c r="I18" i="14" l="1"/>
  <c r="I5" i="14"/>
  <c r="H45" i="14"/>
  <c r="H31" i="14"/>
  <c r="J5" i="13" l="1"/>
  <c r="J23" i="13"/>
  <c r="J8" i="13" s="1"/>
  <c r="I19" i="14"/>
  <c r="I35" i="14" s="1"/>
  <c r="I6" i="14"/>
  <c r="I34" i="14"/>
  <c r="I20" i="14" l="1"/>
  <c r="I36" i="14" s="1"/>
  <c r="I7" i="14"/>
  <c r="I21" i="14" l="1"/>
  <c r="I37" i="14" s="1"/>
  <c r="I8" i="14"/>
  <c r="I22" i="14" l="1"/>
  <c r="I9" i="14"/>
  <c r="I38" i="14" l="1"/>
  <c r="I23" i="14"/>
  <c r="I39" i="14" s="1"/>
  <c r="I10" i="14"/>
  <c r="I24" i="14" l="1"/>
  <c r="I40" i="14" s="1"/>
  <c r="I11" i="14"/>
  <c r="I25" i="14" l="1"/>
  <c r="I41" i="14" s="1"/>
  <c r="I12" i="14"/>
  <c r="I26" i="14" l="1"/>
  <c r="I42" i="14" s="1"/>
  <c r="I13" i="14"/>
  <c r="Y5" i="13" l="1"/>
  <c r="Y23" i="13"/>
  <c r="Y8" i="13" s="1"/>
  <c r="I27" i="14"/>
  <c r="I43" i="14" s="1"/>
  <c r="I14" i="14"/>
  <c r="I28" i="14" l="1"/>
  <c r="I44" i="14" s="1"/>
  <c r="I15" i="14"/>
  <c r="I29" i="14" l="1"/>
  <c r="J4" i="14"/>
  <c r="I45" i="14" l="1"/>
  <c r="I31" i="14"/>
  <c r="J18" i="14"/>
  <c r="J5" i="14"/>
  <c r="J19" i="14" l="1"/>
  <c r="J35" i="14" s="1"/>
  <c r="J6" i="14"/>
  <c r="J34" i="14"/>
  <c r="K5" i="13"/>
  <c r="K23" i="13"/>
  <c r="K8" i="13" s="1"/>
  <c r="J20" i="14" l="1"/>
  <c r="J7" i="14"/>
  <c r="J21" i="14" l="1"/>
  <c r="J37" i="14" s="1"/>
  <c r="J8" i="14"/>
  <c r="J36" i="14"/>
  <c r="J22" i="14" l="1"/>
  <c r="J9" i="14"/>
  <c r="J38" i="14" l="1"/>
  <c r="J23" i="14"/>
  <c r="J39" i="14" s="1"/>
  <c r="J10" i="14"/>
  <c r="J24" i="14" l="1"/>
  <c r="J40" i="14" s="1"/>
  <c r="J11" i="14"/>
  <c r="J25" i="14" l="1"/>
  <c r="J12" i="14"/>
  <c r="J26" i="14" l="1"/>
  <c r="J42" i="14" s="1"/>
  <c r="J13" i="14"/>
  <c r="J41" i="14"/>
  <c r="Z5" i="13" l="1"/>
  <c r="Z23" i="13"/>
  <c r="Z8" i="13" s="1"/>
  <c r="J27" i="14"/>
  <c r="J43" i="14" s="1"/>
  <c r="J14" i="14"/>
  <c r="J28" i="14" l="1"/>
  <c r="J44" i="14" s="1"/>
  <c r="J15" i="14"/>
  <c r="J29" i="14" l="1"/>
  <c r="K4" i="14"/>
  <c r="K18" i="14" l="1"/>
  <c r="K5" i="14"/>
  <c r="J45" i="14"/>
  <c r="J31" i="14"/>
  <c r="L5" i="13" l="1"/>
  <c r="L23" i="13"/>
  <c r="L8" i="13" s="1"/>
  <c r="K19" i="14"/>
  <c r="K35" i="14" s="1"/>
  <c r="K6" i="14"/>
  <c r="K34" i="14"/>
  <c r="K20" i="14" l="1"/>
  <c r="K36" i="14" s="1"/>
  <c r="K7" i="14"/>
  <c r="K21" i="14" l="1"/>
  <c r="K8" i="14"/>
  <c r="K22" i="14" l="1"/>
  <c r="K38" i="14" s="1"/>
  <c r="K9" i="14"/>
  <c r="K37" i="14"/>
  <c r="K23" i="14" l="1"/>
  <c r="K10" i="14"/>
  <c r="K24" i="14" l="1"/>
  <c r="K40" i="14" s="1"/>
  <c r="K11" i="14"/>
  <c r="K39" i="14"/>
  <c r="K25" i="14" l="1"/>
  <c r="K12" i="14"/>
  <c r="K13" i="14" l="1"/>
  <c r="K26" i="14"/>
  <c r="K42" i="14" s="1"/>
  <c r="K41" i="14"/>
  <c r="AA5" i="13" l="1"/>
  <c r="AA23" i="13"/>
  <c r="AA8" i="13" s="1"/>
  <c r="K27" i="14"/>
  <c r="K43" i="14" s="1"/>
  <c r="K14" i="14"/>
  <c r="K15" i="14" l="1"/>
  <c r="K28" i="14"/>
  <c r="K44" i="14" s="1"/>
  <c r="K29" i="14" l="1"/>
  <c r="L4" i="14"/>
  <c r="L18" i="14" l="1"/>
  <c r="L5" i="14"/>
  <c r="K45" i="14"/>
  <c r="K31" i="14"/>
  <c r="M5" i="13" l="1"/>
  <c r="M23" i="13"/>
  <c r="M8" i="13" s="1"/>
  <c r="L19" i="14"/>
  <c r="L35" i="14" s="1"/>
  <c r="L6" i="14"/>
  <c r="L34" i="14"/>
  <c r="L7" i="14" l="1"/>
  <c r="L20" i="14"/>
  <c r="L36" i="14" l="1"/>
  <c r="L8" i="14"/>
  <c r="L21" i="14"/>
  <c r="L37" i="14" s="1"/>
  <c r="L22" i="14" l="1"/>
  <c r="L38" i="14" s="1"/>
  <c r="L9" i="14"/>
  <c r="L23" i="14" l="1"/>
  <c r="L10" i="14"/>
  <c r="L11" i="14" l="1"/>
  <c r="L24" i="14"/>
  <c r="L40" i="14" s="1"/>
  <c r="L39" i="14"/>
  <c r="L25" i="14" l="1"/>
  <c r="L12" i="14"/>
  <c r="L26" i="14" l="1"/>
  <c r="L42" i="14" s="1"/>
  <c r="L13" i="14"/>
  <c r="L41" i="14"/>
  <c r="AB5" i="13" l="1"/>
  <c r="AB23" i="13"/>
  <c r="AB8" i="13" s="1"/>
  <c r="L27" i="14"/>
  <c r="L43" i="14" s="1"/>
  <c r="L14" i="14"/>
  <c r="L28" i="14" l="1"/>
  <c r="L44" i="14" s="1"/>
  <c r="L15" i="14"/>
  <c r="L29" i="14" l="1"/>
  <c r="M4" i="14"/>
  <c r="M18" i="14" l="1"/>
  <c r="M5" i="14"/>
  <c r="L45" i="14"/>
  <c r="L31" i="14"/>
  <c r="N5" i="13" l="1"/>
  <c r="N23" i="13"/>
  <c r="N8" i="13" s="1"/>
  <c r="M19" i="14"/>
  <c r="M35" i="14" s="1"/>
  <c r="M6" i="14"/>
  <c r="M34" i="14"/>
  <c r="M20" i="14" l="1"/>
  <c r="M36" i="14" s="1"/>
  <c r="M7" i="14"/>
  <c r="M21" i="14" l="1"/>
  <c r="M8" i="14"/>
  <c r="M22" i="14" l="1"/>
  <c r="M38" i="14" s="1"/>
  <c r="M9" i="14"/>
  <c r="M37" i="14"/>
  <c r="M23" i="14" l="1"/>
  <c r="M10" i="14"/>
  <c r="M24" i="14" l="1"/>
  <c r="M40" i="14" s="1"/>
  <c r="M11" i="14"/>
  <c r="M39" i="14"/>
  <c r="M25" i="14" l="1"/>
  <c r="M12" i="14"/>
  <c r="M26" i="14" l="1"/>
  <c r="M42" i="14" s="1"/>
  <c r="M13" i="14"/>
  <c r="M41" i="14"/>
  <c r="M27" i="14" l="1"/>
  <c r="M43" i="14" s="1"/>
  <c r="M14" i="14"/>
  <c r="M28" i="14" l="1"/>
  <c r="M44" i="14" s="1"/>
  <c r="M15" i="14"/>
  <c r="M29" i="14" s="1"/>
  <c r="M45" i="14" l="1"/>
  <c r="M31" i="14"/>
  <c r="O5" i="13" l="1"/>
  <c r="C5" i="13" s="1"/>
  <c r="O23" i="13"/>
  <c r="O8" i="13" s="1"/>
  <c r="C8" i="13" s="1"/>
</calcChain>
</file>

<file path=xl/sharedStrings.xml><?xml version="1.0" encoding="utf-8"?>
<sst xmlns="http://schemas.openxmlformats.org/spreadsheetml/2006/main" count="130" uniqueCount="79">
  <si>
    <t>%</t>
  </si>
  <si>
    <t>Yes</t>
  </si>
  <si>
    <t>Debt</t>
  </si>
  <si>
    <t>Principal</t>
  </si>
  <si>
    <t>Generation</t>
  </si>
  <si>
    <t>Installed Capacity</t>
  </si>
  <si>
    <t>MW</t>
  </si>
  <si>
    <t>Gross Generation</t>
  </si>
  <si>
    <t>MU</t>
  </si>
  <si>
    <t>Aux consumption</t>
  </si>
  <si>
    <t>Net generation</t>
  </si>
  <si>
    <t>Net Gen</t>
  </si>
  <si>
    <t>kWh</t>
  </si>
  <si>
    <t>Fixed Costs</t>
  </si>
  <si>
    <t>O&amp;M</t>
  </si>
  <si>
    <t>Rs Lakh</t>
  </si>
  <si>
    <t>Depreciation</t>
  </si>
  <si>
    <t>Interest on Term Loan</t>
  </si>
  <si>
    <t>Interest on Working Capital</t>
  </si>
  <si>
    <t>Return on Equity</t>
  </si>
  <si>
    <t>Total Fixed Costs</t>
  </si>
  <si>
    <t>Description</t>
  </si>
  <si>
    <t>Unit</t>
  </si>
  <si>
    <t>Value</t>
  </si>
  <si>
    <t>Aux Consumption</t>
  </si>
  <si>
    <t>CUF</t>
  </si>
  <si>
    <t>Useful Life</t>
  </si>
  <si>
    <t>Years</t>
  </si>
  <si>
    <t>Capital Cost/MW</t>
  </si>
  <si>
    <t>Rs Lakh/MW</t>
  </si>
  <si>
    <t>Project Life</t>
  </si>
  <si>
    <t>years</t>
  </si>
  <si>
    <t>Equity</t>
  </si>
  <si>
    <t>Total Debt</t>
  </si>
  <si>
    <t>Rs Lac</t>
  </si>
  <si>
    <t>Total Equity</t>
  </si>
  <si>
    <t>Loan amount</t>
  </si>
  <si>
    <t>Moratorium</t>
  </si>
  <si>
    <t>Repayment Period</t>
  </si>
  <si>
    <t>Interest Rate</t>
  </si>
  <si>
    <t>RsLac</t>
  </si>
  <si>
    <t>Discount Rate</t>
  </si>
  <si>
    <t>Income Tax</t>
  </si>
  <si>
    <t>MAT</t>
  </si>
  <si>
    <t>80IA Benefits</t>
  </si>
  <si>
    <t>Depreciation 1st 12 years</t>
  </si>
  <si>
    <t>Depreciation 13th year on</t>
  </si>
  <si>
    <t>Months</t>
  </si>
  <si>
    <t>Maintenance Spare</t>
  </si>
  <si>
    <t>Receivables</t>
  </si>
  <si>
    <t>Acceleration</t>
  </si>
  <si>
    <t>Assumed Tariff</t>
  </si>
  <si>
    <t>Rs/kWh</t>
  </si>
  <si>
    <t>Levellized Cost of Generation (COG)</t>
  </si>
  <si>
    <t>Annuity Factor</t>
  </si>
  <si>
    <t>MO/Yr</t>
  </si>
  <si>
    <t>Interest Accrued on Principal</t>
  </si>
  <si>
    <t>Annual Interest</t>
  </si>
  <si>
    <t>Component/Yr</t>
  </si>
  <si>
    <t>O&amp;M for 1 month</t>
  </si>
  <si>
    <t>Rs-Lakh</t>
  </si>
  <si>
    <t>Receivables - two months charges</t>
  </si>
  <si>
    <t>Maintenance spare of O&amp;M</t>
  </si>
  <si>
    <t>Total Working Capital</t>
  </si>
  <si>
    <t>TOTAL PAYMENT</t>
  </si>
  <si>
    <t>Equity w/ receivables</t>
  </si>
  <si>
    <t>Equity w/o receivables</t>
  </si>
  <si>
    <t>Additional Components</t>
  </si>
  <si>
    <t>Total Cost of Electricity Generation</t>
  </si>
  <si>
    <t>Levellized Costs</t>
  </si>
  <si>
    <t>ROE 10 years</t>
  </si>
  <si>
    <t xml:space="preserve">ROE 11th year on </t>
  </si>
  <si>
    <t>Yrs</t>
  </si>
  <si>
    <t>Annual Compunding</t>
  </si>
  <si>
    <t>Monthly Compunding</t>
  </si>
  <si>
    <t>Total Payment</t>
  </si>
  <si>
    <t>Beginning Principal Balance</t>
  </si>
  <si>
    <t>Principal Payment</t>
  </si>
  <si>
    <t>Interest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</si>
</sst>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name val="Arial"/>
      <family val="2"/>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double">
        <color indexed="64"/>
      </top>
      <bottom style="double">
        <color indexed="64"/>
      </bottom>
      <diagonal/>
    </border>
  </borders>
  <cellStyleXfs count="3">
    <xf numFmtId="0" fontId="0" fillId="0" borderId="0"/>
    <xf numFmtId="0" fontId="1" fillId="0" borderId="0"/>
    <xf numFmtId="0" fontId="3" fillId="0" borderId="0" applyNumberFormat="0" applyFill="0" applyBorder="0" applyAlignment="0" applyProtection="0"/>
  </cellStyleXfs>
  <cellXfs count="24">
    <xf numFmtId="0" fontId="0" fillId="0" borderId="0" xfId="0"/>
    <xf numFmtId="0" fontId="2" fillId="0" borderId="2" xfId="0" applyFont="1" applyBorder="1"/>
    <xf numFmtId="0" fontId="0" fillId="0" borderId="2" xfId="0" applyBorder="1"/>
    <xf numFmtId="2" fontId="0" fillId="0" borderId="0" xfId="0" applyNumberFormat="1"/>
    <xf numFmtId="1" fontId="0" fillId="0" borderId="0" xfId="0" applyNumberFormat="1"/>
    <xf numFmtId="2" fontId="0" fillId="0" borderId="2" xfId="0" applyNumberFormat="1" applyBorder="1"/>
    <xf numFmtId="0" fontId="2" fillId="0" borderId="0" xfId="0" applyFont="1"/>
    <xf numFmtId="0" fontId="0" fillId="0" borderId="2" xfId="0" applyFont="1" applyBorder="1"/>
    <xf numFmtId="0" fontId="3" fillId="0" borderId="0" xfId="2"/>
    <xf numFmtId="0" fontId="2" fillId="0" borderId="0" xfId="0" applyFont="1" applyFill="1" applyBorder="1"/>
    <xf numFmtId="0" fontId="2" fillId="0" borderId="2" xfId="0" applyFont="1" applyFill="1" applyBorder="1"/>
    <xf numFmtId="0" fontId="0" fillId="0" borderId="0" xfId="0" applyFill="1" applyBorder="1"/>
    <xf numFmtId="0" fontId="0" fillId="0" borderId="0" xfId="0" applyNumberFormat="1" applyFill="1" applyBorder="1"/>
    <xf numFmtId="0" fontId="0" fillId="0" borderId="0" xfId="0" applyFill="1" applyBorder="1" applyAlignment="1">
      <alignment horizontal="right"/>
    </xf>
    <xf numFmtId="0" fontId="0" fillId="0" borderId="1" xfId="0" applyFill="1" applyBorder="1"/>
    <xf numFmtId="0" fontId="0" fillId="0" borderId="0" xfId="0" applyFill="1"/>
    <xf numFmtId="0" fontId="0" fillId="0" borderId="0" xfId="0" applyFont="1" applyFill="1" applyBorder="1"/>
    <xf numFmtId="0" fontId="0" fillId="0" borderId="3" xfId="0" applyBorder="1"/>
    <xf numFmtId="2" fontId="0" fillId="0" borderId="3" xfId="0" applyNumberFormat="1" applyBorder="1"/>
    <xf numFmtId="0" fontId="0" fillId="2" borderId="2" xfId="0" applyFill="1" applyBorder="1"/>
    <xf numFmtId="2" fontId="0" fillId="2" borderId="0" xfId="0" applyNumberFormat="1" applyFill="1"/>
    <xf numFmtId="2" fontId="0" fillId="2" borderId="3" xfId="0" applyNumberFormat="1" applyFill="1" applyBorder="1"/>
    <xf numFmtId="0" fontId="2" fillId="3" borderId="0" xfId="0" applyFont="1" applyFill="1" applyAlignment="1">
      <alignment horizontal="center"/>
    </xf>
    <xf numFmtId="0" fontId="2" fillId="4" borderId="0" xfId="0" applyFont="1" applyFill="1" applyAlignment="1">
      <alignment horizontal="center"/>
    </xf>
  </cellXfs>
  <cellStyles count="3">
    <cellStyle name="Hyperlink" xfId="2" builtinId="8"/>
    <cellStyle name="Normal" xfId="0" builtinId="0"/>
    <cellStyle name="Normal 2" xfId="1"/>
  </cellStyles>
  <dxfs count="0"/>
  <tableStyles count="0" defaultTableStyle="TableStyleMedium9" defaultPivotStyle="PivotStyleLight16"/>
  <colors>
    <mruColors>
      <color rgb="FFFF0000"/>
      <color rgb="FF0000CC"/>
      <color rgb="FF0000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171450</xdr:colOff>
      <xdr:row>3</xdr:row>
      <xdr:rowOff>19049</xdr:rowOff>
    </xdr:from>
    <xdr:to>
      <xdr:col>18</xdr:col>
      <xdr:colOff>228600</xdr:colOff>
      <xdr:row>18</xdr:row>
      <xdr:rowOff>7620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81050" y="567689"/>
          <a:ext cx="10420350" cy="27317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Workbook</a:t>
          </a:r>
          <a:r>
            <a:rPr lang="en-US" sz="1200" b="1" baseline="0"/>
            <a:t> Structure</a:t>
          </a:r>
          <a:endParaRPr lang="en-US" sz="1200" b="1"/>
        </a:p>
        <a:p>
          <a:endParaRPr lang="en-US" sz="1100"/>
        </a:p>
        <a:p>
          <a:r>
            <a:rPr lang="en-US" sz="1100"/>
            <a:t>The following sheets contain</a:t>
          </a:r>
          <a:r>
            <a:rPr lang="en-US" sz="1100" baseline="0"/>
            <a:t> calculations of the cost of energy calculations as implemented by the System Advisor Model.  All currencies have been converted to Rupees or Lakh. Where the CERC calculation diverges substantially from SAM, CERC compliant calculations have also been offered so users can switch between them.  </a:t>
          </a:r>
        </a:p>
        <a:p>
          <a:endParaRPr lang="en-US" sz="1100" baseline="0"/>
        </a:p>
        <a:p>
          <a:r>
            <a:rPr lang="en-US" sz="1100" baseline="0"/>
            <a:t>The sheets are organized as follows: </a:t>
          </a:r>
        </a:p>
        <a:p>
          <a:endParaRPr lang="en-US" sz="1100" baseline="0"/>
        </a:p>
        <a:p>
          <a:r>
            <a:rPr lang="en-US" sz="1100" baseline="0"/>
            <a:t>1. Assumptions: Assumptions used in the tariff determination by CERC: Values are populated from the SAM Wizard</a:t>
          </a:r>
        </a:p>
        <a:p>
          <a:r>
            <a:rPr lang="en-US" sz="1100" baseline="0"/>
            <a:t>2. Calculations: Basic calculations  of LCOE according to SAM Implementation of CERC guidelines</a:t>
          </a:r>
        </a:p>
        <a:p>
          <a:r>
            <a:rPr lang="en-US" sz="1100" baseline="0"/>
            <a:t>3. Term Loan: Calculation of term loan payments - These are displayed both according to the CERC guidelines and according toSAM calculations</a:t>
          </a:r>
        </a:p>
        <a:p>
          <a:r>
            <a:rPr lang="en-US" sz="1100" baseline="0"/>
            <a:t>4. Working capital: Calculation of interest on working capital - These are calculated according to SAM calculations, but with maintenance spare displayed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I26" sqref="I26"/>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D3:H35"/>
  <sheetViews>
    <sheetView workbookViewId="0">
      <selection activeCell="G17" sqref="G17"/>
    </sheetView>
  </sheetViews>
  <sheetFormatPr defaultRowHeight="14.4" x14ac:dyDescent="0.3"/>
  <cols>
    <col min="3" max="3" width="20" bestFit="1" customWidth="1"/>
    <col min="4" max="4" width="32.77734375" customWidth="1"/>
    <col min="5" max="5" width="11.33203125" bestFit="1" customWidth="1"/>
    <col min="6" max="6" width="13.44140625" customWidth="1"/>
    <col min="7" max="7" width="26.33203125" bestFit="1" customWidth="1"/>
  </cols>
  <sheetData>
    <row r="3" spans="4:8" x14ac:dyDescent="0.3">
      <c r="D3" s="10" t="s">
        <v>21</v>
      </c>
      <c r="E3" s="10" t="s">
        <v>22</v>
      </c>
      <c r="F3" s="10" t="s">
        <v>23</v>
      </c>
      <c r="G3" s="9"/>
      <c r="H3" s="9"/>
    </row>
    <row r="4" spans="4:8" x14ac:dyDescent="0.3">
      <c r="D4" s="16" t="s">
        <v>4</v>
      </c>
      <c r="E4" s="16" t="s">
        <v>12</v>
      </c>
      <c r="F4" s="16">
        <v>1665953</v>
      </c>
      <c r="G4" s="9"/>
      <c r="H4" s="9"/>
    </row>
    <row r="5" spans="4:8" x14ac:dyDescent="0.3">
      <c r="D5" s="11" t="s">
        <v>5</v>
      </c>
      <c r="E5" s="11" t="s">
        <v>6</v>
      </c>
      <c r="F5" s="11">
        <v>1</v>
      </c>
    </row>
    <row r="6" spans="4:8" x14ac:dyDescent="0.3">
      <c r="D6" s="11" t="s">
        <v>24</v>
      </c>
      <c r="E6" s="11" t="s">
        <v>0</v>
      </c>
      <c r="F6" s="11">
        <v>0</v>
      </c>
    </row>
    <row r="7" spans="4:8" x14ac:dyDescent="0.3">
      <c r="D7" s="11" t="s">
        <v>25</v>
      </c>
      <c r="E7" s="11" t="s">
        <v>0</v>
      </c>
      <c r="F7" s="11">
        <v>0.19</v>
      </c>
    </row>
    <row r="8" spans="4:8" x14ac:dyDescent="0.3">
      <c r="D8" s="11" t="s">
        <v>26</v>
      </c>
      <c r="E8" s="11" t="s">
        <v>27</v>
      </c>
      <c r="F8" s="11">
        <v>25</v>
      </c>
    </row>
    <row r="9" spans="4:8" x14ac:dyDescent="0.3">
      <c r="D9" s="11" t="s">
        <v>28</v>
      </c>
      <c r="E9" s="11" t="s">
        <v>29</v>
      </c>
      <c r="F9" s="11">
        <v>530.02</v>
      </c>
    </row>
    <row r="10" spans="4:8" x14ac:dyDescent="0.3">
      <c r="D10" s="11" t="s">
        <v>30</v>
      </c>
      <c r="E10" s="11" t="s">
        <v>31</v>
      </c>
      <c r="F10" s="11">
        <f>analysis_period</f>
        <v>25</v>
      </c>
    </row>
    <row r="11" spans="4:8" x14ac:dyDescent="0.3">
      <c r="D11" s="11" t="s">
        <v>2</v>
      </c>
      <c r="E11" s="11" t="s">
        <v>0</v>
      </c>
      <c r="F11" s="11">
        <v>70</v>
      </c>
    </row>
    <row r="12" spans="4:8" x14ac:dyDescent="0.3">
      <c r="D12" s="11" t="s">
        <v>32</v>
      </c>
      <c r="E12" s="11" t="s">
        <v>0</v>
      </c>
      <c r="F12" s="11">
        <f>100-F11</f>
        <v>30</v>
      </c>
    </row>
    <row r="13" spans="4:8" x14ac:dyDescent="0.3">
      <c r="D13" s="11" t="s">
        <v>33</v>
      </c>
      <c r="E13" s="11" t="s">
        <v>34</v>
      </c>
      <c r="F13" s="11">
        <f>F11/100*F9</f>
        <v>371.01399999999995</v>
      </c>
    </row>
    <row r="14" spans="4:8" x14ac:dyDescent="0.3">
      <c r="D14" s="11" t="s">
        <v>35</v>
      </c>
      <c r="E14" s="11" t="s">
        <v>34</v>
      </c>
      <c r="F14" s="11">
        <f>F12/100*F9</f>
        <v>159.006</v>
      </c>
    </row>
    <row r="15" spans="4:8" x14ac:dyDescent="0.3">
      <c r="D15" s="11" t="s">
        <v>36</v>
      </c>
      <c r="E15" s="11" t="s">
        <v>34</v>
      </c>
      <c r="F15" s="11">
        <f>F13</f>
        <v>371.01399999999995</v>
      </c>
    </row>
    <row r="16" spans="4:8" x14ac:dyDescent="0.3">
      <c r="D16" s="11" t="s">
        <v>37</v>
      </c>
      <c r="E16" s="11" t="s">
        <v>31</v>
      </c>
      <c r="F16" s="11">
        <v>0</v>
      </c>
    </row>
    <row r="17" spans="4:6" x14ac:dyDescent="0.3">
      <c r="D17" s="11" t="s">
        <v>38</v>
      </c>
      <c r="E17" s="11" t="s">
        <v>31</v>
      </c>
      <c r="F17" s="11">
        <v>12</v>
      </c>
    </row>
    <row r="18" spans="4:6" x14ac:dyDescent="0.3">
      <c r="D18" s="11" t="s">
        <v>39</v>
      </c>
      <c r="E18" s="11" t="s">
        <v>0</v>
      </c>
      <c r="F18" s="11">
        <v>12.76</v>
      </c>
    </row>
    <row r="19" spans="4:6" x14ac:dyDescent="0.3">
      <c r="D19" s="11" t="s">
        <v>65</v>
      </c>
      <c r="E19" s="11" t="s">
        <v>40</v>
      </c>
      <c r="F19" s="11">
        <f>F14+'Working Capital'!C7</f>
        <v>175.38812095</v>
      </c>
    </row>
    <row r="20" spans="4:6" x14ac:dyDescent="0.3">
      <c r="D20" s="11" t="s">
        <v>66</v>
      </c>
      <c r="E20" s="11" t="s">
        <v>40</v>
      </c>
      <c r="F20" s="11">
        <f>F19-'Working Capital'!C7</f>
        <v>159.006</v>
      </c>
    </row>
    <row r="21" spans="4:6" x14ac:dyDescent="0.3">
      <c r="D21" s="11" t="s">
        <v>70</v>
      </c>
      <c r="E21" s="11" t="s">
        <v>0</v>
      </c>
      <c r="F21" s="11">
        <v>20</v>
      </c>
    </row>
    <row r="22" spans="4:6" x14ac:dyDescent="0.3">
      <c r="D22" s="11" t="s">
        <v>71</v>
      </c>
      <c r="E22" s="11" t="s">
        <v>0</v>
      </c>
      <c r="F22" s="11">
        <v>24</v>
      </c>
    </row>
    <row r="23" spans="4:6" x14ac:dyDescent="0.3">
      <c r="D23" s="11" t="s">
        <v>41</v>
      </c>
      <c r="E23" s="11" t="s">
        <v>0</v>
      </c>
      <c r="F23" s="12">
        <v>10.7</v>
      </c>
    </row>
    <row r="24" spans="4:6" x14ac:dyDescent="0.3">
      <c r="D24" s="11" t="s">
        <v>42</v>
      </c>
      <c r="E24" s="11" t="s">
        <v>0</v>
      </c>
      <c r="F24" s="12">
        <v>33.99</v>
      </c>
    </row>
    <row r="25" spans="4:6" x14ac:dyDescent="0.3">
      <c r="D25" s="11" t="s">
        <v>43</v>
      </c>
      <c r="E25" s="11" t="s">
        <v>0</v>
      </c>
      <c r="F25" s="12">
        <v>20</v>
      </c>
    </row>
    <row r="26" spans="4:6" x14ac:dyDescent="0.3">
      <c r="D26" s="11" t="s">
        <v>44</v>
      </c>
      <c r="E26" s="11"/>
      <c r="F26" s="13" t="s">
        <v>1</v>
      </c>
    </row>
    <row r="27" spans="4:6" x14ac:dyDescent="0.3">
      <c r="D27" s="11" t="s">
        <v>45</v>
      </c>
      <c r="E27" s="11" t="s">
        <v>0</v>
      </c>
      <c r="F27" s="11">
        <v>5.83</v>
      </c>
    </row>
    <row r="28" spans="4:6" x14ac:dyDescent="0.3">
      <c r="D28" s="11" t="s">
        <v>46</v>
      </c>
      <c r="E28" s="11" t="s">
        <v>0</v>
      </c>
      <c r="F28" s="11">
        <v>1.54</v>
      </c>
    </row>
    <row r="29" spans="4:6" x14ac:dyDescent="0.3">
      <c r="D29" s="11" t="s">
        <v>14</v>
      </c>
      <c r="E29" s="11" t="s">
        <v>47</v>
      </c>
      <c r="F29" s="11">
        <v>1</v>
      </c>
    </row>
    <row r="30" spans="4:6" x14ac:dyDescent="0.3">
      <c r="D30" s="11" t="s">
        <v>48</v>
      </c>
      <c r="E30" s="11" t="s">
        <v>0</v>
      </c>
      <c r="F30" s="11">
        <v>15</v>
      </c>
    </row>
    <row r="31" spans="4:6" x14ac:dyDescent="0.3">
      <c r="D31" s="11" t="s">
        <v>49</v>
      </c>
      <c r="E31" s="11" t="s">
        <v>47</v>
      </c>
      <c r="F31" s="11">
        <v>2.1</v>
      </c>
    </row>
    <row r="32" spans="4:6" x14ac:dyDescent="0.3">
      <c r="D32" s="11" t="s">
        <v>18</v>
      </c>
      <c r="E32" s="11" t="s">
        <v>0</v>
      </c>
      <c r="F32" s="11">
        <v>13.26</v>
      </c>
    </row>
    <row r="33" spans="4:6" x14ac:dyDescent="0.3">
      <c r="D33" s="11" t="s">
        <v>14</v>
      </c>
      <c r="E33" s="11" t="s">
        <v>29</v>
      </c>
      <c r="F33" s="11">
        <v>7</v>
      </c>
    </row>
    <row r="34" spans="4:6" x14ac:dyDescent="0.3">
      <c r="D34" s="14" t="s">
        <v>50</v>
      </c>
      <c r="E34" s="14" t="s">
        <v>0</v>
      </c>
      <c r="F34" s="14">
        <v>5.72</v>
      </c>
    </row>
    <row r="35" spans="4:6" x14ac:dyDescent="0.3">
      <c r="D35" s="15" t="s">
        <v>51</v>
      </c>
      <c r="E35" s="15" t="s">
        <v>52</v>
      </c>
      <c r="F35" s="15">
        <v>5.69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C27"/>
  <sheetViews>
    <sheetView tabSelected="1" workbookViewId="0">
      <selection activeCell="E22" sqref="E22"/>
    </sheetView>
  </sheetViews>
  <sheetFormatPr defaultRowHeight="14.4" x14ac:dyDescent="0.3"/>
  <cols>
    <col min="1" max="1" width="29.88671875" customWidth="1"/>
    <col min="3" max="3" width="15.5546875" customWidth="1"/>
    <col min="4" max="4" width="16.21875" bestFit="1" customWidth="1"/>
    <col min="5" max="28" width="14.77734375" bestFit="1" customWidth="1"/>
  </cols>
  <sheetData>
    <row r="1" spans="1:29" s="6" customFormat="1" x14ac:dyDescent="0.3">
      <c r="D1" s="6">
        <v>1</v>
      </c>
      <c r="E1" s="6">
        <v>2</v>
      </c>
      <c r="F1" s="6">
        <v>3</v>
      </c>
      <c r="G1" s="6">
        <v>4</v>
      </c>
      <c r="H1" s="6">
        <v>5</v>
      </c>
      <c r="I1" s="6">
        <v>6</v>
      </c>
      <c r="J1" s="6">
        <v>7</v>
      </c>
      <c r="K1" s="6">
        <v>8</v>
      </c>
      <c r="L1" s="6">
        <v>9</v>
      </c>
      <c r="M1" s="6">
        <v>10</v>
      </c>
      <c r="N1" s="6">
        <v>11</v>
      </c>
      <c r="O1" s="6">
        <v>12</v>
      </c>
      <c r="P1" s="6">
        <v>13</v>
      </c>
      <c r="Q1" s="6">
        <v>14</v>
      </c>
      <c r="R1" s="6">
        <v>15</v>
      </c>
      <c r="S1" s="6">
        <v>16</v>
      </c>
      <c r="T1" s="6">
        <v>17</v>
      </c>
      <c r="U1" s="6">
        <v>18</v>
      </c>
      <c r="V1" s="6">
        <v>19</v>
      </c>
      <c r="W1" s="6">
        <v>20</v>
      </c>
      <c r="X1" s="6">
        <v>21</v>
      </c>
      <c r="Y1" s="6">
        <v>22</v>
      </c>
      <c r="Z1" s="6">
        <v>23</v>
      </c>
      <c r="AA1" s="6">
        <v>24</v>
      </c>
      <c r="AB1" s="6">
        <v>25</v>
      </c>
    </row>
    <row r="2" spans="1:29" s="2" customFormat="1" x14ac:dyDescent="0.3">
      <c r="A2" s="1" t="s">
        <v>53</v>
      </c>
      <c r="B2" s="1"/>
      <c r="C2" s="19" t="s">
        <v>69</v>
      </c>
      <c r="AC2" s="5"/>
    </row>
    <row r="3" spans="1:29" x14ac:dyDescent="0.3">
      <c r="A3" t="s">
        <v>14</v>
      </c>
      <c r="B3" t="s">
        <v>52</v>
      </c>
      <c r="C3" s="20">
        <f>NPV(nominal_discount_rate/100,Calculations!D3:AB3)/$C$26</f>
        <v>0.66991307891331331</v>
      </c>
      <c r="D3" s="3">
        <f t="shared" ref="D3:AB3" si="0">D18*100000/D$15</f>
        <v>0.42017992104219026</v>
      </c>
      <c r="E3" s="3">
        <f t="shared" si="0"/>
        <v>0.44421421252580356</v>
      </c>
      <c r="F3" s="3">
        <f t="shared" si="0"/>
        <v>0.46962326548227956</v>
      </c>
      <c r="G3" s="3">
        <f t="shared" si="0"/>
        <v>0.49648571626786592</v>
      </c>
      <c r="H3" s="3">
        <f t="shared" si="0"/>
        <v>0.52488469923838788</v>
      </c>
      <c r="I3" s="3">
        <f t="shared" si="0"/>
        <v>0.5549081040348236</v>
      </c>
      <c r="J3" s="3">
        <f t="shared" si="0"/>
        <v>0.58664884758561542</v>
      </c>
      <c r="K3" s="3">
        <f t="shared" si="0"/>
        <v>0.62020516166751272</v>
      </c>
      <c r="L3" s="3">
        <f t="shared" si="0"/>
        <v>0.6556808969148944</v>
      </c>
      <c r="M3" s="3">
        <f t="shared" si="0"/>
        <v>0.69318584421842644</v>
      </c>
      <c r="N3" s="3">
        <f t="shared" si="0"/>
        <v>0.73283607450772037</v>
      </c>
      <c r="O3" s="3">
        <f t="shared" si="0"/>
        <v>0.77475429796956197</v>
      </c>
      <c r="P3" s="3">
        <f t="shared" si="0"/>
        <v>0.81907024381342097</v>
      </c>
      <c r="Q3" s="3">
        <f t="shared" si="0"/>
        <v>0.86592106175954853</v>
      </c>
      <c r="R3" s="3">
        <f t="shared" si="0"/>
        <v>0.91545174649219463</v>
      </c>
      <c r="S3" s="3">
        <f t="shared" si="0"/>
        <v>0.96781558639154808</v>
      </c>
      <c r="T3" s="3">
        <f t="shared" si="0"/>
        <v>1.0231746379331448</v>
      </c>
      <c r="U3" s="3">
        <f t="shared" si="0"/>
        <v>1.0817002272229206</v>
      </c>
      <c r="V3" s="3">
        <f t="shared" si="0"/>
        <v>1.1435734802200717</v>
      </c>
      <c r="W3" s="3">
        <f t="shared" si="0"/>
        <v>1.2089858832886597</v>
      </c>
      <c r="X3" s="3">
        <f t="shared" si="0"/>
        <v>1.2781398758127713</v>
      </c>
      <c r="Y3" s="3">
        <f t="shared" si="0"/>
        <v>1.3512494767092618</v>
      </c>
      <c r="Z3" s="3">
        <f t="shared" si="0"/>
        <v>1.4285409467770318</v>
      </c>
      <c r="AA3" s="3">
        <f t="shared" si="0"/>
        <v>1.510253488932678</v>
      </c>
      <c r="AB3" s="3">
        <f t="shared" si="0"/>
        <v>1.5966399884996267</v>
      </c>
      <c r="AC3" s="3"/>
    </row>
    <row r="4" spans="1:29" x14ac:dyDescent="0.3">
      <c r="A4" t="s">
        <v>16</v>
      </c>
      <c r="B4" t="s">
        <v>52</v>
      </c>
      <c r="C4" s="20">
        <f>NPV(nominal_discount_rate/100,Calculations!D4:AB4)/$C$26</f>
        <v>1.5814414399442183</v>
      </c>
      <c r="D4" s="3">
        <f t="shared" ref="D4:AB4" si="1">D19*100000/D$15</f>
        <v>1.9121333946026686</v>
      </c>
      <c r="E4" s="3">
        <f t="shared" si="1"/>
        <v>1.9121333946026686</v>
      </c>
      <c r="F4" s="3">
        <f t="shared" si="1"/>
        <v>1.9121333946026686</v>
      </c>
      <c r="G4" s="3">
        <f t="shared" si="1"/>
        <v>1.9121333946026686</v>
      </c>
      <c r="H4" s="3">
        <f t="shared" si="1"/>
        <v>1.9121333946026686</v>
      </c>
      <c r="I4" s="3">
        <f t="shared" si="1"/>
        <v>1.9121333946026686</v>
      </c>
      <c r="J4" s="3">
        <f t="shared" si="1"/>
        <v>1.9121333946026686</v>
      </c>
      <c r="K4" s="3">
        <f t="shared" si="1"/>
        <v>1.9121333946026686</v>
      </c>
      <c r="L4" s="3">
        <f t="shared" si="1"/>
        <v>1.9121333946026686</v>
      </c>
      <c r="M4" s="3">
        <f t="shared" si="1"/>
        <v>1.9121333946026686</v>
      </c>
      <c r="N4" s="3">
        <f t="shared" si="1"/>
        <v>1.9121333946026686</v>
      </c>
      <c r="O4" s="3">
        <f t="shared" si="1"/>
        <v>1.9121333946026686</v>
      </c>
      <c r="P4" s="3">
        <f t="shared" si="1"/>
        <v>0.50509184008372388</v>
      </c>
      <c r="Q4" s="3">
        <f t="shared" si="1"/>
        <v>0.50509184008372388</v>
      </c>
      <c r="R4" s="3">
        <f t="shared" si="1"/>
        <v>0.50509184008372388</v>
      </c>
      <c r="S4" s="3">
        <f t="shared" si="1"/>
        <v>0.50509184008372388</v>
      </c>
      <c r="T4" s="3">
        <f t="shared" si="1"/>
        <v>0.50509184008372388</v>
      </c>
      <c r="U4" s="3">
        <f t="shared" si="1"/>
        <v>0.50509184008372388</v>
      </c>
      <c r="V4" s="3">
        <f t="shared" si="1"/>
        <v>0.50509184008372388</v>
      </c>
      <c r="W4" s="3">
        <f t="shared" si="1"/>
        <v>0.50509184008372388</v>
      </c>
      <c r="X4" s="3">
        <f t="shared" si="1"/>
        <v>0.50509184008372388</v>
      </c>
      <c r="Y4" s="3">
        <f t="shared" si="1"/>
        <v>0.50509184008372388</v>
      </c>
      <c r="Z4" s="3">
        <f t="shared" si="1"/>
        <v>0.50509184008372388</v>
      </c>
      <c r="AA4" s="3">
        <f t="shared" si="1"/>
        <v>0.50509184008372388</v>
      </c>
      <c r="AB4" s="3">
        <f t="shared" si="1"/>
        <v>0.50509184008372388</v>
      </c>
      <c r="AC4" s="3"/>
    </row>
    <row r="5" spans="1:29" x14ac:dyDescent="0.3">
      <c r="A5" t="s">
        <v>17</v>
      </c>
      <c r="B5" t="s">
        <v>52</v>
      </c>
      <c r="C5" s="20">
        <f>NPV(nominal_discount_rate/100,Calculations!D5:AB5)/$C$26</f>
        <v>1.3916386405991621</v>
      </c>
      <c r="D5" s="3">
        <f t="shared" ref="D5:AB5" si="2">D20*100000/D$15</f>
        <v>2.8416999999399737</v>
      </c>
      <c r="E5" s="3">
        <f t="shared" si="2"/>
        <v>2.6048916666116426</v>
      </c>
      <c r="F5" s="3">
        <f t="shared" si="2"/>
        <v>2.368083333283312</v>
      </c>
      <c r="G5" s="3">
        <f t="shared" si="2"/>
        <v>2.1312749999549809</v>
      </c>
      <c r="H5" s="3">
        <f t="shared" si="2"/>
        <v>1.8944666666266499</v>
      </c>
      <c r="I5" s="3">
        <f t="shared" si="2"/>
        <v>1.6576583332983188</v>
      </c>
      <c r="J5" s="3">
        <f t="shared" si="2"/>
        <v>1.4208499999699875</v>
      </c>
      <c r="K5" s="3">
        <f t="shared" si="2"/>
        <v>1.1840416666416562</v>
      </c>
      <c r="L5" s="3">
        <f t="shared" si="2"/>
        <v>0.94723333331332493</v>
      </c>
      <c r="M5" s="3">
        <f t="shared" si="2"/>
        <v>0.71042499998499375</v>
      </c>
      <c r="N5" s="3">
        <f t="shared" si="2"/>
        <v>0.47361666665666252</v>
      </c>
      <c r="O5" s="3">
        <f t="shared" si="2"/>
        <v>0.23680833332833146</v>
      </c>
      <c r="P5" s="3">
        <f t="shared" si="2"/>
        <v>0</v>
      </c>
      <c r="Q5" s="3">
        <f t="shared" si="2"/>
        <v>0</v>
      </c>
      <c r="R5" s="3">
        <f t="shared" si="2"/>
        <v>0</v>
      </c>
      <c r="S5" s="3">
        <f t="shared" si="2"/>
        <v>0</v>
      </c>
      <c r="T5" s="3">
        <f t="shared" si="2"/>
        <v>0</v>
      </c>
      <c r="U5" s="3">
        <f t="shared" si="2"/>
        <v>0</v>
      </c>
      <c r="V5" s="3">
        <f t="shared" si="2"/>
        <v>0</v>
      </c>
      <c r="W5" s="3">
        <f t="shared" si="2"/>
        <v>0</v>
      </c>
      <c r="X5" s="3">
        <f t="shared" si="2"/>
        <v>0</v>
      </c>
      <c r="Y5" s="3">
        <f t="shared" si="2"/>
        <v>0</v>
      </c>
      <c r="Z5" s="3">
        <f t="shared" si="2"/>
        <v>0</v>
      </c>
      <c r="AA5" s="3">
        <f t="shared" si="2"/>
        <v>0</v>
      </c>
      <c r="AB5" s="3">
        <f t="shared" si="2"/>
        <v>0</v>
      </c>
      <c r="AC5" s="3"/>
    </row>
    <row r="6" spans="1:29" x14ac:dyDescent="0.3">
      <c r="A6" t="s">
        <v>18</v>
      </c>
      <c r="B6" t="s">
        <v>52</v>
      </c>
      <c r="C6" s="20">
        <f>NPV(nominal_discount_rate/100,Calculations!D6:AB6)/$C$26</f>
        <v>0.13315153952199216</v>
      </c>
      <c r="D6" s="3">
        <f t="shared" ref="D6:AB6" si="3">D21*100000/D$15</f>
        <v>0.13039198812751621</v>
      </c>
      <c r="E6" s="3">
        <f t="shared" si="3"/>
        <v>0.13065756704841014</v>
      </c>
      <c r="F6" s="3">
        <f t="shared" si="3"/>
        <v>0.13093833708357921</v>
      </c>
      <c r="G6" s="3">
        <f t="shared" si="3"/>
        <v>0.13123516716475991</v>
      </c>
      <c r="H6" s="3">
        <f t="shared" si="3"/>
        <v>0.13154897592658418</v>
      </c>
      <c r="I6" s="3">
        <f t="shared" si="3"/>
        <v>0.13188073454958479</v>
      </c>
      <c r="J6" s="3">
        <f t="shared" si="3"/>
        <v>0.13223146976582106</v>
      </c>
      <c r="K6" s="3">
        <f t="shared" si="3"/>
        <v>0.132602267036426</v>
      </c>
      <c r="L6" s="3">
        <f t="shared" si="3"/>
        <v>0.13299427391090959</v>
      </c>
      <c r="M6" s="3">
        <f t="shared" si="3"/>
        <v>0.13340870357861362</v>
      </c>
      <c r="N6" s="3">
        <f t="shared" si="3"/>
        <v>0.13384683862331032</v>
      </c>
      <c r="O6" s="3">
        <f t="shared" si="3"/>
        <v>0.13431003499256366</v>
      </c>
      <c r="P6" s="3">
        <f t="shared" si="3"/>
        <v>0.1347997261941383</v>
      </c>
      <c r="Q6" s="3">
        <f t="shared" si="3"/>
        <v>0.13531742773244301</v>
      </c>
      <c r="R6" s="3">
        <f t="shared" si="3"/>
        <v>0.13586474179873873</v>
      </c>
      <c r="S6" s="3">
        <f t="shared" si="3"/>
        <v>0.13644336222962661</v>
      </c>
      <c r="T6" s="3">
        <f t="shared" si="3"/>
        <v>0.13705507974916126</v>
      </c>
      <c r="U6" s="3">
        <f t="shared" si="3"/>
        <v>0.13770178751081324</v>
      </c>
      <c r="V6" s="3">
        <f t="shared" si="3"/>
        <v>0.1383854869564318</v>
      </c>
      <c r="W6" s="3">
        <f t="shared" si="3"/>
        <v>0.13910829401033972</v>
      </c>
      <c r="X6" s="3">
        <f t="shared" si="3"/>
        <v>0.1398724456277311</v>
      </c>
      <c r="Y6" s="3">
        <f t="shared" si="3"/>
        <v>0.14068030671763734</v>
      </c>
      <c r="Z6" s="3">
        <f t="shared" si="3"/>
        <v>0.14153437746188616</v>
      </c>
      <c r="AA6" s="3">
        <f t="shared" si="3"/>
        <v>0.14243730105270608</v>
      </c>
      <c r="AB6" s="3">
        <f t="shared" si="3"/>
        <v>0.14339187187292085</v>
      </c>
      <c r="AC6" s="3"/>
    </row>
    <row r="7" spans="1:29" ht="15" thickBot="1" x14ac:dyDescent="0.35">
      <c r="A7" t="s">
        <v>19</v>
      </c>
      <c r="B7" t="s">
        <v>52</v>
      </c>
      <c r="C7" s="20">
        <f>NPV(nominal_discount_rate/100,Calculations!D7:AB7)/$C$26</f>
        <v>2.0262049568983502</v>
      </c>
      <c r="D7" s="3">
        <f t="shared" ref="D7:AB7" si="4">D22*100000/D$15</f>
        <v>1.9088893864352716</v>
      </c>
      <c r="E7" s="3">
        <f t="shared" si="4"/>
        <v>1.9088893864352716</v>
      </c>
      <c r="F7" s="3">
        <f t="shared" si="4"/>
        <v>1.9088893864352716</v>
      </c>
      <c r="G7" s="3">
        <f t="shared" si="4"/>
        <v>1.9088893864352716</v>
      </c>
      <c r="H7" s="3">
        <f t="shared" si="4"/>
        <v>1.9088893864352716</v>
      </c>
      <c r="I7" s="3">
        <f t="shared" si="4"/>
        <v>1.9088893864352716</v>
      </c>
      <c r="J7" s="3">
        <f t="shared" si="4"/>
        <v>1.9088893864352716</v>
      </c>
      <c r="K7" s="3">
        <f t="shared" si="4"/>
        <v>1.9088893864352716</v>
      </c>
      <c r="L7" s="3">
        <f t="shared" si="4"/>
        <v>1.9088893864352716</v>
      </c>
      <c r="M7" s="3">
        <f t="shared" si="4"/>
        <v>1.9088893864352716</v>
      </c>
      <c r="N7" s="3">
        <f t="shared" si="4"/>
        <v>2.2906672637223258</v>
      </c>
      <c r="O7" s="3">
        <f t="shared" si="4"/>
        <v>2.2906672637223258</v>
      </c>
      <c r="P7" s="3">
        <f t="shared" si="4"/>
        <v>2.2906672637223258</v>
      </c>
      <c r="Q7" s="3">
        <f t="shared" si="4"/>
        <v>2.2906672637223258</v>
      </c>
      <c r="R7" s="3">
        <f t="shared" si="4"/>
        <v>2.2906672637223258</v>
      </c>
      <c r="S7" s="3">
        <f t="shared" si="4"/>
        <v>2.2906672637223258</v>
      </c>
      <c r="T7" s="3">
        <f t="shared" si="4"/>
        <v>2.2906672637223258</v>
      </c>
      <c r="U7" s="3">
        <f t="shared" si="4"/>
        <v>2.2906672637223258</v>
      </c>
      <c r="V7" s="3">
        <f t="shared" si="4"/>
        <v>2.2906672637223258</v>
      </c>
      <c r="W7" s="3">
        <f t="shared" si="4"/>
        <v>2.2906672637223258</v>
      </c>
      <c r="X7" s="3">
        <f t="shared" si="4"/>
        <v>2.2906672637223258</v>
      </c>
      <c r="Y7" s="3">
        <f t="shared" si="4"/>
        <v>2.2906672637223258</v>
      </c>
      <c r="Z7" s="3">
        <f t="shared" si="4"/>
        <v>2.2906672637223258</v>
      </c>
      <c r="AA7" s="3">
        <f t="shared" si="4"/>
        <v>2.2906672637223258</v>
      </c>
      <c r="AB7" s="3">
        <f t="shared" si="4"/>
        <v>2.2906672637223258</v>
      </c>
      <c r="AC7" s="3"/>
    </row>
    <row r="8" spans="1:29" s="17" customFormat="1" ht="15.6" thickTop="1" thickBot="1" x14ac:dyDescent="0.35">
      <c r="A8" s="17" t="s">
        <v>68</v>
      </c>
      <c r="B8" s="17" t="s">
        <v>52</v>
      </c>
      <c r="C8" s="21">
        <f>NPV(nominal_discount_rate/100,Calculations!D8:AB8)/$C$26</f>
        <v>5.8023496558770349</v>
      </c>
      <c r="D8" s="18">
        <f t="shared" ref="D8:AB8" si="5">D23*100000/D$15</f>
        <v>7.2132946901476203</v>
      </c>
      <c r="E8" s="18">
        <f t="shared" si="5"/>
        <v>7.000786227223796</v>
      </c>
      <c r="F8" s="18">
        <f t="shared" si="5"/>
        <v>6.7896677168871111</v>
      </c>
      <c r="G8" s="18">
        <f t="shared" si="5"/>
        <v>6.5800186644255465</v>
      </c>
      <c r="H8" s="18">
        <f t="shared" si="5"/>
        <v>6.3719231228295623</v>
      </c>
      <c r="I8" s="18">
        <f t="shared" si="5"/>
        <v>6.1654699529206676</v>
      </c>
      <c r="J8" s="18">
        <f t="shared" si="5"/>
        <v>5.9607530983593637</v>
      </c>
      <c r="K8" s="18">
        <f t="shared" si="5"/>
        <v>5.7578718763835335</v>
      </c>
      <c r="L8" s="18">
        <f t="shared" si="5"/>
        <v>5.5569312851770691</v>
      </c>
      <c r="M8" s="18">
        <f t="shared" si="5"/>
        <v>5.3580423288199741</v>
      </c>
      <c r="N8" s="18">
        <f t="shared" si="5"/>
        <v>5.5431002381126877</v>
      </c>
      <c r="O8" s="18">
        <f t="shared" si="5"/>
        <v>5.3486733246154516</v>
      </c>
      <c r="P8" s="18">
        <f t="shared" si="5"/>
        <v>3.7496290738136091</v>
      </c>
      <c r="Q8" s="18">
        <f t="shared" si="5"/>
        <v>3.7969975932980411</v>
      </c>
      <c r="R8" s="18">
        <f t="shared" si="5"/>
        <v>3.8470755920969828</v>
      </c>
      <c r="S8" s="18">
        <f t="shared" si="5"/>
        <v>3.900018052427225</v>
      </c>
      <c r="T8" s="18">
        <f t="shared" si="5"/>
        <v>3.9559888214883561</v>
      </c>
      <c r="U8" s="18">
        <f t="shared" si="5"/>
        <v>4.0151611185397842</v>
      </c>
      <c r="V8" s="18">
        <f t="shared" si="5"/>
        <v>4.0777180709825531</v>
      </c>
      <c r="W8" s="18">
        <f t="shared" si="5"/>
        <v>4.1438532811050486</v>
      </c>
      <c r="X8" s="18">
        <f t="shared" si="5"/>
        <v>4.2137714252465512</v>
      </c>
      <c r="Y8" s="18">
        <f t="shared" si="5"/>
        <v>4.2876888872329486</v>
      </c>
      <c r="Z8" s="18">
        <f t="shared" si="5"/>
        <v>4.3658344280449679</v>
      </c>
      <c r="AA8" s="18">
        <f t="shared" si="5"/>
        <v>4.448449893791433</v>
      </c>
      <c r="AB8" s="18">
        <f t="shared" si="5"/>
        <v>4.535790964178597</v>
      </c>
      <c r="AC8" s="18"/>
    </row>
    <row r="9" spans="1:29" ht="15" thickTop="1" x14ac:dyDescent="0.3">
      <c r="D9" s="3"/>
      <c r="E9" s="3"/>
      <c r="F9" s="3"/>
      <c r="G9" s="3"/>
      <c r="H9" s="3"/>
      <c r="I9" s="3"/>
      <c r="J9" s="3"/>
      <c r="K9" s="3"/>
      <c r="L9" s="3"/>
      <c r="M9" s="3"/>
      <c r="N9" s="3"/>
      <c r="O9" s="3"/>
      <c r="P9" s="3"/>
      <c r="Q9" s="3"/>
      <c r="R9" s="3"/>
      <c r="S9" s="3"/>
      <c r="T9" s="3"/>
      <c r="U9" s="3"/>
      <c r="V9" s="3"/>
      <c r="W9" s="3"/>
      <c r="X9" s="3"/>
      <c r="Y9" s="3"/>
      <c r="Z9" s="3"/>
      <c r="AA9" s="3"/>
      <c r="AB9" s="3"/>
      <c r="AC9" s="3"/>
    </row>
    <row r="10" spans="1:29" s="2" customFormat="1" x14ac:dyDescent="0.3">
      <c r="A10" s="1" t="s">
        <v>4</v>
      </c>
      <c r="B10" s="1"/>
      <c r="C10" s="1"/>
    </row>
    <row r="11" spans="1:29" x14ac:dyDescent="0.3">
      <c r="A11" t="s">
        <v>5</v>
      </c>
      <c r="B11" t="s">
        <v>6</v>
      </c>
      <c r="D11" s="3">
        <f>Assumptions!$F$5</f>
        <v>1</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row>
    <row r="12" spans="1:29" x14ac:dyDescent="0.3">
      <c r="A12" t="s">
        <v>7</v>
      </c>
      <c r="B12" t="s">
        <v>8</v>
      </c>
      <c r="D12" s="3">
        <f>D11*24*365*Assumptions!$F$7/1000</f>
        <v>1.6644000000000001</v>
      </c>
      <c r="E12" s="3">
        <f>E11*24*365*Assumptions!$F$7/1000</f>
        <v>1.6644000000000001</v>
      </c>
      <c r="F12" s="3">
        <f>F11*24*365*Assumptions!$F$7/1000</f>
        <v>1.6644000000000001</v>
      </c>
      <c r="G12" s="3">
        <f>G11*24*365*Assumptions!$F$7/1000</f>
        <v>1.6644000000000001</v>
      </c>
      <c r="H12" s="3">
        <f>H11*24*365*Assumptions!$F$7/1000</f>
        <v>1.6644000000000001</v>
      </c>
      <c r="I12" s="3">
        <f>I11*24*365*Assumptions!$F$7/1000</f>
        <v>1.6644000000000001</v>
      </c>
      <c r="J12" s="3">
        <f>J11*24*365*Assumptions!$F$7/1000</f>
        <v>1.6644000000000001</v>
      </c>
      <c r="K12" s="3">
        <f>K11*24*365*Assumptions!$F$7/1000</f>
        <v>1.6644000000000001</v>
      </c>
      <c r="L12" s="3">
        <f>L11*24*365*Assumptions!$F$7/1000</f>
        <v>1.6644000000000001</v>
      </c>
      <c r="M12" s="3">
        <f>M11*24*365*Assumptions!$F$7/1000</f>
        <v>1.6644000000000001</v>
      </c>
      <c r="N12" s="3">
        <f>N11*24*365*Assumptions!$F$7/1000</f>
        <v>1.6644000000000001</v>
      </c>
      <c r="O12" s="3">
        <f>O11*24*365*Assumptions!$F$7/1000</f>
        <v>1.6644000000000001</v>
      </c>
      <c r="P12" s="3">
        <f>P11*24*365*Assumptions!$F$7/1000</f>
        <v>1.6644000000000001</v>
      </c>
      <c r="Q12" s="3">
        <f>Q11*24*365*Assumptions!$F$7/1000</f>
        <v>1.6644000000000001</v>
      </c>
      <c r="R12" s="3">
        <f>R11*24*365*Assumptions!$F$7/1000</f>
        <v>1.6644000000000001</v>
      </c>
      <c r="S12" s="3">
        <f>S11*24*365*Assumptions!$F$7/1000</f>
        <v>1.6644000000000001</v>
      </c>
      <c r="T12" s="3">
        <f>T11*24*365*Assumptions!$F$7/1000</f>
        <v>1.6644000000000001</v>
      </c>
      <c r="U12" s="3">
        <f>U11*24*365*Assumptions!$F$7/1000</f>
        <v>1.6644000000000001</v>
      </c>
      <c r="V12" s="3">
        <f>V11*24*365*Assumptions!$F$7/1000</f>
        <v>1.6644000000000001</v>
      </c>
      <c r="W12" s="3">
        <f>W11*24*365*Assumptions!$F$7/1000</f>
        <v>1.6644000000000001</v>
      </c>
      <c r="X12" s="3">
        <f>X11*24*365*Assumptions!$F$7/1000</f>
        <v>1.6644000000000001</v>
      </c>
      <c r="Y12" s="3">
        <f>Y11*24*365*Assumptions!$F$7/1000</f>
        <v>1.6644000000000001</v>
      </c>
      <c r="Z12" s="3">
        <f>Z11*24*365*Assumptions!$F$7/1000</f>
        <v>1.6644000000000001</v>
      </c>
      <c r="AA12" s="3">
        <f>AA11*24*365*Assumptions!$F$7/1000</f>
        <v>1.6644000000000001</v>
      </c>
      <c r="AB12" s="3">
        <f>AB11*24*365*Assumptions!$F$7/1000</f>
        <v>1.6644000000000001</v>
      </c>
      <c r="AC12" s="3"/>
    </row>
    <row r="13" spans="1:29" x14ac:dyDescent="0.3">
      <c r="A13" t="s">
        <v>9</v>
      </c>
      <c r="B13" t="s">
        <v>8</v>
      </c>
      <c r="D13" s="3">
        <f>Assumptions!$F$6</f>
        <v>0</v>
      </c>
      <c r="E13" s="3">
        <f>Assumptions!$F$6</f>
        <v>0</v>
      </c>
      <c r="F13" s="3">
        <f>Assumptions!$F$6</f>
        <v>0</v>
      </c>
      <c r="G13" s="3">
        <f>Assumptions!$F$6</f>
        <v>0</v>
      </c>
      <c r="H13" s="3">
        <f>Assumptions!$F$6</f>
        <v>0</v>
      </c>
      <c r="I13" s="3">
        <f>Assumptions!$F$6</f>
        <v>0</v>
      </c>
      <c r="J13" s="3">
        <f>Assumptions!$F$6</f>
        <v>0</v>
      </c>
      <c r="K13" s="3">
        <f>Assumptions!$F$6</f>
        <v>0</v>
      </c>
      <c r="L13" s="3">
        <f>Assumptions!$F$6</f>
        <v>0</v>
      </c>
      <c r="M13" s="3">
        <f>Assumptions!$F$6</f>
        <v>0</v>
      </c>
      <c r="N13" s="3">
        <f>Assumptions!$F$6</f>
        <v>0</v>
      </c>
      <c r="O13" s="3">
        <f>Assumptions!$F$6</f>
        <v>0</v>
      </c>
      <c r="P13" s="3">
        <f>Assumptions!$F$6</f>
        <v>0</v>
      </c>
      <c r="Q13" s="3">
        <f>Assumptions!$F$6</f>
        <v>0</v>
      </c>
      <c r="R13" s="3">
        <f>Assumptions!$F$6</f>
        <v>0</v>
      </c>
      <c r="S13" s="3">
        <f>Assumptions!$F$6</f>
        <v>0</v>
      </c>
      <c r="T13" s="3">
        <f>Assumptions!$F$6</f>
        <v>0</v>
      </c>
      <c r="U13" s="3">
        <f>Assumptions!$F$6</f>
        <v>0</v>
      </c>
      <c r="V13" s="3">
        <f>Assumptions!$F$6</f>
        <v>0</v>
      </c>
      <c r="W13" s="3">
        <f>Assumptions!$F$6</f>
        <v>0</v>
      </c>
      <c r="X13" s="3">
        <f>Assumptions!$F$6</f>
        <v>0</v>
      </c>
      <c r="Y13" s="3">
        <f>Assumptions!$F$6</f>
        <v>0</v>
      </c>
      <c r="Z13" s="3">
        <f>Assumptions!$F$6</f>
        <v>0</v>
      </c>
      <c r="AA13" s="3">
        <f>Assumptions!$F$6</f>
        <v>0</v>
      </c>
      <c r="AB13" s="3">
        <f>Assumptions!$F$6</f>
        <v>0</v>
      </c>
      <c r="AC13" s="3"/>
    </row>
    <row r="14" spans="1:29" x14ac:dyDescent="0.3">
      <c r="A14" t="s">
        <v>10</v>
      </c>
      <c r="B14" t="s">
        <v>8</v>
      </c>
      <c r="D14" s="3">
        <f>D12-D13</f>
        <v>1.6644000000000001</v>
      </c>
      <c r="E14" s="3">
        <f t="shared" ref="E14:AB14" si="6">E12-E13</f>
        <v>1.6644000000000001</v>
      </c>
      <c r="F14" s="3">
        <f t="shared" si="6"/>
        <v>1.6644000000000001</v>
      </c>
      <c r="G14" s="3">
        <f t="shared" si="6"/>
        <v>1.6644000000000001</v>
      </c>
      <c r="H14" s="3">
        <f t="shared" si="6"/>
        <v>1.6644000000000001</v>
      </c>
      <c r="I14" s="3">
        <f t="shared" si="6"/>
        <v>1.6644000000000001</v>
      </c>
      <c r="J14" s="3">
        <f t="shared" si="6"/>
        <v>1.6644000000000001</v>
      </c>
      <c r="K14" s="3">
        <f t="shared" si="6"/>
        <v>1.6644000000000001</v>
      </c>
      <c r="L14" s="3">
        <f t="shared" si="6"/>
        <v>1.6644000000000001</v>
      </c>
      <c r="M14" s="3">
        <f t="shared" si="6"/>
        <v>1.6644000000000001</v>
      </c>
      <c r="N14" s="3">
        <f t="shared" si="6"/>
        <v>1.6644000000000001</v>
      </c>
      <c r="O14" s="3">
        <f t="shared" si="6"/>
        <v>1.6644000000000001</v>
      </c>
      <c r="P14" s="3">
        <f t="shared" si="6"/>
        <v>1.6644000000000001</v>
      </c>
      <c r="Q14" s="3">
        <f t="shared" si="6"/>
        <v>1.6644000000000001</v>
      </c>
      <c r="R14" s="3">
        <f t="shared" si="6"/>
        <v>1.6644000000000001</v>
      </c>
      <c r="S14" s="3">
        <f t="shared" si="6"/>
        <v>1.6644000000000001</v>
      </c>
      <c r="T14" s="3">
        <f t="shared" si="6"/>
        <v>1.6644000000000001</v>
      </c>
      <c r="U14" s="3">
        <f t="shared" si="6"/>
        <v>1.6644000000000001</v>
      </c>
      <c r="V14" s="3">
        <f t="shared" si="6"/>
        <v>1.6644000000000001</v>
      </c>
      <c r="W14" s="3">
        <f t="shared" si="6"/>
        <v>1.6644000000000001</v>
      </c>
      <c r="X14" s="3">
        <f t="shared" si="6"/>
        <v>1.6644000000000001</v>
      </c>
      <c r="Y14" s="3">
        <f t="shared" si="6"/>
        <v>1.6644000000000001</v>
      </c>
      <c r="Z14" s="3">
        <f t="shared" si="6"/>
        <v>1.6644000000000001</v>
      </c>
      <c r="AA14" s="3">
        <f t="shared" si="6"/>
        <v>1.6644000000000001</v>
      </c>
      <c r="AB14" s="3">
        <f t="shared" si="6"/>
        <v>1.6644000000000001</v>
      </c>
      <c r="AC14" s="3"/>
    </row>
    <row r="15" spans="1:29" x14ac:dyDescent="0.3">
      <c r="A15" t="s">
        <v>11</v>
      </c>
      <c r="B15" t="s">
        <v>12</v>
      </c>
      <c r="D15" s="4">
        <f>Assumptions!$F$4</f>
        <v>1665953</v>
      </c>
      <c r="E15" s="4">
        <f>Assumptions!$F$4</f>
        <v>1665953</v>
      </c>
      <c r="F15" s="4">
        <f>Assumptions!$F$4</f>
        <v>1665953</v>
      </c>
      <c r="G15" s="4">
        <f>Assumptions!$F$4</f>
        <v>1665953</v>
      </c>
      <c r="H15" s="4">
        <f>Assumptions!$F$4</f>
        <v>1665953</v>
      </c>
      <c r="I15" s="4">
        <f>Assumptions!$F$4</f>
        <v>1665953</v>
      </c>
      <c r="J15" s="4">
        <f>Assumptions!$F$4</f>
        <v>1665953</v>
      </c>
      <c r="K15" s="4">
        <f>Assumptions!$F$4</f>
        <v>1665953</v>
      </c>
      <c r="L15" s="4">
        <f>Assumptions!$F$4</f>
        <v>1665953</v>
      </c>
      <c r="M15" s="4">
        <f>Assumptions!$F$4</f>
        <v>1665953</v>
      </c>
      <c r="N15" s="4">
        <f>Assumptions!$F$4</f>
        <v>1665953</v>
      </c>
      <c r="O15" s="4">
        <f>Assumptions!$F$4</f>
        <v>1665953</v>
      </c>
      <c r="P15" s="4">
        <f>Assumptions!$F$4</f>
        <v>1665953</v>
      </c>
      <c r="Q15" s="4">
        <f>Assumptions!$F$4</f>
        <v>1665953</v>
      </c>
      <c r="R15" s="4">
        <f>Assumptions!$F$4</f>
        <v>1665953</v>
      </c>
      <c r="S15" s="4">
        <f>Assumptions!$F$4</f>
        <v>1665953</v>
      </c>
      <c r="T15" s="4">
        <f>Assumptions!$F$4</f>
        <v>1665953</v>
      </c>
      <c r="U15" s="4">
        <f>Assumptions!$F$4</f>
        <v>1665953</v>
      </c>
      <c r="V15" s="4">
        <f>Assumptions!$F$4</f>
        <v>1665953</v>
      </c>
      <c r="W15" s="4">
        <f>Assumptions!$F$4</f>
        <v>1665953</v>
      </c>
      <c r="X15" s="4">
        <f>Assumptions!$F$4</f>
        <v>1665953</v>
      </c>
      <c r="Y15" s="4">
        <f>Assumptions!$F$4</f>
        <v>1665953</v>
      </c>
      <c r="Z15" s="4">
        <f>Assumptions!$F$4</f>
        <v>1665953</v>
      </c>
      <c r="AA15" s="4">
        <f>Assumptions!$F$4</f>
        <v>1665953</v>
      </c>
      <c r="AB15" s="4">
        <f>Assumptions!$F$4</f>
        <v>1665953</v>
      </c>
      <c r="AC15" s="3"/>
    </row>
    <row r="16" spans="1:29" x14ac:dyDescent="0.3">
      <c r="D16" s="3"/>
      <c r="E16" s="3"/>
      <c r="F16" s="3"/>
      <c r="G16" s="3"/>
      <c r="H16" s="3"/>
      <c r="I16" s="3"/>
      <c r="J16" s="3"/>
      <c r="K16" s="3"/>
      <c r="L16" s="3"/>
      <c r="M16" s="3"/>
      <c r="N16" s="3"/>
      <c r="O16" s="3"/>
      <c r="P16" s="3"/>
      <c r="Q16" s="3"/>
      <c r="R16" s="3"/>
      <c r="S16" s="3"/>
      <c r="T16" s="3"/>
      <c r="U16" s="3"/>
      <c r="V16" s="3"/>
      <c r="W16" s="3"/>
      <c r="X16" s="3"/>
      <c r="Y16" s="3"/>
      <c r="Z16" s="3"/>
      <c r="AA16" s="3"/>
      <c r="AB16" s="3"/>
      <c r="AC16" s="3"/>
    </row>
    <row r="17" spans="1:29" s="2" customFormat="1" x14ac:dyDescent="0.3">
      <c r="A17" s="1" t="s">
        <v>13</v>
      </c>
      <c r="B17" s="1"/>
      <c r="C17" s="1"/>
      <c r="D17" s="5"/>
      <c r="E17" s="5"/>
      <c r="F17" s="5"/>
      <c r="G17" s="5"/>
      <c r="H17" s="5"/>
      <c r="I17" s="5"/>
      <c r="J17" s="5"/>
      <c r="K17" s="5"/>
      <c r="L17" s="5"/>
      <c r="M17" s="5"/>
      <c r="N17" s="5"/>
      <c r="O17" s="5"/>
      <c r="P17" s="5"/>
      <c r="Q17" s="5"/>
      <c r="R17" s="5"/>
      <c r="S17" s="5"/>
      <c r="T17" s="5"/>
      <c r="U17" s="5"/>
      <c r="V17" s="5"/>
      <c r="W17" s="5"/>
      <c r="X17" s="5"/>
      <c r="Y17" s="5"/>
      <c r="Z17" s="5"/>
      <c r="AA17" s="5"/>
      <c r="AB17" s="5"/>
      <c r="AC17" s="5"/>
    </row>
    <row r="18" spans="1:29" x14ac:dyDescent="0.3">
      <c r="A18" t="s">
        <v>14</v>
      </c>
      <c r="B18" t="s">
        <v>15</v>
      </c>
      <c r="D18" s="3">
        <f>Assumptions!F33</f>
        <v>7</v>
      </c>
      <c r="E18" s="3">
        <f>D18+Assumptions!$F$34/100*D18</f>
        <v>7.4004000000000003</v>
      </c>
      <c r="F18" s="3">
        <f>E18+Assumptions!$F$34/100*E18</f>
        <v>7.8237028800000008</v>
      </c>
      <c r="G18" s="3">
        <f>F18+Assumptions!$F$34/100*F18</f>
        <v>8.2712186847360005</v>
      </c>
      <c r="H18" s="3">
        <f>G18+Assumptions!$F$34/100*G18</f>
        <v>8.7443323935028996</v>
      </c>
      <c r="I18" s="3">
        <f>H18+Assumptions!$F$34/100*H18</f>
        <v>9.2445082064112647</v>
      </c>
      <c r="J18" s="3">
        <f>I18+Assumptions!$F$34/100*I18</f>
        <v>9.7732940758179883</v>
      </c>
      <c r="K18" s="3">
        <f>J18+Assumptions!$F$34/100*J18</f>
        <v>10.332326496954778</v>
      </c>
      <c r="L18" s="3">
        <f>K18+Assumptions!$F$34/100*K18</f>
        <v>10.923335572580591</v>
      </c>
      <c r="M18" s="3">
        <f>L18+Assumptions!$F$34/100*L18</f>
        <v>11.5481503673322</v>
      </c>
      <c r="N18" s="3">
        <f>M18+Assumptions!$F$34/100*M18</f>
        <v>12.208704568343602</v>
      </c>
      <c r="O18" s="3">
        <f>N18+Assumptions!$F$34/100*N18</f>
        <v>12.907042469652856</v>
      </c>
      <c r="P18" s="3">
        <f>O18+Assumptions!$F$34/100*O18</f>
        <v>13.645325298916999</v>
      </c>
      <c r="Q18" s="3">
        <f>P18+Assumptions!$F$34/100*P18</f>
        <v>14.425837906015051</v>
      </c>
      <c r="R18" s="3">
        <f>Q18+Assumptions!$F$34/100*Q18</f>
        <v>15.250995834239111</v>
      </c>
      <c r="S18" s="3">
        <f>R18+Assumptions!$F$34/100*R18</f>
        <v>16.123352795957587</v>
      </c>
      <c r="T18" s="3">
        <f>S18+Assumptions!$F$34/100*S18</f>
        <v>17.045608575886362</v>
      </c>
      <c r="U18" s="3">
        <f>T18+Assumptions!$F$34/100*T18</f>
        <v>18.020617386427062</v>
      </c>
      <c r="V18" s="3">
        <f>U18+Assumptions!$F$34/100*U18</f>
        <v>19.051396700930692</v>
      </c>
      <c r="W18" s="3">
        <f>V18+Assumptions!$F$34/100*V18</f>
        <v>20.141136592223926</v>
      </c>
      <c r="X18" s="3">
        <f>W18+Assumptions!$F$34/100*W18</f>
        <v>21.293209605299136</v>
      </c>
      <c r="Y18" s="3">
        <f>X18+Assumptions!$F$34/100*X18</f>
        <v>22.511181194722248</v>
      </c>
      <c r="Z18" s="3">
        <f>Y18+Assumptions!$F$34/100*Y18</f>
        <v>23.798820759060362</v>
      </c>
      <c r="AA18" s="3">
        <f>Z18+Assumptions!$F$34/100*Z18</f>
        <v>25.160113306478614</v>
      </c>
      <c r="AB18" s="3">
        <f>AA18+Assumptions!$F$34/100*AA18</f>
        <v>26.59927178760919</v>
      </c>
      <c r="AC18" s="3"/>
    </row>
    <row r="19" spans="1:29" x14ac:dyDescent="0.3">
      <c r="A19" t="s">
        <v>16</v>
      </c>
      <c r="B19" t="s">
        <v>15</v>
      </c>
      <c r="D19" s="3">
        <f>(equity+Assumptions!$F$13)*Assumptions!$F$27/100</f>
        <v>31.855243651384995</v>
      </c>
      <c r="E19" s="3">
        <f>(equity+Assumptions!$F$13)*Assumptions!$F$27/100</f>
        <v>31.855243651384995</v>
      </c>
      <c r="F19" s="3">
        <f>(equity+Assumptions!$F$13)*Assumptions!$F$27/100</f>
        <v>31.855243651384995</v>
      </c>
      <c r="G19" s="3">
        <f>(equity+Assumptions!$F$13)*Assumptions!$F$27/100</f>
        <v>31.855243651384995</v>
      </c>
      <c r="H19" s="3">
        <f>(equity+Assumptions!$F$13)*Assumptions!$F$27/100</f>
        <v>31.855243651384995</v>
      </c>
      <c r="I19" s="3">
        <f>(equity+Assumptions!$F$13)*Assumptions!$F$27/100</f>
        <v>31.855243651384995</v>
      </c>
      <c r="J19" s="3">
        <f>(equity+Assumptions!$F$13)*Assumptions!$F$27/100</f>
        <v>31.855243651384995</v>
      </c>
      <c r="K19" s="3">
        <f>(equity+Assumptions!$F$13)*Assumptions!$F$27/100</f>
        <v>31.855243651384995</v>
      </c>
      <c r="L19" s="3">
        <f>(equity+Assumptions!$F$13)*Assumptions!$F$27/100</f>
        <v>31.855243651384995</v>
      </c>
      <c r="M19" s="3">
        <f>(equity+Assumptions!$F$13)*Assumptions!$F$27/100</f>
        <v>31.855243651384995</v>
      </c>
      <c r="N19" s="3">
        <f>(equity+Assumptions!$F$13)*Assumptions!$F$27/100</f>
        <v>31.855243651384995</v>
      </c>
      <c r="O19" s="3">
        <f>(equity+Assumptions!$F$13)*Assumptions!$F$27/100</f>
        <v>31.855243651384995</v>
      </c>
      <c r="P19" s="3">
        <f>(equity+Assumptions!$F$13)*Assumptions!$F$28/100</f>
        <v>8.4145926626299996</v>
      </c>
      <c r="Q19" s="3">
        <f>(equity+Assumptions!$F$13)*Assumptions!$F$28/100</f>
        <v>8.4145926626299996</v>
      </c>
      <c r="R19" s="3">
        <f>(equity+Assumptions!$F$13)*Assumptions!$F$28/100</f>
        <v>8.4145926626299996</v>
      </c>
      <c r="S19" s="3">
        <f>(equity+Assumptions!$F$13)*Assumptions!$F$28/100</f>
        <v>8.4145926626299996</v>
      </c>
      <c r="T19" s="3">
        <f>(equity+Assumptions!$F$13)*Assumptions!$F$28/100</f>
        <v>8.4145926626299996</v>
      </c>
      <c r="U19" s="3">
        <f>(equity+Assumptions!$F$13)*Assumptions!$F$28/100</f>
        <v>8.4145926626299996</v>
      </c>
      <c r="V19" s="3">
        <f>(equity+Assumptions!$F$13)*Assumptions!$F$28/100</f>
        <v>8.4145926626299996</v>
      </c>
      <c r="W19" s="3">
        <f>(equity+Assumptions!$F$13)*Assumptions!$F$28/100</f>
        <v>8.4145926626299996</v>
      </c>
      <c r="X19" s="3">
        <f>(equity+Assumptions!$F$13)*Assumptions!$F$28/100</f>
        <v>8.4145926626299996</v>
      </c>
      <c r="Y19" s="3">
        <f>(equity+Assumptions!$F$13)*Assumptions!$F$28/100</f>
        <v>8.4145926626299996</v>
      </c>
      <c r="Z19" s="3">
        <f>(equity+Assumptions!$F$13)*Assumptions!$F$28/100</f>
        <v>8.4145926626299996</v>
      </c>
      <c r="AA19" s="3">
        <f>(equity+Assumptions!$F$13)*Assumptions!$F$28/100</f>
        <v>8.4145926626299996</v>
      </c>
      <c r="AB19" s="3">
        <f>(equity+Assumptions!$F$13)*Assumptions!$F$28/100</f>
        <v>8.4145926626299996</v>
      </c>
      <c r="AC19" s="3"/>
    </row>
    <row r="20" spans="1:29" x14ac:dyDescent="0.3">
      <c r="A20" t="s">
        <v>17</v>
      </c>
      <c r="B20" t="s">
        <v>15</v>
      </c>
      <c r="D20" s="3">
        <f>'Term Loan'!P5</f>
        <v>47.34138639999999</v>
      </c>
      <c r="E20" s="3">
        <f>'Term Loan'!Q5</f>
        <v>43.396270866666661</v>
      </c>
      <c r="F20" s="3">
        <f>'Term Loan'!R5</f>
        <v>39.451155333333332</v>
      </c>
      <c r="G20" s="3">
        <f>'Term Loan'!S5</f>
        <v>35.506039800000003</v>
      </c>
      <c r="H20" s="3">
        <f>'Term Loan'!T5</f>
        <v>31.560924266666671</v>
      </c>
      <c r="I20" s="3">
        <f>'Term Loan'!U5</f>
        <v>27.615808733333338</v>
      </c>
      <c r="J20" s="3">
        <f>'Term Loan'!V5</f>
        <v>23.670693200000006</v>
      </c>
      <c r="K20" s="3">
        <f>'Term Loan'!W5</f>
        <v>19.72557766666667</v>
      </c>
      <c r="L20" s="3">
        <f>'Term Loan'!X5</f>
        <v>15.780462133333337</v>
      </c>
      <c r="M20" s="3">
        <f>'Term Loan'!Y5</f>
        <v>11.835346600000005</v>
      </c>
      <c r="N20" s="3">
        <f>'Term Loan'!Z5</f>
        <v>7.8902310666666695</v>
      </c>
      <c r="O20" s="3">
        <f>'Term Loan'!AA5</f>
        <v>3.9451155333333374</v>
      </c>
      <c r="P20" s="3">
        <f>'Term Loan'!AB5</f>
        <v>0</v>
      </c>
      <c r="Q20" s="3">
        <f>'Term Loan'!AC5</f>
        <v>0</v>
      </c>
      <c r="R20" s="3">
        <f>'Term Loan'!AD5</f>
        <v>0</v>
      </c>
      <c r="S20" s="3">
        <f>'Term Loan'!AE5</f>
        <v>0</v>
      </c>
      <c r="T20" s="3">
        <f>'Term Loan'!AF5</f>
        <v>0</v>
      </c>
      <c r="U20" s="3">
        <f>'Term Loan'!AG5</f>
        <v>0</v>
      </c>
      <c r="V20" s="3">
        <f>'Term Loan'!AH5</f>
        <v>0</v>
      </c>
      <c r="W20" s="3">
        <f>'Term Loan'!AI5</f>
        <v>0</v>
      </c>
      <c r="X20" s="3">
        <f>'Term Loan'!AJ5</f>
        <v>0</v>
      </c>
      <c r="Y20" s="3">
        <f>'Term Loan'!AK5</f>
        <v>0</v>
      </c>
      <c r="Z20" s="3">
        <f>'Term Loan'!AL5</f>
        <v>0</v>
      </c>
      <c r="AA20" s="3">
        <f>'Term Loan'!AM5</f>
        <v>0</v>
      </c>
      <c r="AB20" s="3">
        <f>'Term Loan'!AN5</f>
        <v>0</v>
      </c>
      <c r="AC20" s="3"/>
    </row>
    <row r="21" spans="1:29" x14ac:dyDescent="0.3">
      <c r="A21" t="s">
        <v>18</v>
      </c>
      <c r="B21" t="s">
        <v>15</v>
      </c>
      <c r="D21" s="3">
        <f>'Working Capital'!C8</f>
        <v>2.1722692379700002</v>
      </c>
      <c r="E21" s="3">
        <f>'Working Capital'!D8</f>
        <v>2.17669365797</v>
      </c>
      <c r="F21" s="3">
        <f>'Working Capital'!E8</f>
        <v>2.1813711547940002</v>
      </c>
      <c r="G21" s="3">
        <f>'Working Capital'!F8</f>
        <v>2.1863162044363329</v>
      </c>
      <c r="H21" s="3">
        <f>'Working Capital'!G8</f>
        <v>2.191544110918207</v>
      </c>
      <c r="I21" s="3">
        <f>'Working Capital'!H8</f>
        <v>2.1970710536508444</v>
      </c>
      <c r="J21" s="3">
        <f>'Working Capital'!I8</f>
        <v>2.202914137507789</v>
      </c>
      <c r="K21" s="3">
        <f>'Working Capital'!J8</f>
        <v>2.20909144576135</v>
      </c>
      <c r="L21" s="3">
        <f>'Working Capital'!K8</f>
        <v>2.2156220960470154</v>
      </c>
      <c r="M21" s="3">
        <f>'Working Capital'!L8</f>
        <v>2.2225262995290209</v>
      </c>
      <c r="N21" s="3">
        <f>'Working Capital'!M8</f>
        <v>2.2298254234501971</v>
      </c>
      <c r="O21" s="3">
        <f>'Working Capital'!N8</f>
        <v>2.237542057259664</v>
      </c>
      <c r="P21" s="3">
        <f>'Working Capital'!O8</f>
        <v>2.2457000825230327</v>
      </c>
      <c r="Q21" s="3">
        <f>'Working Capital'!P8</f>
        <v>2.2543247468314664</v>
      </c>
      <c r="R21" s="3">
        <f>'Working Capital'!Q8</f>
        <v>2.2634427419383418</v>
      </c>
      <c r="S21" s="3">
        <f>'Working Capital'!R8</f>
        <v>2.2730822863653315</v>
      </c>
      <c r="T21" s="3">
        <f>'Working Capital'!S8</f>
        <v>2.2832732127335444</v>
      </c>
      <c r="U21" s="3">
        <f>'Working Capital'!T8</f>
        <v>2.2940470600900187</v>
      </c>
      <c r="V21" s="3">
        <f>'Working Capital'!U8</f>
        <v>2.3054371715152842</v>
      </c>
      <c r="W21" s="3">
        <f>'Working Capital'!V8</f>
        <v>2.3174787973140747</v>
      </c>
      <c r="X21" s="3">
        <f>'Working Capital'!W8</f>
        <v>2.3302092041085554</v>
      </c>
      <c r="Y21" s="3">
        <f>'Working Capital'!X8</f>
        <v>2.3436677901716809</v>
      </c>
      <c r="Z21" s="3">
        <f>'Working Capital'!Y8</f>
        <v>2.3578962073576166</v>
      </c>
      <c r="AA21" s="3">
        <f>'Working Capital'!Z8</f>
        <v>2.3729384900065886</v>
      </c>
      <c r="AB21" s="3">
        <f>'Working Capital'!AA8</f>
        <v>2.3888411912230811</v>
      </c>
      <c r="AC21" s="3"/>
    </row>
    <row r="22" spans="1:29" x14ac:dyDescent="0.3">
      <c r="A22" t="s">
        <v>19</v>
      </c>
      <c r="B22" t="s">
        <v>15</v>
      </c>
      <c r="D22" s="3">
        <f>Assumptions!$F$20*Assumptions!$F$21/100</f>
        <v>31.801199999999998</v>
      </c>
      <c r="E22" s="3">
        <f>Assumptions!$F$20*Assumptions!$F$21/100</f>
        <v>31.801199999999998</v>
      </c>
      <c r="F22" s="3">
        <f>Assumptions!$F$20*Assumptions!$F$21/100</f>
        <v>31.801199999999998</v>
      </c>
      <c r="G22" s="3">
        <f>Assumptions!$F$20*Assumptions!$F$21/100</f>
        <v>31.801199999999998</v>
      </c>
      <c r="H22" s="3">
        <f>Assumptions!$F$20*Assumptions!$F$21/100</f>
        <v>31.801199999999998</v>
      </c>
      <c r="I22" s="3">
        <f>Assumptions!$F$20*Assumptions!$F$21/100</f>
        <v>31.801199999999998</v>
      </c>
      <c r="J22" s="3">
        <f>Assumptions!$F$20*Assumptions!$F$21/100</f>
        <v>31.801199999999998</v>
      </c>
      <c r="K22" s="3">
        <f>Assumptions!$F$20*Assumptions!$F$21/100</f>
        <v>31.801199999999998</v>
      </c>
      <c r="L22" s="3">
        <f>Assumptions!$F$20*Assumptions!$F$21/100</f>
        <v>31.801199999999998</v>
      </c>
      <c r="M22" s="3">
        <f>Assumptions!$F$20*Assumptions!$F$21/100</f>
        <v>31.801199999999998</v>
      </c>
      <c r="N22" s="3">
        <f>Assumptions!$F$20*Assumptions!$F$22/100</f>
        <v>38.161439999999999</v>
      </c>
      <c r="O22" s="3">
        <f>Assumptions!$F$20*Assumptions!$F$22/100</f>
        <v>38.161439999999999</v>
      </c>
      <c r="P22" s="3">
        <f>Assumptions!$F$20*Assumptions!$F$22/100</f>
        <v>38.161439999999999</v>
      </c>
      <c r="Q22" s="3">
        <f>Assumptions!$F$20*Assumptions!$F$22/100</f>
        <v>38.161439999999999</v>
      </c>
      <c r="R22" s="3">
        <f>Assumptions!$F$20*Assumptions!$F$22/100</f>
        <v>38.161439999999999</v>
      </c>
      <c r="S22" s="3">
        <f>Assumptions!$F$20*Assumptions!$F$22/100</f>
        <v>38.161439999999999</v>
      </c>
      <c r="T22" s="3">
        <f>Assumptions!$F$20*Assumptions!$F$22/100</f>
        <v>38.161439999999999</v>
      </c>
      <c r="U22" s="3">
        <f>Assumptions!$F$20*Assumptions!$F$22/100</f>
        <v>38.161439999999999</v>
      </c>
      <c r="V22" s="3">
        <f>Assumptions!$F$20*Assumptions!$F$22/100</f>
        <v>38.161439999999999</v>
      </c>
      <c r="W22" s="3">
        <f>Assumptions!$F$20*Assumptions!$F$22/100</f>
        <v>38.161439999999999</v>
      </c>
      <c r="X22" s="3">
        <f>Assumptions!$F$20*Assumptions!$F$22/100</f>
        <v>38.161439999999999</v>
      </c>
      <c r="Y22" s="3">
        <f>Assumptions!$F$20*Assumptions!$F$22/100</f>
        <v>38.161439999999999</v>
      </c>
      <c r="Z22" s="3">
        <f>Assumptions!$F$20*Assumptions!$F$22/100</f>
        <v>38.161439999999999</v>
      </c>
      <c r="AA22" s="3">
        <f>Assumptions!$F$20*Assumptions!$F$22/100</f>
        <v>38.161439999999999</v>
      </c>
      <c r="AB22" s="3">
        <f>Assumptions!$F$20*Assumptions!$F$22/100</f>
        <v>38.161439999999999</v>
      </c>
      <c r="AC22" s="3"/>
    </row>
    <row r="23" spans="1:29" x14ac:dyDescent="0.3">
      <c r="A23" t="s">
        <v>20</v>
      </c>
      <c r="B23" t="s">
        <v>15</v>
      </c>
      <c r="D23" s="3">
        <f>SUM(D18:D22)</f>
        <v>120.17009928935498</v>
      </c>
      <c r="E23" s="3">
        <f t="shared" ref="E23:AB23" si="7">SUM(E18:E22)</f>
        <v>116.62980817602165</v>
      </c>
      <c r="F23" s="3">
        <f t="shared" si="7"/>
        <v>113.11267301951233</v>
      </c>
      <c r="G23" s="3">
        <f t="shared" si="7"/>
        <v>109.62001834055732</v>
      </c>
      <c r="H23" s="3">
        <f t="shared" si="7"/>
        <v>106.15324442247277</v>
      </c>
      <c r="I23" s="3">
        <f t="shared" si="7"/>
        <v>102.71383164478044</v>
      </c>
      <c r="J23" s="3">
        <f t="shared" si="7"/>
        <v>99.303345064710768</v>
      </c>
      <c r="K23" s="3">
        <f t="shared" si="7"/>
        <v>95.923439260767779</v>
      </c>
      <c r="L23" s="3">
        <f t="shared" si="7"/>
        <v>92.575863453345931</v>
      </c>
      <c r="M23" s="3">
        <f t="shared" si="7"/>
        <v>89.262466918246218</v>
      </c>
      <c r="N23" s="3">
        <f t="shared" si="7"/>
        <v>92.345444709845466</v>
      </c>
      <c r="O23" s="3">
        <f t="shared" si="7"/>
        <v>89.106383711630855</v>
      </c>
      <c r="P23" s="3">
        <f t="shared" si="7"/>
        <v>62.467058044070029</v>
      </c>
      <c r="Q23" s="3">
        <f t="shared" si="7"/>
        <v>63.256195315476518</v>
      </c>
      <c r="R23" s="3">
        <f t="shared" si="7"/>
        <v>64.090471238807453</v>
      </c>
      <c r="S23" s="3">
        <f t="shared" si="7"/>
        <v>64.972467744952922</v>
      </c>
      <c r="T23" s="3">
        <f t="shared" si="7"/>
        <v>65.904914451249908</v>
      </c>
      <c r="U23" s="3">
        <f t="shared" si="7"/>
        <v>66.890697109147084</v>
      </c>
      <c r="V23" s="3">
        <f t="shared" si="7"/>
        <v>67.932866535075974</v>
      </c>
      <c r="W23" s="3">
        <f t="shared" si="7"/>
        <v>69.034648052167995</v>
      </c>
      <c r="X23" s="3">
        <f t="shared" si="7"/>
        <v>70.19945147203768</v>
      </c>
      <c r="Y23" s="3">
        <f t="shared" si="7"/>
        <v>71.430881647523933</v>
      </c>
      <c r="Z23" s="3">
        <f t="shared" si="7"/>
        <v>72.732749629047987</v>
      </c>
      <c r="AA23" s="3">
        <f t="shared" si="7"/>
        <v>74.109084459115195</v>
      </c>
      <c r="AB23" s="3">
        <f t="shared" si="7"/>
        <v>75.564145641462261</v>
      </c>
      <c r="AC23" s="3"/>
    </row>
    <row r="24" spans="1:29" x14ac:dyDescent="0.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s="2" customFormat="1" x14ac:dyDescent="0.3">
      <c r="A25" s="2" t="s">
        <v>67</v>
      </c>
      <c r="AC25" s="5"/>
    </row>
    <row r="26" spans="1:29" x14ac:dyDescent="0.3">
      <c r="A26" t="s">
        <v>54</v>
      </c>
      <c r="C26" s="3">
        <f>SUM(D26:AB26)</f>
        <v>8.6097132355035022</v>
      </c>
      <c r="D26" s="3">
        <f>1/(1+Assumptions!$F$23/100)^Calculations!D1</f>
        <v>0.90334236675700097</v>
      </c>
      <c r="E26" s="3">
        <f>1/(1+Assumptions!$F$23/100)^Calculations!E1</f>
        <v>0.81602743157813995</v>
      </c>
      <c r="F26" s="3">
        <f>1/(1+Assumptions!$F$23/100)^Calculations!F1</f>
        <v>0.73715215138043355</v>
      </c>
      <c r="G26" s="3">
        <f>1/(1+Assumptions!$F$23/100)^Calculations!G1</f>
        <v>0.66590076908801588</v>
      </c>
      <c r="H26" s="3">
        <f>1/(1+Assumptions!$F$23/100)^Calculations!H1</f>
        <v>0.60153637677327532</v>
      </c>
      <c r="I26" s="3">
        <f>1/(1+Assumptions!$F$23/100)^Calculations!I1</f>
        <v>0.54339329428480154</v>
      </c>
      <c r="J26" s="3">
        <f>1/(1+Assumptions!$F$23/100)^Calculations!J1</f>
        <v>0.49087018453911618</v>
      </c>
      <c r="K26" s="3">
        <f>1/(1+Assumptions!$F$23/100)^Calculations!K1</f>
        <v>0.44342383427201099</v>
      </c>
      <c r="L26" s="3">
        <f>1/(1+Assumptions!$F$23/100)^Calculations!L1</f>
        <v>0.40056353592774258</v>
      </c>
      <c r="M26" s="3">
        <f>1/(1+Assumptions!$F$23/100)^Calculations!M1</f>
        <v>0.36184601258151988</v>
      </c>
      <c r="N26" s="3">
        <f>1/(1+Assumptions!$F$23/100)^Calculations!N1</f>
        <v>0.32687083340697376</v>
      </c>
      <c r="O26" s="3">
        <f>1/(1+Assumptions!$F$23/100)^Calculations!O1</f>
        <v>0.29527627227368902</v>
      </c>
      <c r="P26" s="3">
        <f>1/(1+Assumptions!$F$23/100)^Calculations!P1</f>
        <v>0.26673556664289882</v>
      </c>
      <c r="Q26" s="3">
        <f>1/(1+Assumptions!$F$23/100)^Calculations!Q1</f>
        <v>0.24095353806946596</v>
      </c>
      <c r="R26" s="3">
        <f>1/(1+Assumptions!$F$23/100)^Calculations!R1</f>
        <v>0.2176635393581445</v>
      </c>
      <c r="S26" s="3">
        <f>1/(1+Assumptions!$F$23/100)^Calculations!S1</f>
        <v>0.19662469680049188</v>
      </c>
      <c r="T26" s="3">
        <f>1/(1+Assumptions!$F$23/100)^Calculations!T1</f>
        <v>0.17761941897063405</v>
      </c>
      <c r="U26" s="3">
        <f>1/(1+Assumptions!$F$23/100)^Calculations!U1</f>
        <v>0.1604511463149359</v>
      </c>
      <c r="V26" s="3">
        <f>1/(1+Assumptions!$F$23/100)^Calculations!V1</f>
        <v>0.14494231826100806</v>
      </c>
      <c r="W26" s="3">
        <f>1/(1+Assumptions!$F$23/100)^Calculations!W1</f>
        <v>0.13093253682114547</v>
      </c>
      <c r="X26" s="3">
        <f>1/(1+Assumptions!$F$23/100)^Calculations!X1</f>
        <v>0.11827690769751172</v>
      </c>
      <c r="Y26" s="3">
        <f>1/(1+Assumptions!$F$23/100)^Calculations!Y1</f>
        <v>0.10684454173216958</v>
      </c>
      <c r="Z26" s="3">
        <f>1/(1+Assumptions!$F$23/100)^Calculations!Z1</f>
        <v>9.651720120340522E-2</v>
      </c>
      <c r="AA26" s="3">
        <f>1/(1+Assumptions!$F$23/100)^Calculations!AA1</f>
        <v>8.7188076967845723E-2</v>
      </c>
      <c r="AB26" s="3">
        <f>1/(1+Assumptions!$F$23/100)^Calculations!AB1</f>
        <v>7.8760683801125317E-2</v>
      </c>
    </row>
    <row r="27" spans="1:29" x14ac:dyDescent="0.3">
      <c r="D27" s="3"/>
      <c r="E27" s="3"/>
      <c r="F27" s="3"/>
      <c r="G27" s="3"/>
      <c r="H27" s="3"/>
      <c r="I27" s="3"/>
      <c r="J27" s="3"/>
      <c r="K27" s="3"/>
      <c r="L27" s="3"/>
      <c r="M27" s="3"/>
      <c r="N27" s="3"/>
      <c r="O27" s="3"/>
      <c r="P27" s="3"/>
      <c r="Q27" s="3"/>
      <c r="R27" s="3"/>
      <c r="S27" s="3"/>
      <c r="T27" s="3"/>
      <c r="U27" s="3"/>
      <c r="V27" s="3"/>
      <c r="W27" s="3"/>
      <c r="X27" s="3"/>
      <c r="Y27" s="3"/>
      <c r="Z27" s="3"/>
      <c r="AA27" s="3"/>
      <c r="AB27"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B47"/>
  <sheetViews>
    <sheetView topLeftCell="H1" workbookViewId="0">
      <selection activeCell="AB5" sqref="AB5"/>
    </sheetView>
  </sheetViews>
  <sheetFormatPr defaultRowHeight="14.4" x14ac:dyDescent="0.3"/>
  <cols>
    <col min="28" max="28" width="16" bestFit="1" customWidth="1"/>
  </cols>
  <sheetData>
    <row r="1" spans="1:28" x14ac:dyDescent="0.3">
      <c r="B1" s="22" t="s">
        <v>74</v>
      </c>
      <c r="C1" s="22"/>
      <c r="D1" s="22"/>
      <c r="E1" s="22"/>
      <c r="F1" s="22"/>
      <c r="G1" s="22"/>
      <c r="H1" s="22"/>
      <c r="I1" s="22"/>
      <c r="J1" s="22"/>
      <c r="K1" s="22"/>
      <c r="L1" s="22"/>
      <c r="M1" s="22"/>
      <c r="P1" s="23" t="s">
        <v>73</v>
      </c>
      <c r="Q1" s="23"/>
      <c r="R1" s="23"/>
      <c r="S1" s="23"/>
      <c r="T1" s="23"/>
      <c r="U1" s="23"/>
      <c r="V1" s="23"/>
      <c r="W1" s="23"/>
      <c r="X1" s="23"/>
      <c r="Y1" s="23"/>
      <c r="Z1" s="23"/>
      <c r="AA1" s="23"/>
    </row>
    <row r="2" spans="1:28" x14ac:dyDescent="0.3">
      <c r="B2" s="6" t="s">
        <v>3</v>
      </c>
    </row>
    <row r="3" spans="1:28" s="2" customFormat="1" x14ac:dyDescent="0.3">
      <c r="A3" s="2" t="s">
        <v>55</v>
      </c>
      <c r="B3" s="2">
        <v>1</v>
      </c>
      <c r="C3" s="2">
        <v>2</v>
      </c>
      <c r="D3" s="2">
        <v>3</v>
      </c>
      <c r="E3" s="2">
        <v>4</v>
      </c>
      <c r="F3" s="2">
        <v>5</v>
      </c>
      <c r="G3" s="2">
        <v>6</v>
      </c>
      <c r="H3" s="2">
        <v>7</v>
      </c>
      <c r="I3" s="2">
        <v>8</v>
      </c>
      <c r="J3" s="2">
        <v>9</v>
      </c>
      <c r="K3" s="2">
        <v>10</v>
      </c>
      <c r="L3" s="2">
        <v>11</v>
      </c>
      <c r="M3" s="2">
        <v>12</v>
      </c>
      <c r="O3" s="2" t="s">
        <v>72</v>
      </c>
      <c r="P3" s="2">
        <v>1</v>
      </c>
      <c r="Q3" s="2">
        <v>2</v>
      </c>
      <c r="R3" s="2">
        <v>3</v>
      </c>
      <c r="S3" s="2">
        <v>4</v>
      </c>
      <c r="T3" s="2">
        <v>5</v>
      </c>
      <c r="U3" s="2">
        <v>6</v>
      </c>
      <c r="V3" s="2">
        <v>7</v>
      </c>
      <c r="W3" s="2">
        <v>8</v>
      </c>
      <c r="X3" s="2">
        <v>9</v>
      </c>
      <c r="Y3" s="2">
        <v>10</v>
      </c>
      <c r="Z3" s="2">
        <v>11</v>
      </c>
      <c r="AA3" s="2">
        <v>12</v>
      </c>
      <c r="AB3" s="2">
        <v>13</v>
      </c>
    </row>
    <row r="4" spans="1:28" x14ac:dyDescent="0.3">
      <c r="A4">
        <v>1</v>
      </c>
      <c r="B4">
        <f>Assumptions!F15</f>
        <v>371.01399999999995</v>
      </c>
      <c r="C4">
        <f>B15-$B$4/(12*12)</f>
        <v>340.09616666666631</v>
      </c>
      <c r="D4">
        <f t="shared" ref="D4:M4" si="0">C15-$B$4/(12*12)</f>
        <v>309.17833333333266</v>
      </c>
      <c r="E4">
        <f t="shared" si="0"/>
        <v>278.26049999999901</v>
      </c>
      <c r="F4">
        <f t="shared" si="0"/>
        <v>247.34266666666548</v>
      </c>
      <c r="G4">
        <f t="shared" si="0"/>
        <v>216.42483333333217</v>
      </c>
      <c r="H4">
        <f t="shared" si="0"/>
        <v>185.50699999999887</v>
      </c>
      <c r="I4">
        <f t="shared" si="0"/>
        <v>154.58916666666556</v>
      </c>
      <c r="J4">
        <f t="shared" si="0"/>
        <v>123.67133333333226</v>
      </c>
      <c r="K4">
        <f t="shared" si="0"/>
        <v>92.753499999998951</v>
      </c>
      <c r="L4">
        <f t="shared" si="0"/>
        <v>61.835666666665645</v>
      </c>
      <c r="M4">
        <f t="shared" si="0"/>
        <v>30.917833333332339</v>
      </c>
      <c r="O4" t="s">
        <v>76</v>
      </c>
      <c r="P4">
        <f>loan_principal</f>
        <v>371.01399999999995</v>
      </c>
      <c r="Q4">
        <f t="shared" ref="Q4:AA4" si="1">IF(Q3&gt;loan_moratorium+1,P4-$P$4/(term_tenor-loan_moratorium),loan_principal)</f>
        <v>340.09616666666665</v>
      </c>
      <c r="R4">
        <f t="shared" si="1"/>
        <v>309.17833333333334</v>
      </c>
      <c r="S4">
        <f t="shared" si="1"/>
        <v>278.26050000000004</v>
      </c>
      <c r="T4">
        <f t="shared" si="1"/>
        <v>247.3426666666667</v>
      </c>
      <c r="U4">
        <f t="shared" si="1"/>
        <v>216.42483333333337</v>
      </c>
      <c r="V4">
        <f t="shared" si="1"/>
        <v>185.50700000000003</v>
      </c>
      <c r="W4">
        <f t="shared" si="1"/>
        <v>154.5891666666667</v>
      </c>
      <c r="X4">
        <f t="shared" si="1"/>
        <v>123.67133333333337</v>
      </c>
      <c r="Y4">
        <f t="shared" si="1"/>
        <v>92.753500000000031</v>
      </c>
      <c r="Z4">
        <f t="shared" si="1"/>
        <v>61.835666666666697</v>
      </c>
      <c r="AA4">
        <f t="shared" si="1"/>
        <v>30.917833333333366</v>
      </c>
      <c r="AB4" s="3">
        <f>AA4+AA5-AA7</f>
        <v>0</v>
      </c>
    </row>
    <row r="5" spans="1:28" x14ac:dyDescent="0.3">
      <c r="A5">
        <v>2</v>
      </c>
      <c r="B5">
        <f>B4-$B$4/(12*12)</f>
        <v>368.43751388888882</v>
      </c>
      <c r="C5">
        <f t="shared" ref="C5:M15" si="2">C4-$B$4/(12*12)</f>
        <v>337.51968055555517</v>
      </c>
      <c r="D5">
        <f t="shared" si="2"/>
        <v>306.60184722222152</v>
      </c>
      <c r="E5">
        <f t="shared" si="2"/>
        <v>275.68401388888788</v>
      </c>
      <c r="F5">
        <f t="shared" si="2"/>
        <v>244.76618055555437</v>
      </c>
      <c r="G5">
        <f t="shared" si="2"/>
        <v>213.84834722222107</v>
      </c>
      <c r="H5">
        <f t="shared" si="2"/>
        <v>182.93051388888776</v>
      </c>
      <c r="I5">
        <f t="shared" si="2"/>
        <v>152.01268055555445</v>
      </c>
      <c r="J5">
        <f t="shared" si="2"/>
        <v>121.09484722222115</v>
      </c>
      <c r="K5">
        <f t="shared" si="2"/>
        <v>90.177013888887842</v>
      </c>
      <c r="L5">
        <f t="shared" si="2"/>
        <v>59.259180555554536</v>
      </c>
      <c r="M5">
        <f t="shared" si="2"/>
        <v>28.341347222221231</v>
      </c>
      <c r="O5" t="s">
        <v>78</v>
      </c>
      <c r="P5">
        <f>P4*Assumptions!$F$18/100</f>
        <v>47.34138639999999</v>
      </c>
      <c r="Q5">
        <f>Q4*Assumptions!$F$18/100</f>
        <v>43.396270866666661</v>
      </c>
      <c r="R5">
        <f>R4*Assumptions!$F$18/100</f>
        <v>39.451155333333332</v>
      </c>
      <c r="S5">
        <f>S4*Assumptions!$F$18/100</f>
        <v>35.506039800000003</v>
      </c>
      <c r="T5">
        <f>T4*Assumptions!$F$18/100</f>
        <v>31.560924266666671</v>
      </c>
      <c r="U5">
        <f>U4*Assumptions!$F$18/100</f>
        <v>27.615808733333338</v>
      </c>
      <c r="V5">
        <f>V4*Assumptions!$F$18/100</f>
        <v>23.670693200000006</v>
      </c>
      <c r="W5">
        <f>W4*Assumptions!$F$18/100</f>
        <v>19.72557766666667</v>
      </c>
      <c r="X5">
        <f>X4*Assumptions!$F$18/100</f>
        <v>15.780462133333337</v>
      </c>
      <c r="Y5">
        <f>Y4*Assumptions!$F$18/100</f>
        <v>11.835346600000005</v>
      </c>
      <c r="Z5">
        <f>Z4*Assumptions!$F$18/100</f>
        <v>7.8902310666666695</v>
      </c>
      <c r="AA5">
        <f>AA4*Assumptions!$F$18/100</f>
        <v>3.9451155333333374</v>
      </c>
    </row>
    <row r="6" spans="1:28" x14ac:dyDescent="0.3">
      <c r="A6">
        <v>3</v>
      </c>
      <c r="B6">
        <f>B5-$B$4/(12*12)</f>
        <v>365.86102777777768</v>
      </c>
      <c r="C6">
        <f t="shared" si="2"/>
        <v>334.94319444444403</v>
      </c>
      <c r="D6">
        <f t="shared" si="2"/>
        <v>304.02536111111039</v>
      </c>
      <c r="E6">
        <f t="shared" si="2"/>
        <v>273.10752777777674</v>
      </c>
      <c r="F6">
        <f t="shared" si="2"/>
        <v>242.18969444444326</v>
      </c>
      <c r="G6">
        <f t="shared" si="2"/>
        <v>211.27186111110996</v>
      </c>
      <c r="H6">
        <f t="shared" si="2"/>
        <v>180.35402777777665</v>
      </c>
      <c r="I6">
        <f t="shared" si="2"/>
        <v>149.43619444444334</v>
      </c>
      <c r="J6">
        <f t="shared" si="2"/>
        <v>118.51836111111004</v>
      </c>
      <c r="K6">
        <f t="shared" si="2"/>
        <v>87.600527777776733</v>
      </c>
      <c r="L6">
        <f t="shared" si="2"/>
        <v>56.682694444443428</v>
      </c>
      <c r="M6">
        <f t="shared" si="2"/>
        <v>25.764861111110122</v>
      </c>
      <c r="O6" t="s">
        <v>77</v>
      </c>
      <c r="P6">
        <f t="shared" ref="P6:AA6" si="3">IF(P3&gt;loan_moratorium,$P$4/(term_tenor-loan_moratorium),0)</f>
        <v>30.917833333333331</v>
      </c>
      <c r="Q6">
        <f t="shared" si="3"/>
        <v>30.917833333333331</v>
      </c>
      <c r="R6">
        <f t="shared" si="3"/>
        <v>30.917833333333331</v>
      </c>
      <c r="S6">
        <f t="shared" si="3"/>
        <v>30.917833333333331</v>
      </c>
      <c r="T6">
        <f t="shared" si="3"/>
        <v>30.917833333333331</v>
      </c>
      <c r="U6">
        <f t="shared" si="3"/>
        <v>30.917833333333331</v>
      </c>
      <c r="V6">
        <f t="shared" si="3"/>
        <v>30.917833333333331</v>
      </c>
      <c r="W6">
        <f t="shared" si="3"/>
        <v>30.917833333333331</v>
      </c>
      <c r="X6">
        <f t="shared" si="3"/>
        <v>30.917833333333331</v>
      </c>
      <c r="Y6">
        <f t="shared" si="3"/>
        <v>30.917833333333331</v>
      </c>
      <c r="Z6">
        <f t="shared" si="3"/>
        <v>30.917833333333331</v>
      </c>
      <c r="AA6">
        <f t="shared" si="3"/>
        <v>30.917833333333331</v>
      </c>
    </row>
    <row r="7" spans="1:28" x14ac:dyDescent="0.3">
      <c r="A7">
        <v>4</v>
      </c>
      <c r="B7">
        <f>B6-$B$4/(12*12)</f>
        <v>363.28454166666654</v>
      </c>
      <c r="C7">
        <f t="shared" si="2"/>
        <v>332.36670833333289</v>
      </c>
      <c r="D7">
        <f t="shared" si="2"/>
        <v>301.44887499999925</v>
      </c>
      <c r="E7">
        <f t="shared" si="2"/>
        <v>270.5310416666656</v>
      </c>
      <c r="F7">
        <f t="shared" si="2"/>
        <v>239.61320833333215</v>
      </c>
      <c r="G7">
        <f t="shared" si="2"/>
        <v>208.69537499999885</v>
      </c>
      <c r="H7">
        <f t="shared" si="2"/>
        <v>177.77754166666554</v>
      </c>
      <c r="I7">
        <f t="shared" si="2"/>
        <v>146.85970833333224</v>
      </c>
      <c r="J7">
        <f t="shared" si="2"/>
        <v>115.94187499999893</v>
      </c>
      <c r="K7">
        <f t="shared" si="2"/>
        <v>85.024041666665624</v>
      </c>
      <c r="L7">
        <f t="shared" si="2"/>
        <v>54.106208333332319</v>
      </c>
      <c r="M7">
        <f t="shared" si="2"/>
        <v>23.188374999999013</v>
      </c>
      <c r="O7" t="s">
        <v>75</v>
      </c>
      <c r="P7">
        <f>IF(P3&gt;loan_moratorium,SUM(P5:P6),P5)</f>
        <v>78.259219733333325</v>
      </c>
      <c r="Q7">
        <f t="shared" ref="Q7" si="4">IF(Q3&gt;loan_moratorium,SUM(Q5:Q6),Q5)</f>
        <v>74.314104199999989</v>
      </c>
      <c r="R7">
        <f t="shared" ref="R7" si="5">IF(R3&gt;loan_moratorium,SUM(R5:R6),R5)</f>
        <v>70.368988666666667</v>
      </c>
      <c r="S7">
        <f t="shared" ref="S7" si="6">IF(S3&gt;loan_moratorium,SUM(S5:S6),S5)</f>
        <v>66.423873133333331</v>
      </c>
      <c r="T7">
        <f t="shared" ref="T7" si="7">IF(T3&gt;loan_moratorium,SUM(T5:T6),T5)</f>
        <v>62.478757600000002</v>
      </c>
      <c r="U7">
        <f t="shared" ref="U7" si="8">IF(U3&gt;loan_moratorium,SUM(U5:U6),U5)</f>
        <v>58.533642066666673</v>
      </c>
      <c r="V7">
        <f t="shared" ref="V7" si="9">IF(V3&gt;loan_moratorium,SUM(V5:V6),V5)</f>
        <v>54.588526533333336</v>
      </c>
      <c r="W7">
        <f t="shared" ref="W7" si="10">IF(W3&gt;loan_moratorium,SUM(W5:W6),W5)</f>
        <v>50.643411</v>
      </c>
      <c r="X7">
        <f t="shared" ref="X7" si="11">IF(X3&gt;loan_moratorium,SUM(X5:X6),X5)</f>
        <v>46.698295466666664</v>
      </c>
      <c r="Y7">
        <f t="shared" ref="Y7" si="12">IF(Y3&gt;loan_moratorium,SUM(Y5:Y6),Y5)</f>
        <v>42.753179933333335</v>
      </c>
      <c r="Z7">
        <f t="shared" ref="Z7" si="13">IF(Z3&gt;loan_moratorium,SUM(Z5:Z6),Z5)</f>
        <v>38.808064399999999</v>
      </c>
      <c r="AA7">
        <f t="shared" ref="AA7" si="14">IF(AA3&gt;loan_moratorium,SUM(AA5:AA6),AA5)</f>
        <v>34.86294886666667</v>
      </c>
    </row>
    <row r="8" spans="1:28" x14ac:dyDescent="0.3">
      <c r="A8">
        <v>5</v>
      </c>
      <c r="B8">
        <f t="shared" ref="B8:B15" si="15">B7-$B$4/(12*12)</f>
        <v>360.7080555555554</v>
      </c>
      <c r="C8">
        <f t="shared" si="2"/>
        <v>329.79022222222176</v>
      </c>
      <c r="D8">
        <f t="shared" si="2"/>
        <v>298.87238888888811</v>
      </c>
      <c r="E8">
        <f t="shared" si="2"/>
        <v>267.95455555555446</v>
      </c>
      <c r="F8">
        <f t="shared" si="2"/>
        <v>237.03672222222104</v>
      </c>
      <c r="G8">
        <f t="shared" si="2"/>
        <v>206.11888888888774</v>
      </c>
      <c r="H8">
        <f t="shared" si="2"/>
        <v>175.20105555555443</v>
      </c>
      <c r="I8">
        <f t="shared" si="2"/>
        <v>144.28322222222113</v>
      </c>
      <c r="J8">
        <f t="shared" si="2"/>
        <v>113.36538888888782</v>
      </c>
      <c r="K8">
        <f t="shared" si="2"/>
        <v>82.447555555554516</v>
      </c>
      <c r="L8">
        <f t="shared" si="2"/>
        <v>51.52972222222121</v>
      </c>
      <c r="M8">
        <f t="shared" si="2"/>
        <v>20.611888888887904</v>
      </c>
    </row>
    <row r="9" spans="1:28" x14ac:dyDescent="0.3">
      <c r="A9">
        <v>6</v>
      </c>
      <c r="B9">
        <f t="shared" si="15"/>
        <v>358.13156944444427</v>
      </c>
      <c r="C9">
        <f t="shared" si="2"/>
        <v>327.21373611111062</v>
      </c>
      <c r="D9">
        <f t="shared" si="2"/>
        <v>296.29590277777697</v>
      </c>
      <c r="E9">
        <f t="shared" si="2"/>
        <v>265.37806944444333</v>
      </c>
      <c r="F9">
        <f t="shared" si="2"/>
        <v>234.46023611110994</v>
      </c>
      <c r="G9">
        <f t="shared" si="2"/>
        <v>203.54240277777663</v>
      </c>
      <c r="H9">
        <f t="shared" si="2"/>
        <v>172.62456944444332</v>
      </c>
      <c r="I9">
        <f t="shared" si="2"/>
        <v>141.70673611111002</v>
      </c>
      <c r="J9">
        <f t="shared" si="2"/>
        <v>110.78890277777671</v>
      </c>
      <c r="K9">
        <f t="shared" si="2"/>
        <v>79.871069444443407</v>
      </c>
      <c r="L9">
        <f t="shared" si="2"/>
        <v>48.953236111110101</v>
      </c>
      <c r="M9">
        <f t="shared" si="2"/>
        <v>18.035402777776795</v>
      </c>
    </row>
    <row r="10" spans="1:28" x14ac:dyDescent="0.3">
      <c r="A10">
        <v>7</v>
      </c>
      <c r="B10">
        <f t="shared" si="15"/>
        <v>355.55508333333313</v>
      </c>
      <c r="C10">
        <f t="shared" si="2"/>
        <v>324.63724999999948</v>
      </c>
      <c r="D10">
        <f t="shared" si="2"/>
        <v>293.71941666666584</v>
      </c>
      <c r="E10">
        <f t="shared" si="2"/>
        <v>262.80158333333219</v>
      </c>
      <c r="F10">
        <f t="shared" si="2"/>
        <v>231.88374999999883</v>
      </c>
      <c r="G10">
        <f t="shared" si="2"/>
        <v>200.96591666666552</v>
      </c>
      <c r="H10">
        <f t="shared" si="2"/>
        <v>170.04808333333222</v>
      </c>
      <c r="I10">
        <f t="shared" si="2"/>
        <v>139.13024999999891</v>
      </c>
      <c r="J10">
        <f t="shared" si="2"/>
        <v>108.2124166666656</v>
      </c>
      <c r="K10">
        <f t="shared" si="2"/>
        <v>77.294583333332298</v>
      </c>
      <c r="L10">
        <f t="shared" si="2"/>
        <v>46.376749999998992</v>
      </c>
      <c r="M10">
        <f t="shared" si="2"/>
        <v>15.458916666665685</v>
      </c>
    </row>
    <row r="11" spans="1:28" x14ac:dyDescent="0.3">
      <c r="A11">
        <v>8</v>
      </c>
      <c r="B11">
        <f t="shared" si="15"/>
        <v>352.97859722222199</v>
      </c>
      <c r="C11">
        <f t="shared" si="2"/>
        <v>322.06076388888835</v>
      </c>
      <c r="D11">
        <f t="shared" si="2"/>
        <v>291.1429305555547</v>
      </c>
      <c r="E11">
        <f t="shared" si="2"/>
        <v>260.22509722222105</v>
      </c>
      <c r="F11">
        <f t="shared" si="2"/>
        <v>229.30726388888772</v>
      </c>
      <c r="G11">
        <f t="shared" si="2"/>
        <v>198.38943055555441</v>
      </c>
      <c r="H11">
        <f t="shared" si="2"/>
        <v>167.47159722222111</v>
      </c>
      <c r="I11">
        <f t="shared" si="2"/>
        <v>136.5537638888878</v>
      </c>
      <c r="J11">
        <f t="shared" si="2"/>
        <v>105.63593055555449</v>
      </c>
      <c r="K11">
        <f t="shared" si="2"/>
        <v>74.718097222221189</v>
      </c>
      <c r="L11">
        <f t="shared" si="2"/>
        <v>43.800263888887883</v>
      </c>
      <c r="M11">
        <f t="shared" si="2"/>
        <v>12.882430555554574</v>
      </c>
    </row>
    <row r="12" spans="1:28" x14ac:dyDescent="0.3">
      <c r="A12">
        <v>9</v>
      </c>
      <c r="B12">
        <f>B11-$B$4/(12*12)</f>
        <v>350.40211111111086</v>
      </c>
      <c r="C12">
        <f t="shared" si="2"/>
        <v>319.48427777777721</v>
      </c>
      <c r="D12">
        <f t="shared" si="2"/>
        <v>288.56644444444356</v>
      </c>
      <c r="E12">
        <f t="shared" si="2"/>
        <v>257.64861111110991</v>
      </c>
      <c r="F12">
        <f t="shared" si="2"/>
        <v>226.73077777777661</v>
      </c>
      <c r="G12">
        <f t="shared" si="2"/>
        <v>195.8129444444433</v>
      </c>
      <c r="H12">
        <f t="shared" si="2"/>
        <v>164.89511111111</v>
      </c>
      <c r="I12">
        <f t="shared" si="2"/>
        <v>133.97727777777669</v>
      </c>
      <c r="J12">
        <f t="shared" si="2"/>
        <v>103.05944444444339</v>
      </c>
      <c r="K12">
        <f t="shared" si="2"/>
        <v>72.14161111111008</v>
      </c>
      <c r="L12">
        <f t="shared" si="2"/>
        <v>41.223777777776775</v>
      </c>
      <c r="M12">
        <f t="shared" si="2"/>
        <v>10.305944444443464</v>
      </c>
    </row>
    <row r="13" spans="1:28" x14ac:dyDescent="0.3">
      <c r="A13">
        <v>10</v>
      </c>
      <c r="B13">
        <f t="shared" si="15"/>
        <v>347.82562499999972</v>
      </c>
      <c r="C13">
        <f t="shared" si="2"/>
        <v>316.90779166666607</v>
      </c>
      <c r="D13">
        <f t="shared" si="2"/>
        <v>285.98995833333242</v>
      </c>
      <c r="E13">
        <f t="shared" si="2"/>
        <v>255.07212499999881</v>
      </c>
      <c r="F13">
        <f t="shared" si="2"/>
        <v>224.1542916666655</v>
      </c>
      <c r="G13">
        <f t="shared" si="2"/>
        <v>193.23645833333219</v>
      </c>
      <c r="H13">
        <f t="shared" si="2"/>
        <v>162.31862499999889</v>
      </c>
      <c r="I13">
        <f t="shared" si="2"/>
        <v>131.40079166666558</v>
      </c>
      <c r="J13">
        <f t="shared" si="2"/>
        <v>100.48295833333228</v>
      </c>
      <c r="K13">
        <f t="shared" si="2"/>
        <v>69.565124999998972</v>
      </c>
      <c r="L13">
        <f t="shared" si="2"/>
        <v>38.647291666665666</v>
      </c>
      <c r="M13">
        <f t="shared" si="2"/>
        <v>7.729458333332353</v>
      </c>
    </row>
    <row r="14" spans="1:28" x14ac:dyDescent="0.3">
      <c r="A14">
        <v>11</v>
      </c>
      <c r="B14">
        <f t="shared" si="15"/>
        <v>345.24913888888858</v>
      </c>
      <c r="C14">
        <f t="shared" si="2"/>
        <v>314.33130555555493</v>
      </c>
      <c r="D14">
        <f t="shared" si="2"/>
        <v>283.41347222222129</v>
      </c>
      <c r="E14">
        <f t="shared" si="2"/>
        <v>252.4956388888877</v>
      </c>
      <c r="F14">
        <f t="shared" si="2"/>
        <v>221.57780555555439</v>
      </c>
      <c r="G14">
        <f t="shared" si="2"/>
        <v>190.65997222222109</v>
      </c>
      <c r="H14">
        <f t="shared" si="2"/>
        <v>159.74213888888778</v>
      </c>
      <c r="I14">
        <f t="shared" si="2"/>
        <v>128.82430555555447</v>
      </c>
      <c r="J14">
        <f t="shared" si="2"/>
        <v>97.906472222221169</v>
      </c>
      <c r="K14">
        <f t="shared" si="2"/>
        <v>66.988638888887863</v>
      </c>
      <c r="L14">
        <f t="shared" si="2"/>
        <v>36.070805555554557</v>
      </c>
      <c r="M14">
        <f t="shared" si="2"/>
        <v>5.1529722222212424</v>
      </c>
    </row>
    <row r="15" spans="1:28" x14ac:dyDescent="0.3">
      <c r="A15">
        <v>12</v>
      </c>
      <c r="B15">
        <f t="shared" si="15"/>
        <v>342.67265277777744</v>
      </c>
      <c r="C15">
        <f t="shared" si="2"/>
        <v>311.7548194444438</v>
      </c>
      <c r="D15">
        <f t="shared" si="2"/>
        <v>280.83698611111015</v>
      </c>
      <c r="E15">
        <f t="shared" si="2"/>
        <v>249.91915277777659</v>
      </c>
      <c r="F15">
        <f t="shared" si="2"/>
        <v>219.00131944444328</v>
      </c>
      <c r="G15">
        <f t="shared" si="2"/>
        <v>188.08348611110998</v>
      </c>
      <c r="H15">
        <f t="shared" si="2"/>
        <v>157.16565277777667</v>
      </c>
      <c r="I15">
        <f t="shared" si="2"/>
        <v>126.24781944444337</v>
      </c>
      <c r="J15">
        <f t="shared" si="2"/>
        <v>95.32998611111006</v>
      </c>
      <c r="K15">
        <f t="shared" si="2"/>
        <v>64.412152777776754</v>
      </c>
      <c r="L15">
        <f t="shared" si="2"/>
        <v>33.494319444443448</v>
      </c>
      <c r="M15">
        <f t="shared" si="2"/>
        <v>2.5764861111101318</v>
      </c>
    </row>
    <row r="17" spans="1:16" x14ac:dyDescent="0.3">
      <c r="B17" s="6" t="s">
        <v>56</v>
      </c>
      <c r="P17" s="6"/>
    </row>
    <row r="18" spans="1:16" x14ac:dyDescent="0.3">
      <c r="A18">
        <v>1</v>
      </c>
      <c r="B18">
        <f>B4*(Assumptions!$F$18/(100*12))</f>
        <v>3.945115533333333</v>
      </c>
      <c r="C18">
        <f>C4*(Assumptions!$F$18/(100*12))</f>
        <v>3.6163559055555519</v>
      </c>
      <c r="D18">
        <f>D4*(Assumptions!$F$18/(100*12))</f>
        <v>3.2875962777777707</v>
      </c>
      <c r="E18">
        <f>E4*(Assumptions!$F$18/(100*12))</f>
        <v>2.9588366499999896</v>
      </c>
      <c r="F18">
        <f>F4*(Assumptions!$F$18/(100*12))</f>
        <v>2.6300770222222094</v>
      </c>
      <c r="G18">
        <f>G4*(Assumptions!$F$18/(100*12))</f>
        <v>2.3013173944444323</v>
      </c>
      <c r="H18">
        <f>H4*(Assumptions!$F$18/(100*12))</f>
        <v>1.9725577666666545</v>
      </c>
      <c r="I18">
        <f>I4*(Assumptions!$F$18/(100*12))</f>
        <v>1.6437981388888772</v>
      </c>
      <c r="J18">
        <f>J4*(Assumptions!$F$18/(100*12))</f>
        <v>1.3150385111110996</v>
      </c>
      <c r="K18">
        <f>K4*(Assumptions!$F$18/(100*12))</f>
        <v>0.98627888333332214</v>
      </c>
      <c r="L18">
        <f>L4*(Assumptions!$F$18/(100*12))</f>
        <v>0.65751925555554469</v>
      </c>
      <c r="M18">
        <f>M4*(Assumptions!$F$18/(100*12))</f>
        <v>0.32875962777776718</v>
      </c>
    </row>
    <row r="19" spans="1:16" x14ac:dyDescent="0.3">
      <c r="A19">
        <v>2</v>
      </c>
      <c r="B19">
        <f>B5*(Assumptions!$F$18/(100*12))</f>
        <v>3.9177188976851842</v>
      </c>
      <c r="C19">
        <f>C5*(Assumptions!$F$18/(100*12))</f>
        <v>3.5889592699074031</v>
      </c>
      <c r="D19">
        <f>D5*(Assumptions!$F$18/(100*12))</f>
        <v>3.260199642129622</v>
      </c>
      <c r="E19">
        <f>E5*(Assumptions!$F$18/(100*12))</f>
        <v>2.9314400143518409</v>
      </c>
      <c r="F19">
        <f>F5*(Assumptions!$F$18/(100*12))</f>
        <v>2.6026803865740615</v>
      </c>
      <c r="G19">
        <f>G5*(Assumptions!$F$18/(100*12))</f>
        <v>2.273920758796284</v>
      </c>
      <c r="H19">
        <f>H5*(Assumptions!$F$18/(100*12))</f>
        <v>1.9451611310185064</v>
      </c>
      <c r="I19">
        <f>I5*(Assumptions!$F$18/(100*12))</f>
        <v>1.6164015032407291</v>
      </c>
      <c r="J19">
        <f>J5*(Assumptions!$F$18/(100*12))</f>
        <v>1.2876418754629515</v>
      </c>
      <c r="K19">
        <f>K5*(Assumptions!$F$18/(100*12))</f>
        <v>0.95888224768517405</v>
      </c>
      <c r="L19">
        <f>L5*(Assumptions!$F$18/(100*12))</f>
        <v>0.6301226199073966</v>
      </c>
      <c r="M19">
        <f>M5*(Assumptions!$F$18/(100*12))</f>
        <v>0.30136299212961909</v>
      </c>
    </row>
    <row r="20" spans="1:16" x14ac:dyDescent="0.3">
      <c r="A20">
        <v>3</v>
      </c>
      <c r="B20">
        <f>B6*(Assumptions!$F$18/(100*12))</f>
        <v>3.8903222620370359</v>
      </c>
      <c r="C20">
        <f>C6*(Assumptions!$F$18/(100*12))</f>
        <v>3.5615626342592548</v>
      </c>
      <c r="D20">
        <f>D6*(Assumptions!$F$18/(100*12))</f>
        <v>3.2328030064814737</v>
      </c>
      <c r="E20">
        <f>E6*(Assumptions!$F$18/(100*12))</f>
        <v>2.9040433787036926</v>
      </c>
      <c r="F20">
        <f>F6*(Assumptions!$F$18/(100*12))</f>
        <v>2.5752837509259132</v>
      </c>
      <c r="G20">
        <f>G6*(Assumptions!$F$18/(100*12))</f>
        <v>2.2465241231481357</v>
      </c>
      <c r="H20">
        <f>H6*(Assumptions!$F$18/(100*12))</f>
        <v>1.9177644953703583</v>
      </c>
      <c r="I20">
        <f>I6*(Assumptions!$F$18/(100*12))</f>
        <v>1.589004867592581</v>
      </c>
      <c r="J20">
        <f>J6*(Assumptions!$F$18/(100*12))</f>
        <v>1.2602452398148034</v>
      </c>
      <c r="K20">
        <f>K6*(Assumptions!$F$18/(100*12))</f>
        <v>0.93148561203702596</v>
      </c>
      <c r="L20">
        <f>L6*(Assumptions!$F$18/(100*12))</f>
        <v>0.60272598425924839</v>
      </c>
      <c r="M20">
        <f>M6*(Assumptions!$F$18/(100*12))</f>
        <v>0.27396635648147094</v>
      </c>
    </row>
    <row r="21" spans="1:16" x14ac:dyDescent="0.3">
      <c r="A21">
        <v>4</v>
      </c>
      <c r="B21">
        <f>B7*(Assumptions!$F$18/(100*12))</f>
        <v>3.8629256263888876</v>
      </c>
      <c r="C21">
        <f>C7*(Assumptions!$F$18/(100*12))</f>
        <v>3.5341659986111065</v>
      </c>
      <c r="D21">
        <f>D7*(Assumptions!$F$18/(100*12))</f>
        <v>3.2054063708333254</v>
      </c>
      <c r="E21">
        <f>E7*(Assumptions!$F$18/(100*12))</f>
        <v>2.8766467430555442</v>
      </c>
      <c r="F21">
        <f>F7*(Assumptions!$F$18/(100*12))</f>
        <v>2.5478871152777653</v>
      </c>
      <c r="G21">
        <f>G7*(Assumptions!$F$18/(100*12))</f>
        <v>2.2191274874999878</v>
      </c>
      <c r="H21">
        <f>H7*(Assumptions!$F$18/(100*12))</f>
        <v>1.8903678597222102</v>
      </c>
      <c r="I21">
        <f>I7*(Assumptions!$F$18/(100*12))</f>
        <v>1.5616082319444327</v>
      </c>
      <c r="J21">
        <f>J7*(Assumptions!$F$18/(100*12))</f>
        <v>1.2328486041666553</v>
      </c>
      <c r="K21">
        <f>K7*(Assumptions!$F$18/(100*12))</f>
        <v>0.90408897638887775</v>
      </c>
      <c r="L21">
        <f>L7*(Assumptions!$F$18/(100*12))</f>
        <v>0.5753293486111003</v>
      </c>
      <c r="M21">
        <f>M7*(Assumptions!$F$18/(100*12))</f>
        <v>0.24656972083332285</v>
      </c>
    </row>
    <row r="22" spans="1:16" x14ac:dyDescent="0.3">
      <c r="A22">
        <v>5</v>
      </c>
      <c r="B22">
        <f>B8*(Assumptions!$F$18/(100*12))</f>
        <v>3.8355289907407393</v>
      </c>
      <c r="C22">
        <f>C8*(Assumptions!$F$18/(100*12))</f>
        <v>3.5067693629629582</v>
      </c>
      <c r="D22">
        <f>D8*(Assumptions!$F$18/(100*12))</f>
        <v>3.178009735185177</v>
      </c>
      <c r="E22">
        <f>E8*(Assumptions!$F$18/(100*12))</f>
        <v>2.8492501074073959</v>
      </c>
      <c r="F22">
        <f>F8*(Assumptions!$F$18/(100*12))</f>
        <v>2.520490479629617</v>
      </c>
      <c r="G22">
        <f>G8*(Assumptions!$F$18/(100*12))</f>
        <v>2.1917308518518395</v>
      </c>
      <c r="H22">
        <f>H8*(Assumptions!$F$18/(100*12))</f>
        <v>1.8629712240740621</v>
      </c>
      <c r="I22">
        <f>I8*(Assumptions!$F$18/(100*12))</f>
        <v>1.5342115962962846</v>
      </c>
      <c r="J22">
        <f>J8*(Assumptions!$F$18/(100*12))</f>
        <v>1.2054519685185072</v>
      </c>
      <c r="K22">
        <f>K8*(Assumptions!$F$18/(100*12))</f>
        <v>0.87669234074072966</v>
      </c>
      <c r="L22">
        <f>L8*(Assumptions!$F$18/(100*12))</f>
        <v>0.54793271296295221</v>
      </c>
      <c r="M22">
        <f>M8*(Assumptions!$F$18/(100*12))</f>
        <v>0.2191730851851747</v>
      </c>
    </row>
    <row r="23" spans="1:16" x14ac:dyDescent="0.3">
      <c r="A23">
        <v>6</v>
      </c>
      <c r="B23">
        <f>B9*(Assumptions!$F$18/(100*12))</f>
        <v>3.8081323550925905</v>
      </c>
      <c r="C23">
        <f>C9*(Assumptions!$F$18/(100*12))</f>
        <v>3.4793727273148094</v>
      </c>
      <c r="D23">
        <f>D9*(Assumptions!$F$18/(100*12))</f>
        <v>3.1506130995370283</v>
      </c>
      <c r="E23">
        <f>E9*(Assumptions!$F$18/(100*12))</f>
        <v>2.8218534717592472</v>
      </c>
      <c r="F23">
        <f>F9*(Assumptions!$F$18/(100*12))</f>
        <v>2.4930938439814692</v>
      </c>
      <c r="G23">
        <f>G9*(Assumptions!$F$18/(100*12))</f>
        <v>2.1643342162036916</v>
      </c>
      <c r="H23">
        <f>H9*(Assumptions!$F$18/(100*12))</f>
        <v>1.835574588425914</v>
      </c>
      <c r="I23">
        <f>I9*(Assumptions!$F$18/(100*12))</f>
        <v>1.5068149606481365</v>
      </c>
      <c r="J23">
        <f>J9*(Assumptions!$F$18/(100*12))</f>
        <v>1.1780553328703591</v>
      </c>
      <c r="K23">
        <f>K9*(Assumptions!$F$18/(100*12))</f>
        <v>0.84929570509258157</v>
      </c>
      <c r="L23">
        <f>L9*(Assumptions!$F$18/(100*12))</f>
        <v>0.52053607731480411</v>
      </c>
      <c r="M23">
        <f>M9*(Assumptions!$F$18/(100*12))</f>
        <v>0.19177644953702658</v>
      </c>
    </row>
    <row r="24" spans="1:16" x14ac:dyDescent="0.3">
      <c r="A24">
        <v>7</v>
      </c>
      <c r="B24">
        <f>B10*(Assumptions!$F$18/(100*12))</f>
        <v>3.7807357194444422</v>
      </c>
      <c r="C24">
        <f>C10*(Assumptions!$F$18/(100*12))</f>
        <v>3.4519760916666611</v>
      </c>
      <c r="D24">
        <f>D10*(Assumptions!$F$18/(100*12))</f>
        <v>3.12321646388888</v>
      </c>
      <c r="E24">
        <f>E10*(Assumptions!$F$18/(100*12))</f>
        <v>2.7944568361110989</v>
      </c>
      <c r="F24">
        <f>F10*(Assumptions!$F$18/(100*12))</f>
        <v>2.4656972083333208</v>
      </c>
      <c r="G24">
        <f>G10*(Assumptions!$F$18/(100*12))</f>
        <v>2.1369375805555433</v>
      </c>
      <c r="H24">
        <f>H10*(Assumptions!$F$18/(100*12))</f>
        <v>1.8081779527777659</v>
      </c>
      <c r="I24">
        <f>I10*(Assumptions!$F$18/(100*12))</f>
        <v>1.4794183249999884</v>
      </c>
      <c r="J24">
        <f>J10*(Assumptions!$F$18/(100*12))</f>
        <v>1.1506586972222108</v>
      </c>
      <c r="K24">
        <f>K10*(Assumptions!$F$18/(100*12))</f>
        <v>0.82189906944443347</v>
      </c>
      <c r="L24">
        <f>L10*(Assumptions!$F$18/(100*12))</f>
        <v>0.49313944166665596</v>
      </c>
      <c r="M24">
        <f>M10*(Assumptions!$F$18/(100*12))</f>
        <v>0.16437981388887846</v>
      </c>
    </row>
    <row r="25" spans="1:16" x14ac:dyDescent="0.3">
      <c r="A25">
        <v>8</v>
      </c>
      <c r="B25">
        <f>B11*(Assumptions!$F$18/(100*12))</f>
        <v>3.7533390837962939</v>
      </c>
      <c r="C25">
        <f>C11*(Assumptions!$F$18/(100*12))</f>
        <v>3.4245794560185128</v>
      </c>
      <c r="D25">
        <f>D11*(Assumptions!$F$18/(100*12))</f>
        <v>3.0958198282407317</v>
      </c>
      <c r="E25">
        <f>E11*(Assumptions!$F$18/(100*12))</f>
        <v>2.7670602004629505</v>
      </c>
      <c r="F25">
        <f>F11*(Assumptions!$F$18/(100*12))</f>
        <v>2.4383005726851725</v>
      </c>
      <c r="G25">
        <f>G11*(Assumptions!$F$18/(100*12))</f>
        <v>2.1095409449073954</v>
      </c>
      <c r="H25">
        <f>H11*(Assumptions!$F$18/(100*12))</f>
        <v>1.7807813171296178</v>
      </c>
      <c r="I25">
        <f>I11*(Assumptions!$F$18/(100*12))</f>
        <v>1.4520216893518403</v>
      </c>
      <c r="J25">
        <f>J11*(Assumptions!$F$18/(100*12))</f>
        <v>1.1232620615740627</v>
      </c>
      <c r="K25">
        <f>K11*(Assumptions!$F$18/(100*12))</f>
        <v>0.79450243379628527</v>
      </c>
      <c r="L25">
        <f>L11*(Assumptions!$F$18/(100*12))</f>
        <v>0.46574280601850782</v>
      </c>
      <c r="M25">
        <f>M11*(Assumptions!$F$18/(100*12))</f>
        <v>0.13698317824073031</v>
      </c>
    </row>
    <row r="26" spans="1:16" x14ac:dyDescent="0.3">
      <c r="A26">
        <v>9</v>
      </c>
      <c r="B26">
        <f>B12*(Assumptions!$F$18/(100*12))</f>
        <v>3.7259424481481456</v>
      </c>
      <c r="C26">
        <f>C12*(Assumptions!$F$18/(100*12))</f>
        <v>3.3971828203703645</v>
      </c>
      <c r="D26">
        <f>D12*(Assumptions!$F$18/(100*12))</f>
        <v>3.0684231925925833</v>
      </c>
      <c r="E26">
        <f>E12*(Assumptions!$F$18/(100*12))</f>
        <v>2.7396635648148022</v>
      </c>
      <c r="F26">
        <f>F12*(Assumptions!$F$18/(100*12))</f>
        <v>2.4109039370370247</v>
      </c>
      <c r="G26">
        <f>G12*(Assumptions!$F$18/(100*12))</f>
        <v>2.0821443092592471</v>
      </c>
      <c r="H26">
        <f>H12*(Assumptions!$F$18/(100*12))</f>
        <v>1.7533846814814695</v>
      </c>
      <c r="I26">
        <f>I12*(Assumptions!$F$18/(100*12))</f>
        <v>1.4246250537036922</v>
      </c>
      <c r="J26">
        <f>J12*(Assumptions!$F$18/(100*12))</f>
        <v>1.0958654259259146</v>
      </c>
      <c r="K26">
        <f>K12*(Assumptions!$F$18/(100*12))</f>
        <v>0.76710579814813717</v>
      </c>
      <c r="L26">
        <f>L12*(Assumptions!$F$18/(100*12))</f>
        <v>0.43834617037035972</v>
      </c>
      <c r="M26">
        <f>M12*(Assumptions!$F$18/(100*12))</f>
        <v>0.10958654259258216</v>
      </c>
    </row>
    <row r="27" spans="1:16" x14ac:dyDescent="0.3">
      <c r="A27">
        <v>10</v>
      </c>
      <c r="B27">
        <f>B13*(Assumptions!$F$18/(100*12))</f>
        <v>3.6985458124999968</v>
      </c>
      <c r="C27">
        <f>C13*(Assumptions!$F$18/(100*12))</f>
        <v>3.3697861847222157</v>
      </c>
      <c r="D27">
        <f>D13*(Assumptions!$F$18/(100*12))</f>
        <v>3.0410265569444346</v>
      </c>
      <c r="E27">
        <f>E13*(Assumptions!$F$18/(100*12))</f>
        <v>2.7122669291666539</v>
      </c>
      <c r="F27">
        <f>F13*(Assumptions!$F$18/(100*12))</f>
        <v>2.3835073013888763</v>
      </c>
      <c r="G27">
        <f>G13*(Assumptions!$F$18/(100*12))</f>
        <v>2.0547476736110988</v>
      </c>
      <c r="H27">
        <f>H13*(Assumptions!$F$18/(100*12))</f>
        <v>1.7259880458333214</v>
      </c>
      <c r="I27">
        <f>I13*(Assumptions!$F$18/(100*12))</f>
        <v>1.3972284180555441</v>
      </c>
      <c r="J27">
        <f>J13*(Assumptions!$F$18/(100*12))</f>
        <v>1.0684687902777665</v>
      </c>
      <c r="K27">
        <f>K13*(Assumptions!$F$18/(100*12))</f>
        <v>0.73970916249998908</v>
      </c>
      <c r="L27">
        <f>L13*(Assumptions!$F$18/(100*12))</f>
        <v>0.41094953472221157</v>
      </c>
      <c r="M27">
        <f>M13*(Assumptions!$F$18/(100*12))</f>
        <v>8.2189906944434024E-2</v>
      </c>
    </row>
    <row r="28" spans="1:16" x14ac:dyDescent="0.3">
      <c r="A28">
        <v>11</v>
      </c>
      <c r="B28">
        <f>B14*(Assumptions!$F$18/(100*12))</f>
        <v>3.6711491768518485</v>
      </c>
      <c r="C28">
        <f>C14*(Assumptions!$F$18/(100*12))</f>
        <v>3.3423895490740674</v>
      </c>
      <c r="D28">
        <f>D14*(Assumptions!$F$18/(100*12))</f>
        <v>3.0136299212962863</v>
      </c>
      <c r="E28">
        <f>E14*(Assumptions!$F$18/(100*12))</f>
        <v>2.6848702935185056</v>
      </c>
      <c r="F28">
        <f>F14*(Assumptions!$F$18/(100*12))</f>
        <v>2.3561106657407285</v>
      </c>
      <c r="G28">
        <f>G14*(Assumptions!$F$18/(100*12))</f>
        <v>2.0273510379629509</v>
      </c>
      <c r="H28">
        <f>H14*(Assumptions!$F$18/(100*12))</f>
        <v>1.6985914101851733</v>
      </c>
      <c r="I28">
        <f>I14*(Assumptions!$F$18/(100*12))</f>
        <v>1.3698317824073958</v>
      </c>
      <c r="J28">
        <f>J14*(Assumptions!$F$18/(100*12))</f>
        <v>1.0410721546296184</v>
      </c>
      <c r="K28">
        <f>K14*(Assumptions!$F$18/(100*12))</f>
        <v>0.71231252685184088</v>
      </c>
      <c r="L28">
        <f>L14*(Assumptions!$F$18/(100*12))</f>
        <v>0.38355289907406342</v>
      </c>
      <c r="M28">
        <f>M14*(Assumptions!$F$18/(100*12))</f>
        <v>5.4793271296285875E-2</v>
      </c>
    </row>
    <row r="29" spans="1:16" x14ac:dyDescent="0.3">
      <c r="A29">
        <v>12</v>
      </c>
      <c r="B29">
        <f>B15*(Assumptions!$F$18/(100*12))</f>
        <v>3.6437525412037002</v>
      </c>
      <c r="C29">
        <f>C15*(Assumptions!$F$18/(100*12))</f>
        <v>3.3149929134259191</v>
      </c>
      <c r="D29">
        <f>D15*(Assumptions!$F$18/(100*12))</f>
        <v>2.9862332856481379</v>
      </c>
      <c r="E29">
        <f>E15*(Assumptions!$F$18/(100*12))</f>
        <v>2.6574736578703577</v>
      </c>
      <c r="F29">
        <f>F15*(Assumptions!$F$18/(100*12))</f>
        <v>2.3287140300925802</v>
      </c>
      <c r="G29">
        <f>G15*(Assumptions!$F$18/(100*12))</f>
        <v>1.9999544023148028</v>
      </c>
      <c r="H29">
        <f>H15*(Assumptions!$F$18/(100*12))</f>
        <v>1.6711947745370253</v>
      </c>
      <c r="I29">
        <f>I15*(Assumptions!$F$18/(100*12))</f>
        <v>1.3424351467592477</v>
      </c>
      <c r="J29">
        <f>J15*(Assumptions!$F$18/(100*12))</f>
        <v>1.0136755189814703</v>
      </c>
      <c r="K29">
        <f>K15*(Assumptions!$F$18/(100*12))</f>
        <v>0.68491589120369278</v>
      </c>
      <c r="L29">
        <f>L15*(Assumptions!$F$18/(100*12))</f>
        <v>0.35615626342591533</v>
      </c>
      <c r="M29">
        <f>M15*(Assumptions!$F$18/(100*12))</f>
        <v>2.7396635648137733E-2</v>
      </c>
    </row>
    <row r="31" spans="1:16" s="2" customFormat="1" x14ac:dyDescent="0.3">
      <c r="A31" s="2" t="s">
        <v>57</v>
      </c>
      <c r="B31" s="2">
        <f>SUM(B18:B29)</f>
        <v>45.533208447222194</v>
      </c>
      <c r="C31" s="2">
        <f t="shared" ref="C31:M31" si="16">SUM(C18:C29)</f>
        <v>41.588092913888829</v>
      </c>
      <c r="D31" s="2">
        <f t="shared" si="16"/>
        <v>37.64297738055545</v>
      </c>
      <c r="E31" s="2">
        <f t="shared" si="16"/>
        <v>33.697861847222072</v>
      </c>
      <c r="F31" s="2">
        <f t="shared" si="16"/>
        <v>29.752746313888739</v>
      </c>
      <c r="G31" s="2">
        <f t="shared" si="16"/>
        <v>25.807630780555407</v>
      </c>
      <c r="H31" s="2">
        <f t="shared" si="16"/>
        <v>21.862515247222078</v>
      </c>
      <c r="I31" s="2">
        <f t="shared" si="16"/>
        <v>17.917399713888749</v>
      </c>
      <c r="J31" s="2">
        <f t="shared" si="16"/>
        <v>13.97228418055542</v>
      </c>
      <c r="K31" s="2">
        <f t="shared" si="16"/>
        <v>10.027168647222089</v>
      </c>
      <c r="L31" s="2">
        <f t="shared" si="16"/>
        <v>6.0820531138887599</v>
      </c>
      <c r="M31" s="2">
        <f t="shared" si="16"/>
        <v>2.13693758055543</v>
      </c>
    </row>
    <row r="33" spans="1:16" x14ac:dyDescent="0.3">
      <c r="B33" s="6" t="s">
        <v>64</v>
      </c>
      <c r="P33" s="6"/>
    </row>
    <row r="34" spans="1:16" x14ac:dyDescent="0.3">
      <c r="A34">
        <v>1</v>
      </c>
      <c r="B34">
        <f>B18+$B$4/(12*12)</f>
        <v>6.5216016444444431</v>
      </c>
      <c r="C34">
        <f t="shared" ref="C34:M34" si="17">C18+$B$4/(12*12)</f>
        <v>6.1928420166666625</v>
      </c>
      <c r="D34">
        <f t="shared" si="17"/>
        <v>5.8640823888888818</v>
      </c>
      <c r="E34">
        <f t="shared" si="17"/>
        <v>5.5353227611111002</v>
      </c>
      <c r="F34">
        <f t="shared" si="17"/>
        <v>5.2065631333333204</v>
      </c>
      <c r="G34">
        <f t="shared" si="17"/>
        <v>4.8778035055555424</v>
      </c>
      <c r="H34">
        <f t="shared" si="17"/>
        <v>4.5490438777777653</v>
      </c>
      <c r="I34">
        <f t="shared" si="17"/>
        <v>4.2202842499999882</v>
      </c>
      <c r="J34">
        <f t="shared" si="17"/>
        <v>3.8915246222222102</v>
      </c>
      <c r="K34">
        <f t="shared" si="17"/>
        <v>3.5627649944444326</v>
      </c>
      <c r="L34">
        <f t="shared" si="17"/>
        <v>3.2340053666666551</v>
      </c>
      <c r="M34">
        <f t="shared" si="17"/>
        <v>2.9052457388888779</v>
      </c>
    </row>
    <row r="35" spans="1:16" x14ac:dyDescent="0.3">
      <c r="A35">
        <v>2</v>
      </c>
      <c r="B35">
        <f t="shared" ref="B35:M45" si="18">B19+$B$4/(12*12)</f>
        <v>6.4942050087962944</v>
      </c>
      <c r="C35">
        <f t="shared" si="18"/>
        <v>6.1654453810185137</v>
      </c>
      <c r="D35">
        <f t="shared" si="18"/>
        <v>5.836685753240733</v>
      </c>
      <c r="E35">
        <f t="shared" si="18"/>
        <v>5.5079261254629515</v>
      </c>
      <c r="F35">
        <f t="shared" si="18"/>
        <v>5.1791664976851717</v>
      </c>
      <c r="G35">
        <f t="shared" si="18"/>
        <v>4.8504068699073946</v>
      </c>
      <c r="H35">
        <f t="shared" si="18"/>
        <v>4.5216472421296174</v>
      </c>
      <c r="I35">
        <f t="shared" si="18"/>
        <v>4.1928876143518394</v>
      </c>
      <c r="J35">
        <f t="shared" si="18"/>
        <v>3.8641279865740623</v>
      </c>
      <c r="K35">
        <f t="shared" si="18"/>
        <v>3.5353683587962847</v>
      </c>
      <c r="L35">
        <f t="shared" si="18"/>
        <v>3.2066087310185072</v>
      </c>
      <c r="M35">
        <f t="shared" si="18"/>
        <v>2.8778491032407296</v>
      </c>
    </row>
    <row r="36" spans="1:16" x14ac:dyDescent="0.3">
      <c r="A36">
        <v>3</v>
      </c>
      <c r="B36">
        <f t="shared" si="18"/>
        <v>6.4668083731481465</v>
      </c>
      <c r="C36">
        <f t="shared" si="18"/>
        <v>6.1380487453703658</v>
      </c>
      <c r="D36">
        <f t="shared" si="18"/>
        <v>5.8092891175925843</v>
      </c>
      <c r="E36">
        <f t="shared" si="18"/>
        <v>5.4805294898148027</v>
      </c>
      <c r="F36">
        <f t="shared" si="18"/>
        <v>5.1517698620370238</v>
      </c>
      <c r="G36">
        <f t="shared" si="18"/>
        <v>4.8230102342592467</v>
      </c>
      <c r="H36">
        <f t="shared" si="18"/>
        <v>4.4942506064814687</v>
      </c>
      <c r="I36">
        <f t="shared" si="18"/>
        <v>4.1654909787036916</v>
      </c>
      <c r="J36">
        <f t="shared" si="18"/>
        <v>3.836731350925914</v>
      </c>
      <c r="K36">
        <f t="shared" si="18"/>
        <v>3.5079717231481364</v>
      </c>
      <c r="L36">
        <f t="shared" si="18"/>
        <v>3.1792120953703589</v>
      </c>
      <c r="M36">
        <f t="shared" si="18"/>
        <v>2.8504524675925813</v>
      </c>
    </row>
    <row r="37" spans="1:16" x14ac:dyDescent="0.3">
      <c r="A37">
        <v>4</v>
      </c>
      <c r="B37">
        <f t="shared" si="18"/>
        <v>6.4394117374999986</v>
      </c>
      <c r="C37">
        <f t="shared" si="18"/>
        <v>6.1106521097222171</v>
      </c>
      <c r="D37">
        <f t="shared" si="18"/>
        <v>5.7818924819444355</v>
      </c>
      <c r="E37">
        <f t="shared" si="18"/>
        <v>5.4531328541666548</v>
      </c>
      <c r="F37">
        <f t="shared" si="18"/>
        <v>5.1243732263888759</v>
      </c>
      <c r="G37">
        <f t="shared" si="18"/>
        <v>4.7956135986110979</v>
      </c>
      <c r="H37">
        <f t="shared" si="18"/>
        <v>4.4668539708333208</v>
      </c>
      <c r="I37">
        <f t="shared" si="18"/>
        <v>4.1380943430555437</v>
      </c>
      <c r="J37">
        <f t="shared" si="18"/>
        <v>3.8093347152777657</v>
      </c>
      <c r="K37">
        <f t="shared" si="18"/>
        <v>3.4805750874999886</v>
      </c>
      <c r="L37">
        <f t="shared" si="18"/>
        <v>3.151815459722211</v>
      </c>
      <c r="M37">
        <f t="shared" si="18"/>
        <v>2.8230558319444334</v>
      </c>
    </row>
    <row r="38" spans="1:16" x14ac:dyDescent="0.3">
      <c r="A38">
        <v>5</v>
      </c>
      <c r="B38">
        <f t="shared" si="18"/>
        <v>6.4120151018518499</v>
      </c>
      <c r="C38">
        <f t="shared" si="18"/>
        <v>6.0832554740740683</v>
      </c>
      <c r="D38">
        <f t="shared" si="18"/>
        <v>5.7544958462962876</v>
      </c>
      <c r="E38">
        <f t="shared" si="18"/>
        <v>5.425736218518507</v>
      </c>
      <c r="F38">
        <f t="shared" si="18"/>
        <v>5.0969765907407272</v>
      </c>
      <c r="G38">
        <f t="shared" si="18"/>
        <v>4.7682169629629501</v>
      </c>
      <c r="H38">
        <f t="shared" si="18"/>
        <v>4.4394573351851729</v>
      </c>
      <c r="I38">
        <f t="shared" si="18"/>
        <v>4.1106977074073949</v>
      </c>
      <c r="J38">
        <f t="shared" si="18"/>
        <v>3.7819380796296178</v>
      </c>
      <c r="K38">
        <f t="shared" si="18"/>
        <v>3.4531784518518402</v>
      </c>
      <c r="L38">
        <f t="shared" si="18"/>
        <v>3.1244188240740627</v>
      </c>
      <c r="M38">
        <f t="shared" si="18"/>
        <v>2.7956591962962851</v>
      </c>
    </row>
    <row r="39" spans="1:16" x14ac:dyDescent="0.3">
      <c r="A39">
        <v>6</v>
      </c>
      <c r="B39">
        <f t="shared" si="18"/>
        <v>6.3846184662037011</v>
      </c>
      <c r="C39">
        <f t="shared" si="18"/>
        <v>6.0558588384259195</v>
      </c>
      <c r="D39">
        <f t="shared" si="18"/>
        <v>5.7270992106481389</v>
      </c>
      <c r="E39">
        <f t="shared" si="18"/>
        <v>5.3983395828703582</v>
      </c>
      <c r="F39">
        <f t="shared" si="18"/>
        <v>5.0695799550925802</v>
      </c>
      <c r="G39">
        <f t="shared" si="18"/>
        <v>4.7408203273148022</v>
      </c>
      <c r="H39">
        <f t="shared" si="18"/>
        <v>4.4120606995370242</v>
      </c>
      <c r="I39">
        <f t="shared" si="18"/>
        <v>4.0833010717592471</v>
      </c>
      <c r="J39">
        <f t="shared" si="18"/>
        <v>3.7545414439814699</v>
      </c>
      <c r="K39">
        <f t="shared" si="18"/>
        <v>3.4257818162036919</v>
      </c>
      <c r="L39">
        <f t="shared" si="18"/>
        <v>3.0970221884259148</v>
      </c>
      <c r="M39">
        <f t="shared" si="18"/>
        <v>2.7682625606481372</v>
      </c>
    </row>
    <row r="40" spans="1:16" x14ac:dyDescent="0.3">
      <c r="A40">
        <v>7</v>
      </c>
      <c r="B40">
        <f t="shared" si="18"/>
        <v>6.3572218305555523</v>
      </c>
      <c r="C40">
        <f t="shared" si="18"/>
        <v>6.0284622027777717</v>
      </c>
      <c r="D40">
        <f t="shared" si="18"/>
        <v>5.699702574999991</v>
      </c>
      <c r="E40">
        <f t="shared" si="18"/>
        <v>5.3709429472222094</v>
      </c>
      <c r="F40">
        <f t="shared" si="18"/>
        <v>5.0421833194444314</v>
      </c>
      <c r="G40">
        <f t="shared" si="18"/>
        <v>4.7134236916666534</v>
      </c>
      <c r="H40">
        <f t="shared" si="18"/>
        <v>4.3846640638888763</v>
      </c>
      <c r="I40">
        <f t="shared" si="18"/>
        <v>4.0559044361110992</v>
      </c>
      <c r="J40">
        <f t="shared" si="18"/>
        <v>3.7271448083333212</v>
      </c>
      <c r="K40">
        <f t="shared" si="18"/>
        <v>3.3983851805555441</v>
      </c>
      <c r="L40">
        <f t="shared" si="18"/>
        <v>3.0696255527777665</v>
      </c>
      <c r="M40">
        <f t="shared" si="18"/>
        <v>2.7408659249999889</v>
      </c>
    </row>
    <row r="41" spans="1:16" x14ac:dyDescent="0.3">
      <c r="A41">
        <v>8</v>
      </c>
      <c r="B41">
        <f t="shared" si="18"/>
        <v>6.3298251949074045</v>
      </c>
      <c r="C41">
        <f t="shared" si="18"/>
        <v>6.0010655671296238</v>
      </c>
      <c r="D41">
        <f t="shared" si="18"/>
        <v>5.6723059393518422</v>
      </c>
      <c r="E41">
        <f t="shared" si="18"/>
        <v>5.3435463115740607</v>
      </c>
      <c r="F41">
        <f t="shared" si="18"/>
        <v>5.0147866837962827</v>
      </c>
      <c r="G41">
        <f t="shared" si="18"/>
        <v>4.6860270560185064</v>
      </c>
      <c r="H41">
        <f t="shared" si="18"/>
        <v>4.3572674282407284</v>
      </c>
      <c r="I41">
        <f t="shared" si="18"/>
        <v>4.0285078004629504</v>
      </c>
      <c r="J41">
        <f t="shared" si="18"/>
        <v>3.6997481726851733</v>
      </c>
      <c r="K41">
        <f t="shared" si="18"/>
        <v>3.3709885449073957</v>
      </c>
      <c r="L41">
        <f t="shared" si="18"/>
        <v>3.0422289171296182</v>
      </c>
      <c r="M41">
        <f t="shared" si="18"/>
        <v>2.7134692893518411</v>
      </c>
    </row>
    <row r="42" spans="1:16" x14ac:dyDescent="0.3">
      <c r="A42">
        <v>9</v>
      </c>
      <c r="B42">
        <f t="shared" si="18"/>
        <v>6.3024285592592566</v>
      </c>
      <c r="C42">
        <f t="shared" si="18"/>
        <v>5.973668931481475</v>
      </c>
      <c r="D42">
        <f t="shared" si="18"/>
        <v>5.6449093037036935</v>
      </c>
      <c r="E42">
        <f t="shared" si="18"/>
        <v>5.3161496759259128</v>
      </c>
      <c r="F42">
        <f t="shared" si="18"/>
        <v>4.9873900481481357</v>
      </c>
      <c r="G42">
        <f t="shared" si="18"/>
        <v>4.6586304203703577</v>
      </c>
      <c r="H42">
        <f t="shared" si="18"/>
        <v>4.3298707925925797</v>
      </c>
      <c r="I42">
        <f t="shared" si="18"/>
        <v>4.0011111648148026</v>
      </c>
      <c r="J42">
        <f t="shared" si="18"/>
        <v>3.6723515370370254</v>
      </c>
      <c r="K42">
        <f t="shared" si="18"/>
        <v>3.3435919092592479</v>
      </c>
      <c r="L42">
        <f t="shared" si="18"/>
        <v>3.0148322814814703</v>
      </c>
      <c r="M42">
        <f t="shared" si="18"/>
        <v>2.6860726537036927</v>
      </c>
    </row>
    <row r="43" spans="1:16" x14ac:dyDescent="0.3">
      <c r="A43">
        <v>10</v>
      </c>
      <c r="B43">
        <f t="shared" si="18"/>
        <v>6.2750319236111078</v>
      </c>
      <c r="C43">
        <f t="shared" si="18"/>
        <v>5.9462722958333263</v>
      </c>
      <c r="D43">
        <f t="shared" si="18"/>
        <v>5.6175126680555447</v>
      </c>
      <c r="E43">
        <f t="shared" si="18"/>
        <v>5.2887530402777649</v>
      </c>
      <c r="F43">
        <f t="shared" si="18"/>
        <v>4.9599934124999869</v>
      </c>
      <c r="G43">
        <f t="shared" si="18"/>
        <v>4.6312337847222089</v>
      </c>
      <c r="H43">
        <f t="shared" si="18"/>
        <v>4.3024741569444318</v>
      </c>
      <c r="I43">
        <f t="shared" si="18"/>
        <v>3.9737145291666547</v>
      </c>
      <c r="J43">
        <f t="shared" si="18"/>
        <v>3.6449549013888771</v>
      </c>
      <c r="K43">
        <f t="shared" si="18"/>
        <v>3.3161952736110996</v>
      </c>
      <c r="L43">
        <f t="shared" si="18"/>
        <v>2.987435645833322</v>
      </c>
      <c r="M43">
        <f t="shared" si="18"/>
        <v>2.6586760180555444</v>
      </c>
    </row>
    <row r="44" spans="1:16" x14ac:dyDescent="0.3">
      <c r="A44">
        <v>11</v>
      </c>
      <c r="B44">
        <f t="shared" si="18"/>
        <v>6.2476352879629591</v>
      </c>
      <c r="C44">
        <f t="shared" si="18"/>
        <v>5.9188756601851775</v>
      </c>
      <c r="D44">
        <f t="shared" si="18"/>
        <v>5.5901160324073969</v>
      </c>
      <c r="E44">
        <f t="shared" si="18"/>
        <v>5.2613564046296162</v>
      </c>
      <c r="F44">
        <f t="shared" si="18"/>
        <v>4.9325967768518391</v>
      </c>
      <c r="G44">
        <f t="shared" si="18"/>
        <v>4.6038371490740619</v>
      </c>
      <c r="H44">
        <f t="shared" si="18"/>
        <v>4.2750775212962839</v>
      </c>
      <c r="I44">
        <f t="shared" si="18"/>
        <v>3.9463178935185064</v>
      </c>
      <c r="J44">
        <f t="shared" si="18"/>
        <v>3.6175582657407288</v>
      </c>
      <c r="K44">
        <f t="shared" si="18"/>
        <v>3.2887986379629517</v>
      </c>
      <c r="L44">
        <f t="shared" si="18"/>
        <v>2.9600390101851741</v>
      </c>
      <c r="M44">
        <f t="shared" si="18"/>
        <v>2.6312793824073966</v>
      </c>
    </row>
    <row r="45" spans="1:16" x14ac:dyDescent="0.3">
      <c r="A45">
        <v>12</v>
      </c>
      <c r="B45">
        <f t="shared" si="18"/>
        <v>6.2202386523148103</v>
      </c>
      <c r="C45">
        <f t="shared" si="18"/>
        <v>5.8914790245370297</v>
      </c>
      <c r="D45">
        <f t="shared" si="18"/>
        <v>5.562719396759249</v>
      </c>
      <c r="E45">
        <f t="shared" si="18"/>
        <v>5.2339597689814683</v>
      </c>
      <c r="F45">
        <f t="shared" si="18"/>
        <v>4.9052001412036912</v>
      </c>
      <c r="G45">
        <f t="shared" si="18"/>
        <v>4.5764405134259132</v>
      </c>
      <c r="H45">
        <f t="shared" si="18"/>
        <v>4.2476808856481361</v>
      </c>
      <c r="I45">
        <f t="shared" si="18"/>
        <v>3.9189212578703581</v>
      </c>
      <c r="J45">
        <f t="shared" si="18"/>
        <v>3.5901616300925809</v>
      </c>
      <c r="K45">
        <f t="shared" si="18"/>
        <v>3.2614020023148034</v>
      </c>
      <c r="L45">
        <f t="shared" si="18"/>
        <v>2.9326423745370258</v>
      </c>
      <c r="M45">
        <f t="shared" si="18"/>
        <v>2.6038827467592482</v>
      </c>
    </row>
    <row r="47" spans="1:16" x14ac:dyDescent="0.3">
      <c r="C47" s="8"/>
    </row>
  </sheetData>
  <mergeCells count="2">
    <mergeCell ref="B1:M1"/>
    <mergeCell ref="P1:AA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2:AA8"/>
  <sheetViews>
    <sheetView workbookViewId="0">
      <selection activeCell="C8" sqref="C8"/>
    </sheetView>
  </sheetViews>
  <sheetFormatPr defaultRowHeight="14.4" x14ac:dyDescent="0.3"/>
  <cols>
    <col min="1" max="1" width="33.77734375" customWidth="1"/>
    <col min="2" max="2" width="10.77734375" customWidth="1"/>
  </cols>
  <sheetData>
    <row r="2" spans="1:27" s="7" customFormat="1" x14ac:dyDescent="0.3">
      <c r="A2" s="7" t="s">
        <v>58</v>
      </c>
      <c r="C2" s="7">
        <v>1</v>
      </c>
      <c r="D2" s="7">
        <v>2</v>
      </c>
      <c r="E2" s="7">
        <v>3</v>
      </c>
      <c r="F2" s="7">
        <v>4</v>
      </c>
      <c r="G2" s="7">
        <v>5</v>
      </c>
      <c r="H2" s="7">
        <v>6</v>
      </c>
      <c r="I2" s="7">
        <v>7</v>
      </c>
      <c r="J2" s="7">
        <v>8</v>
      </c>
      <c r="K2" s="7">
        <v>9</v>
      </c>
      <c r="L2" s="7">
        <v>10</v>
      </c>
      <c r="M2" s="7">
        <v>11</v>
      </c>
      <c r="N2" s="7">
        <v>12</v>
      </c>
      <c r="O2" s="7">
        <v>13</v>
      </c>
      <c r="P2" s="7">
        <v>14</v>
      </c>
      <c r="Q2" s="7">
        <v>15</v>
      </c>
      <c r="R2" s="7">
        <v>16</v>
      </c>
      <c r="S2" s="7">
        <v>17</v>
      </c>
      <c r="T2" s="7">
        <v>18</v>
      </c>
      <c r="U2" s="7">
        <v>19</v>
      </c>
      <c r="V2" s="7">
        <v>20</v>
      </c>
      <c r="W2" s="7">
        <v>21</v>
      </c>
      <c r="X2" s="7">
        <v>22</v>
      </c>
      <c r="Y2" s="7">
        <v>23</v>
      </c>
      <c r="Z2" s="7">
        <v>24</v>
      </c>
      <c r="AA2" s="7">
        <v>25</v>
      </c>
    </row>
    <row r="3" spans="1:27" x14ac:dyDescent="0.3">
      <c r="A3" s="6" t="s">
        <v>59</v>
      </c>
      <c r="B3" s="6" t="s">
        <v>60</v>
      </c>
      <c r="C3">
        <f>Calculations!$D18/12</f>
        <v>0.58333333333333337</v>
      </c>
      <c r="D3">
        <f>Calculations!E18/12</f>
        <v>0.61670000000000003</v>
      </c>
      <c r="E3">
        <f>Calculations!F18/12</f>
        <v>0.65197524000000007</v>
      </c>
      <c r="F3">
        <f>Calculations!G18/12</f>
        <v>0.68926822372800001</v>
      </c>
      <c r="G3">
        <f>Calculations!H18/12</f>
        <v>0.72869436612524163</v>
      </c>
      <c r="H3">
        <f>Calculations!I18/12</f>
        <v>0.77037568386760535</v>
      </c>
      <c r="I3">
        <f>Calculations!J18/12</f>
        <v>0.81444117298483232</v>
      </c>
      <c r="J3">
        <f>Calculations!K18/12</f>
        <v>0.86102720807956479</v>
      </c>
      <c r="K3">
        <f>Calculations!L18/12</f>
        <v>0.91027796438171593</v>
      </c>
      <c r="L3">
        <f>Calculations!M18/12</f>
        <v>0.96234586394434996</v>
      </c>
      <c r="M3">
        <f>Calculations!N18/12</f>
        <v>1.0173920473619669</v>
      </c>
      <c r="N3">
        <f>Calculations!O18/12</f>
        <v>1.0755868724710713</v>
      </c>
      <c r="O3">
        <f>Calculations!P18/12</f>
        <v>1.1371104415764166</v>
      </c>
      <c r="P3">
        <f>Calculations!Q18/12</f>
        <v>1.2021531588345875</v>
      </c>
      <c r="Q3">
        <f>Calculations!R18/12</f>
        <v>1.270916319519926</v>
      </c>
      <c r="R3">
        <f>Calculations!S18/12</f>
        <v>1.3436127329964656</v>
      </c>
      <c r="S3">
        <f>Calculations!T18/12</f>
        <v>1.4204673813238635</v>
      </c>
      <c r="T3">
        <f>Calculations!U18/12</f>
        <v>1.5017181155355885</v>
      </c>
      <c r="U3">
        <f>Calculations!V18/12</f>
        <v>1.5876163917442243</v>
      </c>
      <c r="V3">
        <f>Calculations!W18/12</f>
        <v>1.6784280493519939</v>
      </c>
      <c r="W3">
        <f>Calculations!X18/12</f>
        <v>1.7744341337749281</v>
      </c>
      <c r="X3">
        <f>Calculations!Y18/12</f>
        <v>1.875931766226854</v>
      </c>
      <c r="Y3">
        <f>Calculations!Z18/12</f>
        <v>1.9832350632550302</v>
      </c>
      <c r="Z3">
        <f>Calculations!AA18/12</f>
        <v>2.096676108873218</v>
      </c>
      <c r="AA3">
        <f>Calculations!AB18/12</f>
        <v>2.216605982300766</v>
      </c>
    </row>
    <row r="4" spans="1:27" x14ac:dyDescent="0.3">
      <c r="A4" s="6" t="s">
        <v>61</v>
      </c>
      <c r="B4" s="6" t="s">
        <v>60</v>
      </c>
      <c r="C4">
        <f>Calculations!D15/(6*100000)*Assumptions!$F$35</f>
        <v>15.798787616666667</v>
      </c>
      <c r="D4">
        <f>Calculations!E15/(6*100000)*Assumptions!$F$35</f>
        <v>15.798787616666667</v>
      </c>
      <c r="E4">
        <f>Calculations!F15/(6*100000)*Assumptions!$F$35</f>
        <v>15.798787616666667</v>
      </c>
      <c r="F4">
        <f>Calculations!G15/(6*100000)*Assumptions!$F$35</f>
        <v>15.798787616666667</v>
      </c>
      <c r="G4">
        <f>Calculations!H15/(6*100000)*Assumptions!$F$35</f>
        <v>15.798787616666667</v>
      </c>
      <c r="H4">
        <f>Calculations!I15/(6*100000)*Assumptions!$F$35</f>
        <v>15.798787616666667</v>
      </c>
      <c r="I4">
        <f>Calculations!J15/(6*100000)*Assumptions!$F$35</f>
        <v>15.798787616666667</v>
      </c>
      <c r="J4">
        <f>Calculations!K15/(6*100000)*Assumptions!$F$35</f>
        <v>15.798787616666667</v>
      </c>
      <c r="K4">
        <f>Calculations!L15/(6*100000)*Assumptions!$F$35</f>
        <v>15.798787616666667</v>
      </c>
      <c r="L4">
        <f>Calculations!M15/(6*100000)*Assumptions!$F$35</f>
        <v>15.798787616666667</v>
      </c>
      <c r="M4">
        <f>Calculations!N15/(6*100000)*Assumptions!$F$35</f>
        <v>15.798787616666667</v>
      </c>
      <c r="N4">
        <f>Calculations!O15/(6*100000)*Assumptions!$F$35</f>
        <v>15.798787616666667</v>
      </c>
      <c r="O4">
        <f>Calculations!P15/(6*100000)*Assumptions!$F$35</f>
        <v>15.798787616666667</v>
      </c>
      <c r="P4">
        <f>Calculations!Q15/(6*100000)*Assumptions!$F$35</f>
        <v>15.798787616666667</v>
      </c>
      <c r="Q4">
        <f>Calculations!R15/(6*100000)*Assumptions!$F$35</f>
        <v>15.798787616666667</v>
      </c>
      <c r="R4">
        <f>Calculations!S15/(6*100000)*Assumptions!$F$35</f>
        <v>15.798787616666667</v>
      </c>
      <c r="S4">
        <f>Calculations!T15/(6*100000)*Assumptions!$F$35</f>
        <v>15.798787616666667</v>
      </c>
      <c r="T4">
        <f>Calculations!U15/(6*100000)*Assumptions!$F$35</f>
        <v>15.798787616666667</v>
      </c>
      <c r="U4">
        <f>Calculations!V15/(6*100000)*Assumptions!$F$35</f>
        <v>15.798787616666667</v>
      </c>
      <c r="V4">
        <f>Calculations!W15/(6*100000)*Assumptions!$F$35</f>
        <v>15.798787616666667</v>
      </c>
      <c r="W4">
        <f>Calculations!X15/(6*100000)*Assumptions!$F$35</f>
        <v>15.798787616666667</v>
      </c>
      <c r="X4">
        <f>Calculations!Y15/(6*100000)*Assumptions!$F$35</f>
        <v>15.798787616666667</v>
      </c>
      <c r="Y4">
        <f>Calculations!Z15/(6*100000)*Assumptions!$F$35</f>
        <v>15.798787616666667</v>
      </c>
      <c r="Z4">
        <f>Calculations!AA15/(6*100000)*Assumptions!$F$35</f>
        <v>15.798787616666667</v>
      </c>
      <c r="AA4">
        <f>Calculations!AB15/(6*100000)*Assumptions!$F$35</f>
        <v>15.798787616666667</v>
      </c>
    </row>
    <row r="5" spans="1:27" ht="15.75" customHeight="1" x14ac:dyDescent="0.3">
      <c r="A5" s="6" t="s">
        <v>62</v>
      </c>
      <c r="B5" s="6" t="s">
        <v>60</v>
      </c>
      <c r="C5">
        <f>Calculations!D18*0.15/12</f>
        <v>8.7500000000000008E-2</v>
      </c>
      <c r="D5">
        <f>Calculations!E18*0.15</f>
        <v>1.11006</v>
      </c>
      <c r="E5">
        <f>Calculations!F18*0.15</f>
        <v>1.1735554320000001</v>
      </c>
      <c r="F5">
        <f>Calculations!G18*0.15</f>
        <v>1.2406828027104</v>
      </c>
      <c r="G5">
        <f>Calculations!H18*0.15</f>
        <v>1.3116498590254348</v>
      </c>
      <c r="H5">
        <f>Calculations!I18*0.15</f>
        <v>1.3866762309616896</v>
      </c>
      <c r="I5">
        <f>Calculations!J18*0.15</f>
        <v>1.4659941113726982</v>
      </c>
      <c r="J5">
        <f>Calculations!K18*0.15</f>
        <v>1.5498489745432167</v>
      </c>
      <c r="K5">
        <f>Calculations!L18*0.15</f>
        <v>1.6385003358870887</v>
      </c>
      <c r="L5">
        <f>Calculations!M18*0.15</f>
        <v>1.73222255509983</v>
      </c>
      <c r="M5">
        <f>Calculations!N18*0.15</f>
        <v>1.8313056852515404</v>
      </c>
      <c r="N5">
        <f>Calculations!O18*0.15</f>
        <v>1.9360563704479283</v>
      </c>
      <c r="O5">
        <f>Calculations!P18*0.15</f>
        <v>2.0467987948375499</v>
      </c>
      <c r="P5">
        <f>Calculations!Q18*0.15</f>
        <v>2.1638756859022577</v>
      </c>
      <c r="Q5">
        <f>Calculations!R18*0.15</f>
        <v>2.2876493751358664</v>
      </c>
      <c r="R5">
        <f>Calculations!S18*0.15</f>
        <v>2.4185029193936378</v>
      </c>
      <c r="S5">
        <f>Calculations!T18*0.15</f>
        <v>2.5568412863829542</v>
      </c>
      <c r="T5">
        <f>Calculations!U18*0.15</f>
        <v>2.7030926079640594</v>
      </c>
      <c r="U5">
        <f>Calculations!V18*0.15</f>
        <v>2.8577095051396038</v>
      </c>
      <c r="V5">
        <f>Calculations!W18*0.15</f>
        <v>3.0211704888335889</v>
      </c>
      <c r="W5">
        <f>Calculations!X18*0.15</f>
        <v>3.1939814407948703</v>
      </c>
      <c r="X5">
        <f>Calculations!Y18*0.15</f>
        <v>3.376677179208337</v>
      </c>
      <c r="Y5">
        <f>Calculations!Z18*0.15</f>
        <v>3.5698231138590542</v>
      </c>
      <c r="Z5">
        <f>Calculations!AA18*0.15</f>
        <v>3.7740169959717917</v>
      </c>
      <c r="AA5">
        <f>Calculations!AB18*0.15</f>
        <v>3.9898907681413784</v>
      </c>
    </row>
    <row r="6" spans="1:27" x14ac:dyDescent="0.3">
      <c r="A6" s="6"/>
      <c r="B6" s="6"/>
      <c r="C6" s="3"/>
      <c r="D6" s="3"/>
      <c r="E6" s="3"/>
      <c r="F6" s="3"/>
      <c r="G6" s="3"/>
      <c r="H6" s="3"/>
      <c r="I6" s="3"/>
      <c r="J6" s="3"/>
      <c r="K6" s="3"/>
      <c r="L6" s="3"/>
      <c r="M6" s="3"/>
      <c r="N6" s="3"/>
      <c r="O6" s="3"/>
      <c r="P6" s="3"/>
      <c r="Q6" s="3"/>
      <c r="R6" s="3"/>
      <c r="S6" s="3"/>
      <c r="T6" s="3"/>
      <c r="U6" s="3"/>
      <c r="V6" s="3"/>
      <c r="W6" s="3"/>
      <c r="X6" s="3"/>
      <c r="Y6" s="3"/>
      <c r="Z6" s="3"/>
      <c r="AA6" s="3"/>
    </row>
    <row r="7" spans="1:27" x14ac:dyDescent="0.3">
      <c r="A7" s="6" t="s">
        <v>63</v>
      </c>
      <c r="B7" s="6" t="s">
        <v>60</v>
      </c>
      <c r="C7">
        <f>SUM(C3:C4)</f>
        <v>16.382120950000001</v>
      </c>
      <c r="D7">
        <f t="shared" ref="D7:AA7" si="0">SUM(D3:D4)</f>
        <v>16.415487616666667</v>
      </c>
      <c r="E7">
        <f t="shared" si="0"/>
        <v>16.450762856666667</v>
      </c>
      <c r="F7">
        <f t="shared" si="0"/>
        <v>16.488055840394669</v>
      </c>
      <c r="G7">
        <f t="shared" si="0"/>
        <v>16.527481982791908</v>
      </c>
      <c r="H7">
        <f t="shared" si="0"/>
        <v>16.569163300534271</v>
      </c>
      <c r="I7">
        <f t="shared" si="0"/>
        <v>16.613228789651501</v>
      </c>
      <c r="J7">
        <f t="shared" si="0"/>
        <v>16.659814824746231</v>
      </c>
      <c r="K7">
        <f t="shared" si="0"/>
        <v>16.709065581048382</v>
      </c>
      <c r="L7">
        <f t="shared" si="0"/>
        <v>16.761133480611019</v>
      </c>
      <c r="M7">
        <f t="shared" si="0"/>
        <v>16.816179664028635</v>
      </c>
      <c r="N7">
        <f t="shared" si="0"/>
        <v>16.87437448913774</v>
      </c>
      <c r="O7">
        <f t="shared" si="0"/>
        <v>16.935898058243083</v>
      </c>
      <c r="P7">
        <f t="shared" si="0"/>
        <v>17.000940775501256</v>
      </c>
      <c r="Q7">
        <f t="shared" si="0"/>
        <v>17.069703936186592</v>
      </c>
      <c r="R7">
        <f t="shared" si="0"/>
        <v>17.142400349663134</v>
      </c>
      <c r="S7">
        <f t="shared" si="0"/>
        <v>17.219254997990532</v>
      </c>
      <c r="T7">
        <f t="shared" si="0"/>
        <v>17.300505732202254</v>
      </c>
      <c r="U7">
        <f t="shared" si="0"/>
        <v>17.386404008410892</v>
      </c>
      <c r="V7">
        <f t="shared" si="0"/>
        <v>17.477215666018662</v>
      </c>
      <c r="W7">
        <f t="shared" si="0"/>
        <v>17.573221750441594</v>
      </c>
      <c r="X7">
        <f t="shared" si="0"/>
        <v>17.674719382893521</v>
      </c>
      <c r="Y7">
        <f t="shared" si="0"/>
        <v>17.782022679921695</v>
      </c>
      <c r="Z7">
        <f t="shared" si="0"/>
        <v>17.895463725539884</v>
      </c>
      <c r="AA7">
        <f t="shared" si="0"/>
        <v>18.015393598967432</v>
      </c>
    </row>
    <row r="8" spans="1:27" s="2" customFormat="1" x14ac:dyDescent="0.3">
      <c r="A8" s="1" t="s">
        <v>18</v>
      </c>
      <c r="B8" s="1" t="s">
        <v>60</v>
      </c>
      <c r="C8" s="2">
        <f>Assumptions!$F$32/100*'Working Capital'!C7</f>
        <v>2.1722692379700002</v>
      </c>
      <c r="D8" s="2">
        <f>Assumptions!$F$32/100*'Working Capital'!D7</f>
        <v>2.17669365797</v>
      </c>
      <c r="E8" s="2">
        <f>Assumptions!$F$32/100*'Working Capital'!E7</f>
        <v>2.1813711547940002</v>
      </c>
      <c r="F8" s="2">
        <f>Assumptions!$F$32/100*'Working Capital'!F7</f>
        <v>2.1863162044363329</v>
      </c>
      <c r="G8" s="2">
        <f>Assumptions!$F$32/100*'Working Capital'!G7</f>
        <v>2.191544110918207</v>
      </c>
      <c r="H8" s="2">
        <f>Assumptions!$F$32/100*'Working Capital'!H7</f>
        <v>2.1970710536508444</v>
      </c>
      <c r="I8" s="2">
        <f>Assumptions!$F$32/100*'Working Capital'!I7</f>
        <v>2.202914137507789</v>
      </c>
      <c r="J8" s="2">
        <f>Assumptions!$F$32/100*'Working Capital'!J7</f>
        <v>2.20909144576135</v>
      </c>
      <c r="K8" s="2">
        <f>Assumptions!$F$32/100*'Working Capital'!K7</f>
        <v>2.2156220960470154</v>
      </c>
      <c r="L8" s="2">
        <f>Assumptions!$F$32/100*'Working Capital'!L7</f>
        <v>2.2225262995290209</v>
      </c>
      <c r="M8" s="2">
        <f>Assumptions!$F$32/100*'Working Capital'!M7</f>
        <v>2.2298254234501971</v>
      </c>
      <c r="N8" s="2">
        <f>Assumptions!$F$32/100*'Working Capital'!N7</f>
        <v>2.237542057259664</v>
      </c>
      <c r="O8" s="2">
        <f>Assumptions!$F$32/100*'Working Capital'!O7</f>
        <v>2.2457000825230327</v>
      </c>
      <c r="P8" s="2">
        <f>Assumptions!$F$32/100*'Working Capital'!P7</f>
        <v>2.2543247468314664</v>
      </c>
      <c r="Q8" s="2">
        <f>Assumptions!$F$32/100*'Working Capital'!Q7</f>
        <v>2.2634427419383418</v>
      </c>
      <c r="R8" s="2">
        <f>Assumptions!$F$32/100*'Working Capital'!R7</f>
        <v>2.2730822863653315</v>
      </c>
      <c r="S8" s="2">
        <f>Assumptions!$F$32/100*'Working Capital'!S7</f>
        <v>2.2832732127335444</v>
      </c>
      <c r="T8" s="2">
        <f>Assumptions!$F$32/100*'Working Capital'!T7</f>
        <v>2.2940470600900187</v>
      </c>
      <c r="U8" s="2">
        <f>Assumptions!$F$32/100*'Working Capital'!U7</f>
        <v>2.3054371715152842</v>
      </c>
      <c r="V8" s="2">
        <f>Assumptions!$F$32/100*'Working Capital'!V7</f>
        <v>2.3174787973140747</v>
      </c>
      <c r="W8" s="2">
        <f>Assumptions!$F$32/100*'Working Capital'!W7</f>
        <v>2.3302092041085554</v>
      </c>
      <c r="X8" s="2">
        <f>Assumptions!$F$32/100*'Working Capital'!X7</f>
        <v>2.3436677901716809</v>
      </c>
      <c r="Y8" s="2">
        <f>Assumptions!$F$32/100*'Working Capital'!Y7</f>
        <v>2.3578962073576166</v>
      </c>
      <c r="Z8" s="2">
        <f>Assumptions!$F$32/100*'Working Capital'!Z7</f>
        <v>2.3729384900065886</v>
      </c>
      <c r="AA8" s="2">
        <f>Assumptions!$F$32/100*'Working Capital'!AA7</f>
        <v>2.3888411912230811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General Notes</vt:lpstr>
      <vt:lpstr>Assumptions</vt:lpstr>
      <vt:lpstr>Calculations</vt:lpstr>
      <vt:lpstr>Term Loan</vt:lpstr>
      <vt:lpstr>Working Capital</vt:lpstr>
      <vt:lpstr>analysis_period</vt:lpstr>
      <vt:lpstr>capacity_factor</vt:lpstr>
      <vt:lpstr>capacity_mw</vt:lpstr>
      <vt:lpstr>cost_per_mw</vt:lpstr>
      <vt:lpstr>debt_percent</vt:lpstr>
      <vt:lpstr>depr_12</vt:lpstr>
      <vt:lpstr>depr_13</vt:lpstr>
      <vt:lpstr>equity</vt:lpstr>
      <vt:lpstr>equity_wo_receivables</vt:lpstr>
      <vt:lpstr>generation</vt:lpstr>
      <vt:lpstr>installed_capacity</vt:lpstr>
      <vt:lpstr>loan_moratorium</vt:lpstr>
      <vt:lpstr>loan_principal</vt:lpstr>
      <vt:lpstr>months_receivables_reserve</vt:lpstr>
      <vt:lpstr>nominal_discount_rate</vt:lpstr>
      <vt:lpstr>om_acceleration</vt:lpstr>
      <vt:lpstr>om_mw</vt:lpstr>
      <vt:lpstr>ppa_price</vt:lpstr>
      <vt:lpstr>reserves_interest</vt:lpstr>
      <vt:lpstr>roe_10</vt:lpstr>
      <vt:lpstr>roe_11</vt:lpstr>
      <vt:lpstr>tax_rate</vt:lpstr>
      <vt:lpstr>term_int_rate</vt:lpstr>
      <vt:lpstr>term_tenor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2014-09-26T22:58:18Z</dcterms:created>
  <dcterms:modified xsi:type="dcterms:W3CDTF">2017-05-12T18:45:05Z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_assessed_decline" linkTarget="prop_tax_assessed_decline">
    <vt:lpwstr>#REF!</vt:lpwstr>
  </property>
  <property fmtid="{D5CDD505-2E9C-101B-9397-08002B2CF9AE}" pid="3" name="tax_cost_assessed_percent" linkTarget="prop_tax_cost_assessed_percent">
    <vt:lpwstr>#REF!</vt:lpwstr>
  </property>
</Properties>
</file>