
<file path=[Content_Types].xml><?xml version="1.0" encoding="utf-8"?>
<Types xmlns="http://schemas.openxmlformats.org/package/2006/content-types">
  <Default Extension="bin" ContentType="application/vnd.openxmlformats-officedocument.oleObject"/>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omments5.xml" ContentType="application/vnd.openxmlformats-officedocument.spreadsheetml.comments+xml"/>
  <Override PartName="/xl/charts/chart9.xml" ContentType="application/vnd.openxmlformats-officedocument.drawingml.chart+xml"/>
  <Override PartName="/xl/drawings/drawing11.xml" ContentType="application/vnd.openxmlformats-officedocument.drawingml.chartshape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12.xml" ContentType="application/vnd.openxmlformats-officedocument.drawing+xml"/>
  <Override PartName="/xl/comments6.xml" ContentType="application/vnd.openxmlformats-officedocument.spreadsheetml.comments+xml"/>
  <Override PartName="/xl/charts/chart13.xml" ContentType="application/vnd.openxmlformats-officedocument.drawingml.chart+xml"/>
  <Override PartName="/xl/drawings/drawing13.xml" ContentType="application/vnd.openxmlformats-officedocument.drawingml.chartshapes+xml"/>
  <Override PartName="/xl/charts/chart14.xml" ContentType="application/vnd.openxmlformats-officedocument.drawingml.chart+xml"/>
  <Override PartName="/xl/drawings/drawing14.xml" ContentType="application/vnd.openxmlformats-officedocument.drawing+xml"/>
  <Override PartName="/xl/comments7.xml" ContentType="application/vnd.openxmlformats-officedocument.spreadsheetml.comments+xml"/>
  <Override PartName="/xl/charts/chart15.xml" ContentType="application/vnd.openxmlformats-officedocument.drawingml.chart+xml"/>
  <Override PartName="/xl/drawings/drawing15.xml" ContentType="application/vnd.openxmlformats-officedocument.drawingml.chartshapes+xml"/>
  <Override PartName="/xl/charts/chart16.xml" ContentType="application/vnd.openxmlformats-officedocument.drawingml.chart+xml"/>
  <Override PartName="/xl/drawings/drawing16.xml" ContentType="application/vnd.openxmlformats-officedocument.drawing+xml"/>
  <Override PartName="/xl/comments8.xml" ContentType="application/vnd.openxmlformats-officedocument.spreadsheetml.comments+xml"/>
  <Override PartName="/xl/charts/chart17.xml" ContentType="application/vnd.openxmlformats-officedocument.drawingml.chart+xml"/>
  <Override PartName="/xl/charts/chart18.xml" ContentType="application/vnd.openxmlformats-officedocument.drawingml.chart+xml"/>
  <Override PartName="/xl/drawings/drawing17.xml" ContentType="application/vnd.openxmlformats-officedocument.drawing+xml"/>
  <Override PartName="/xl/comments9.xml" ContentType="application/vnd.openxmlformats-officedocument.spreadsheetml.comments+xml"/>
  <Override PartName="/xl/charts/chart19.xml" ContentType="application/vnd.openxmlformats-officedocument.drawingml.chart+xml"/>
  <Override PartName="/xl/drawings/drawing18.xml" ContentType="application/vnd.openxmlformats-officedocument.drawing+xml"/>
  <Override PartName="/xl/comments10.xml" ContentType="application/vnd.openxmlformats-officedocument.spreadsheetml.comments+xml"/>
  <Override PartName="/xl/charts/chart20.xml" ContentType="application/vnd.openxmlformats-officedocument.drawingml.chart+xml"/>
  <Override PartName="/xl/comments11.xml" ContentType="application/vnd.openxmlformats-officedocument.spreadsheetml.comments+xml"/>
  <Override PartName="/xl/drawings/drawing19.xml" ContentType="application/vnd.openxmlformats-officedocument.drawing+xml"/>
  <Override PartName="/xl/comments12.xml" ContentType="application/vnd.openxmlformats-officedocument.spreadsheetml.comments+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20.xml" ContentType="application/vnd.openxmlformats-officedocument.drawing+xml"/>
  <Override PartName="/xl/comments13.xml" ContentType="application/vnd.openxmlformats-officedocument.spreadsheetml.comments+xml"/>
  <Override PartName="/xl/charts/chart25.xml" ContentType="application/vnd.openxmlformats-officedocument.drawingml.chart+xml"/>
  <Override PartName="/xl/charts/chart26.xml" ContentType="application/vnd.openxmlformats-officedocument.drawingml.chart+xml"/>
  <Override PartName="/xl/drawings/drawing21.xml" ContentType="application/vnd.openxmlformats-officedocument.drawing+xml"/>
  <Override PartName="/xl/comments14.xml" ContentType="application/vnd.openxmlformats-officedocument.spreadsheetml.comments+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omments15.xml" ContentType="application/vnd.openxmlformats-officedocument.spreadsheetml.comments+xml"/>
  <Override PartName="/xl/drawings/drawing22.xml" ContentType="application/vnd.openxmlformats-officedocument.drawing+xml"/>
  <Override PartName="/xl/comments16.xml" ContentType="application/vnd.openxmlformats-officedocument.spreadsheetml.comments+xml"/>
  <Override PartName="/xl/charts/chart31.xml" ContentType="application/vnd.openxmlformats-officedocument.drawingml.chart+xml"/>
  <Override PartName="/xl/charts/chart32.xml" ContentType="application/vnd.openxmlformats-officedocument.drawingml.chart+xml"/>
  <Override PartName="/xl/drawings/drawing23.xml" ContentType="application/vnd.openxmlformats-officedocument.drawing+xml"/>
  <Override PartName="/xl/comments17.xml" ContentType="application/vnd.openxmlformats-officedocument.spreadsheetml.comments+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omments18.xml" ContentType="application/vnd.openxmlformats-officedocument.spreadsheetml.comments+xml"/>
  <Override PartName="/xl/comments19.xml" ContentType="application/vnd.openxmlformats-officedocument.spreadsheetml.comments+xml"/>
  <Override PartName="/xl/drawings/drawing24.xml" ContentType="application/vnd.openxmlformats-officedocument.drawing+xml"/>
  <Override PartName="/xl/comments20.xml" ContentType="application/vnd.openxmlformats-officedocument.spreadsheetml.comments+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omments21.xml" ContentType="application/vnd.openxmlformats-officedocument.spreadsheetml.comments+xml"/>
  <Override PartName="/xl/drawings/drawing25.xml" ContentType="application/vnd.openxmlformats-officedocument.drawing+xml"/>
  <Override PartName="/xl/comments22.xml" ContentType="application/vnd.openxmlformats-officedocument.spreadsheetml.comments+xml"/>
  <Override PartName="/xl/charts/chart40.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comments23.xml" ContentType="application/vnd.openxmlformats-officedocument.spreadsheetml.comments+xml"/>
  <Override PartName="/xl/charts/chart41.xml" ContentType="application/vnd.openxmlformats-officedocument.drawingml.chart+xml"/>
  <Override PartName="/xl/comments24.xml" ContentType="application/vnd.openxmlformats-officedocument.spreadsheetml.comments+xml"/>
  <Override PartName="/xl/comments25.xml" ContentType="application/vnd.openxmlformats-officedocument.spreadsheetml.comments+xml"/>
  <Override PartName="/xl/drawings/drawing28.xml" ContentType="application/vnd.openxmlformats-officedocument.drawing+xml"/>
  <Override PartName="/xl/comments26.xml" ContentType="application/vnd.openxmlformats-officedocument.spreadsheetml.comments+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drawings/drawing29.xml" ContentType="application/vnd.openxmlformats-officedocument.drawing+xml"/>
  <Override PartName="/xl/comments27.xml" ContentType="application/vnd.openxmlformats-officedocument.spreadsheetml.comments+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drawings/drawing30.xml" ContentType="application/vnd.openxmlformats-officedocument.drawing+xml"/>
  <Override PartName="/xl/comments53.xml" ContentType="application/vnd.openxmlformats-officedocument.spreadsheetml.comments+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drawings/drawing31.xml" ContentType="application/vnd.openxmlformats-officedocument.drawing+xml"/>
  <Override PartName="/xl/comments54.xml" ContentType="application/vnd.openxmlformats-officedocument.spreadsheetml.comments+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omments5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1230" yWindow="-120" windowWidth="14430" windowHeight="7740" tabRatio="721" activeTab="54"/>
  </bookViews>
  <sheets>
    <sheet name="Input &amp; Summary" sheetId="12" r:id="rId1"/>
    <sheet name="Cost Summary" sheetId="2" r:id="rId2"/>
    <sheet name="Cost &amp; Mass Functions" sheetId="79" r:id="rId3"/>
    <sheet name="Onshore vs Offshore" sheetId="54" state="hidden" r:id="rId4"/>
    <sheet name="Blade Mass &amp; Cost" sheetId="37" state="hidden" r:id="rId5"/>
    <sheet name="Hub Mass &amp; Cost" sheetId="42" state="hidden" r:id="rId6"/>
    <sheet name="Nacelle Mass" sheetId="82" state="hidden" r:id="rId7"/>
    <sheet name="Tower Top Mass" sheetId="83" state="hidden" r:id="rId8"/>
    <sheet name="Pitch Mech &amp; Bearings" sheetId="46" state="hidden" r:id="rId9"/>
    <sheet name="Nose cone" sheetId="45" state="hidden" r:id="rId10"/>
    <sheet name="Low Speed Shaft" sheetId="13" state="hidden" r:id="rId11"/>
    <sheet name="Bearings" sheetId="14" state="hidden" r:id="rId12"/>
    <sheet name="Gearbox" sheetId="38" state="hidden" r:id="rId13"/>
    <sheet name="Mech Brake &amp; Couplings" sheetId="16" state="hidden" r:id="rId14"/>
    <sheet name="Generators" sheetId="39" state="hidden" r:id="rId15"/>
    <sheet name="Variable Speed Elect" sheetId="17" state="hidden" r:id="rId16"/>
    <sheet name="Yaw Drive &amp; Bearing" sheetId="18" state="hidden" r:id="rId17"/>
    <sheet name="Mainframe" sheetId="43" state="hidden" r:id="rId18"/>
    <sheet name="Electrical Connections" sheetId="20" state="hidden" r:id="rId19"/>
    <sheet name="Hydraulic, Cooling System" sheetId="21" state="hidden" r:id="rId20"/>
    <sheet name="Nacelle Cover" sheetId="44" state="hidden" r:id="rId21"/>
    <sheet name="L-B Control, Safety System" sheetId="23" state="hidden" r:id="rId22"/>
    <sheet name="Tower" sheetId="33" state="hidden" r:id="rId23"/>
    <sheet name="L-B Foundations" sheetId="53" state="hidden" r:id="rId24"/>
    <sheet name="L-B Transportation" sheetId="48" state="hidden" r:id="rId25"/>
    <sheet name="L-B Roads, Civil" sheetId="49" state="hidden" r:id="rId26"/>
    <sheet name="L-B Assembly, Install" sheetId="50" state="hidden" r:id="rId27"/>
    <sheet name="L-B Electrical Interconnection" sheetId="51" state="hidden" r:id="rId28"/>
    <sheet name="L-B Permits &amp; Eng" sheetId="52" state="hidden" r:id="rId29"/>
    <sheet name="L-B LRC" sheetId="30" state="hidden" r:id="rId30"/>
    <sheet name="L-B O&amp;M" sheetId="31" state="hidden" r:id="rId31"/>
    <sheet name="L-B Lease Cost" sheetId="71" state="hidden" r:id="rId32"/>
    <sheet name="OS Control, Safety System" sheetId="68" state="hidden" r:id="rId33"/>
    <sheet name="OS Marinization" sheetId="66" state="hidden" r:id="rId34"/>
    <sheet name="OS Port &amp; Staging Equipment" sheetId="61" state="hidden" r:id="rId35"/>
    <sheet name="OS Permits, Eng, Site Assess" sheetId="63" state="hidden" r:id="rId36"/>
    <sheet name="OS Personnel Access Eqpt" sheetId="58" state="hidden" r:id="rId37"/>
    <sheet name="OS Scour Protection" sheetId="60" state="hidden" r:id="rId38"/>
    <sheet name="OS Surety Bond" sheetId="64" state="hidden" r:id="rId39"/>
    <sheet name="OS Warranty Premium" sheetId="65" state="hidden" r:id="rId40"/>
    <sheet name="OS LRC" sheetId="69" state="hidden" r:id="rId41"/>
    <sheet name="OS O&amp;M" sheetId="70" state="hidden" r:id="rId42"/>
    <sheet name="OS Lease Cost" sheetId="32" state="hidden" r:id="rId43"/>
    <sheet name="OSS Support Structure" sheetId="56" state="hidden" r:id="rId44"/>
    <sheet name="OSS Turbine Installation" sheetId="57" state="hidden" r:id="rId45"/>
    <sheet name="OSS Transportation " sheetId="80" state="hidden" r:id="rId46"/>
    <sheet name="OSS Elect Interf-Connect" sheetId="62" state="hidden" r:id="rId47"/>
    <sheet name="OST Support Structure" sheetId="73" state="hidden" r:id="rId48"/>
    <sheet name="OST Support Structure Install" sheetId="75" state="hidden" r:id="rId49"/>
    <sheet name="OST Structure Transport" sheetId="76" state="hidden" r:id="rId50"/>
    <sheet name="OST Turbine Transport" sheetId="77" state="hidden" r:id="rId51"/>
    <sheet name="OST Turbine Install" sheetId="78" state="hidden" r:id="rId52"/>
    <sheet name="OST Elect Interf-Connect" sheetId="74" state="hidden" r:id="rId53"/>
    <sheet name="Drive Train Efficiency" sheetId="84" state="hidden" r:id="rId54"/>
    <sheet name="AEP Input Output sheet" sheetId="72" r:id="rId55"/>
    <sheet name="PPI Calculation" sheetId="35" r:id="rId56"/>
    <sheet name="PPI Look Up Table" sheetId="36" r:id="rId57"/>
  </sheets>
  <externalReferences>
    <externalReference r:id="rId58"/>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MacroRecalculationBehavior" hidden="1">0</definedName>
    <definedName name="_AtRisk_SimSetting_RandomNumberGenerator" hidden="1">0</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Print_Area" localSheetId="54">'AEP Input Output sheet'!$A$1:$W$48</definedName>
    <definedName name="_xlnm.Print_Area" localSheetId="2">'Cost &amp; Mass Functions'!$B$226:$J$263</definedName>
    <definedName name="_xlnm.Print_Area" localSheetId="1">'Cost Summary'!$A$9:$C$70</definedName>
    <definedName name="_xlnm.Print_Area" localSheetId="12">Gearbox!$A$3:$L$105</definedName>
    <definedName name="_xlnm.Print_Area" localSheetId="56">'PPI Look Up Table'!$A$4:$M$43</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500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TRUE</definedName>
    <definedName name="RiskUseMultipleCPUs" hidden="1">TRUE</definedName>
    <definedName name="solver_adj" localSheetId="0" hidden="1">'Input &amp; Summary'!$B$12,'Input &amp; Summary'!$B$9</definedName>
    <definedName name="solver_cvg" localSheetId="54" hidden="1">0.0001</definedName>
    <definedName name="solver_cvg" localSheetId="1" hidden="1">0.0001</definedName>
    <definedName name="solver_cvg" localSheetId="0" hidden="1">0.0001</definedName>
    <definedName name="solver_drv" localSheetId="54" hidden="1">1</definedName>
    <definedName name="solver_drv" localSheetId="1" hidden="1">1</definedName>
    <definedName name="solver_drv" localSheetId="0" hidden="1">1</definedName>
    <definedName name="solver_eng" localSheetId="1" hidden="1">1</definedName>
    <definedName name="solver_eng" localSheetId="0" hidden="1">3</definedName>
    <definedName name="solver_est" localSheetId="54" hidden="1">1</definedName>
    <definedName name="solver_est" localSheetId="1" hidden="1">1</definedName>
    <definedName name="solver_est" localSheetId="0" hidden="1">1</definedName>
    <definedName name="solver_itr" localSheetId="54" hidden="1">100</definedName>
    <definedName name="solver_itr" localSheetId="1" hidden="1">2147483647</definedName>
    <definedName name="solver_itr" localSheetId="0" hidden="1">10000000</definedName>
    <definedName name="solver_lhs1" localSheetId="54" hidden="1">'AEP Input Output sheet'!$Z$37</definedName>
    <definedName name="solver_lhs1" localSheetId="0" hidden="1">'Input &amp; Summary'!$B$12</definedName>
    <definedName name="solver_lhs2" localSheetId="54" hidden="1">'AEP Input Output sheet'!$AA$2</definedName>
    <definedName name="solver_lhs2" localSheetId="0" hidden="1">'Input &amp; Summary'!$B$12</definedName>
    <definedName name="solver_lhs3" localSheetId="54" hidden="1">'AEP Input Output sheet'!$Z$37</definedName>
    <definedName name="solver_lhs3" localSheetId="0" hidden="1">'Input &amp; Summary'!$B$9</definedName>
    <definedName name="solver_lhs4" localSheetId="0" hidden="1">'Input &amp; Summary'!$B$9</definedName>
    <definedName name="solver_lhs5" localSheetId="0" hidden="1">'Input &amp; Summary'!$B$9</definedName>
    <definedName name="solver_lin" localSheetId="54" hidden="1">2</definedName>
    <definedName name="solver_lin" localSheetId="0" hidden="1">2</definedName>
    <definedName name="solver_mip" localSheetId="1" hidden="1">2147483647</definedName>
    <definedName name="solver_mip" localSheetId="0" hidden="1">2147483647</definedName>
    <definedName name="solver_mni" localSheetId="1" hidden="1">30</definedName>
    <definedName name="solver_mni" localSheetId="0" hidden="1">30</definedName>
    <definedName name="solver_mrt" localSheetId="1" hidden="1">0.075</definedName>
    <definedName name="solver_mrt" localSheetId="0" hidden="1">0.075</definedName>
    <definedName name="solver_msl" localSheetId="1" hidden="1">2</definedName>
    <definedName name="solver_msl" localSheetId="0" hidden="1">2</definedName>
    <definedName name="solver_neg" localSheetId="54" hidden="1">2</definedName>
    <definedName name="solver_neg" localSheetId="1" hidden="1">1</definedName>
    <definedName name="solver_neg" localSheetId="0" hidden="1">2</definedName>
    <definedName name="solver_nod" localSheetId="1" hidden="1">2147483647</definedName>
    <definedName name="solver_nod" localSheetId="0" hidden="1">2147483647</definedName>
    <definedName name="solver_num" localSheetId="54" hidden="1">0</definedName>
    <definedName name="solver_num" localSheetId="1" hidden="1">0</definedName>
    <definedName name="solver_num" localSheetId="0" hidden="1">5</definedName>
    <definedName name="solver_nwt" localSheetId="54" hidden="1">1</definedName>
    <definedName name="solver_nwt" localSheetId="1" hidden="1">1</definedName>
    <definedName name="solver_nwt" localSheetId="0" hidden="1">1</definedName>
    <definedName name="solver_opt" localSheetId="54" hidden="1">'AEP Input Output sheet'!$O$211</definedName>
    <definedName name="solver_opt" localSheetId="1" hidden="1">'Cost Summary'!$B$70</definedName>
    <definedName name="solver_opt" localSheetId="0" hidden="1">'Input &amp; Summary'!$B$35</definedName>
    <definedName name="solver_pre" localSheetId="54" hidden="1">0.000001</definedName>
    <definedName name="solver_pre" localSheetId="1" hidden="1">0.000001</definedName>
    <definedName name="solver_pre" localSheetId="0" hidden="1">0.000001</definedName>
    <definedName name="solver_rbv" localSheetId="1" hidden="1">1</definedName>
    <definedName name="solver_rbv" localSheetId="0" hidden="1">1</definedName>
    <definedName name="solver_rel1" localSheetId="54" hidden="1">2</definedName>
    <definedName name="solver_rel1" localSheetId="0" hidden="1">1</definedName>
    <definedName name="solver_rel2" localSheetId="54" hidden="1">3</definedName>
    <definedName name="solver_rel2" localSheetId="0" hidden="1">3</definedName>
    <definedName name="solver_rel3" localSheetId="54" hidden="1">3</definedName>
    <definedName name="solver_rel3" localSheetId="0" hidden="1">1</definedName>
    <definedName name="solver_rel4" localSheetId="0" hidden="1">3</definedName>
    <definedName name="solver_rel5" localSheetId="0" hidden="1">3</definedName>
    <definedName name="solver_rhs1" localSheetId="54" hidden="1">0</definedName>
    <definedName name="solver_rhs1" localSheetId="0" hidden="1">175</definedName>
    <definedName name="solver_rhs2" localSheetId="54" hidden="1">0</definedName>
    <definedName name="solver_rhs2" localSheetId="0" hidden="1">70</definedName>
    <definedName name="solver_rhs3" localSheetId="54" hidden="1">0</definedName>
    <definedName name="solver_rhs3" localSheetId="0" hidden="1">130</definedName>
    <definedName name="solver_rhs4" localSheetId="0" hidden="1">'Input &amp; Summary'!$B$8/2+22</definedName>
    <definedName name="solver_rhs5" localSheetId="0" hidden="1">70</definedName>
    <definedName name="solver_rlx" localSheetId="1" hidden="1">2</definedName>
    <definedName name="solver_rlx" localSheetId="0" hidden="1">1</definedName>
    <definedName name="solver_rsd" localSheetId="1" hidden="1">0</definedName>
    <definedName name="solver_rsd" localSheetId="0" hidden="1">0</definedName>
    <definedName name="solver_scl" localSheetId="54" hidden="1">2</definedName>
    <definedName name="solver_scl" localSheetId="1" hidden="1">1</definedName>
    <definedName name="solver_scl" localSheetId="0" hidden="1">2</definedName>
    <definedName name="solver_sho" localSheetId="54" hidden="1">2</definedName>
    <definedName name="solver_sho" localSheetId="1" hidden="1">2</definedName>
    <definedName name="solver_sho" localSheetId="0" hidden="1">2</definedName>
    <definedName name="solver_ssz" localSheetId="1" hidden="1">100</definedName>
    <definedName name="solver_ssz" localSheetId="0" hidden="1">100</definedName>
    <definedName name="solver_tim" localSheetId="54" hidden="1">100</definedName>
    <definedName name="solver_tim" localSheetId="1" hidden="1">2147483647</definedName>
    <definedName name="solver_tim" localSheetId="0" hidden="1">120</definedName>
    <definedName name="solver_tol" localSheetId="54" hidden="1">0.05</definedName>
    <definedName name="solver_tol" localSheetId="1" hidden="1">0.01</definedName>
    <definedName name="solver_tol" localSheetId="0" hidden="1">0.05</definedName>
    <definedName name="solver_typ" localSheetId="54" hidden="1">2</definedName>
    <definedName name="solver_typ" localSheetId="1" hidden="1">2</definedName>
    <definedName name="solver_typ" localSheetId="0" hidden="1">2</definedName>
    <definedName name="solver_val" localSheetId="54" hidden="1">0</definedName>
    <definedName name="solver_val" localSheetId="1" hidden="1">0</definedName>
    <definedName name="solver_val" localSheetId="0" hidden="1">0</definedName>
    <definedName name="solver_ver" localSheetId="1" hidden="1">3</definedName>
    <definedName name="solver_ver" localSheetId="0" hidden="1">3</definedName>
    <definedName name="TurbineChoices">'AEP Input Output sheet'!$U$50:$DP$50</definedName>
    <definedName name="TurbineProfiles">'AEP Input Output sheet'!$U$50:$DP$215</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S52" i="72" l="1"/>
  <c r="S53" i="72"/>
  <c r="S54" i="72"/>
  <c r="S55" i="72"/>
  <c r="S56" i="72"/>
  <c r="S57" i="72"/>
  <c r="S58" i="72"/>
  <c r="S59" i="72"/>
  <c r="S60" i="72"/>
  <c r="S61" i="72"/>
  <c r="S62" i="72"/>
  <c r="S63" i="72"/>
  <c r="S64" i="72"/>
  <c r="S65" i="72"/>
  <c r="S66" i="72"/>
  <c r="S67" i="72"/>
  <c r="S68" i="72"/>
  <c r="S69" i="72"/>
  <c r="S70" i="72"/>
  <c r="S71" i="72"/>
  <c r="S72" i="72"/>
  <c r="S73" i="72"/>
  <c r="S74" i="72"/>
  <c r="S75" i="72"/>
  <c r="S76" i="72"/>
  <c r="S77" i="72"/>
  <c r="S78" i="72"/>
  <c r="S79" i="72"/>
  <c r="S80" i="72"/>
  <c r="S81" i="72"/>
  <c r="S82" i="72"/>
  <c r="S83" i="72"/>
  <c r="S84" i="72"/>
  <c r="S85" i="72"/>
  <c r="S86" i="72"/>
  <c r="S87" i="72"/>
  <c r="S88" i="72"/>
  <c r="S89" i="72"/>
  <c r="S90" i="72"/>
  <c r="S91" i="72"/>
  <c r="S92" i="72"/>
  <c r="S93" i="72"/>
  <c r="S94" i="72"/>
  <c r="S95" i="72"/>
  <c r="S96" i="72"/>
  <c r="S97" i="72"/>
  <c r="S98" i="72"/>
  <c r="S99" i="72"/>
  <c r="S100" i="72"/>
  <c r="S101" i="72"/>
  <c r="S102" i="72"/>
  <c r="S103" i="72"/>
  <c r="S104" i="72"/>
  <c r="S105" i="72"/>
  <c r="S106" i="72"/>
  <c r="S107" i="72"/>
  <c r="S108" i="72"/>
  <c r="S109" i="72"/>
  <c r="S110" i="72"/>
  <c r="S111" i="72"/>
  <c r="S112" i="72"/>
  <c r="S113" i="72"/>
  <c r="S114" i="72"/>
  <c r="S115" i="72"/>
  <c r="S116" i="72"/>
  <c r="S117" i="72"/>
  <c r="S118" i="72"/>
  <c r="S119" i="72"/>
  <c r="S120" i="72"/>
  <c r="S121" i="72"/>
  <c r="S122" i="72"/>
  <c r="S123" i="72"/>
  <c r="S124" i="72"/>
  <c r="S125" i="72"/>
  <c r="S126" i="72"/>
  <c r="S127" i="72"/>
  <c r="S128" i="72"/>
  <c r="S129" i="72"/>
  <c r="S130" i="72"/>
  <c r="S131" i="72"/>
  <c r="S132" i="72"/>
  <c r="S133" i="72"/>
  <c r="S134" i="72"/>
  <c r="S135" i="72"/>
  <c r="S136" i="72"/>
  <c r="S137" i="72"/>
  <c r="S138" i="72"/>
  <c r="S139" i="72"/>
  <c r="S140" i="72"/>
  <c r="S141" i="72"/>
  <c r="S142" i="72"/>
  <c r="S143" i="72"/>
  <c r="S144" i="72"/>
  <c r="S145" i="72"/>
  <c r="S146" i="72"/>
  <c r="S147" i="72"/>
  <c r="S148" i="72"/>
  <c r="S149" i="72"/>
  <c r="S150" i="72"/>
  <c r="S151" i="72"/>
  <c r="S152" i="72"/>
  <c r="S153" i="72"/>
  <c r="S154" i="72"/>
  <c r="S155" i="72"/>
  <c r="S156" i="72"/>
  <c r="S157" i="72"/>
  <c r="S158" i="72"/>
  <c r="S159" i="72"/>
  <c r="S160" i="72"/>
  <c r="S161" i="72"/>
  <c r="S162" i="72"/>
  <c r="S163" i="72"/>
  <c r="S164" i="72"/>
  <c r="S165" i="72"/>
  <c r="S166" i="72"/>
  <c r="S167" i="72"/>
  <c r="S168" i="72"/>
  <c r="S169" i="72"/>
  <c r="S170" i="72"/>
  <c r="S171" i="72"/>
  <c r="S172" i="72"/>
  <c r="S173" i="72"/>
  <c r="S174" i="72"/>
  <c r="S175" i="72"/>
  <c r="S176" i="72"/>
  <c r="S177" i="72"/>
  <c r="S178" i="72"/>
  <c r="S179" i="72"/>
  <c r="S180" i="72"/>
  <c r="S181" i="72"/>
  <c r="S182" i="72"/>
  <c r="S183" i="72"/>
  <c r="S184" i="72"/>
  <c r="S185" i="72"/>
  <c r="S186" i="72"/>
  <c r="S187" i="72"/>
  <c r="S188" i="72"/>
  <c r="S189" i="72"/>
  <c r="S190" i="72"/>
  <c r="S191" i="72"/>
  <c r="S192" i="72"/>
  <c r="S193" i="72"/>
  <c r="S194" i="72"/>
  <c r="S195" i="72"/>
  <c r="S196" i="72"/>
  <c r="S197" i="72"/>
  <c r="S198" i="72"/>
  <c r="S199" i="72"/>
  <c r="S200" i="72"/>
  <c r="S201" i="72"/>
  <c r="S202" i="72"/>
  <c r="S203" i="72"/>
  <c r="S204" i="72"/>
  <c r="S205" i="72"/>
  <c r="S206" i="72"/>
  <c r="S207" i="72"/>
  <c r="S208" i="72"/>
  <c r="S209" i="72"/>
  <c r="S210" i="72"/>
  <c r="S211" i="72"/>
  <c r="S51" i="72"/>
  <c r="Q51" i="72" l="1"/>
  <c r="Z37" i="72"/>
  <c r="D35" i="2" l="1"/>
  <c r="F35" i="2"/>
  <c r="E35" i="2" l="1"/>
  <c r="B12" i="12" l="1"/>
  <c r="B11" i="12"/>
  <c r="J51" i="72" l="1"/>
  <c r="U213" i="72"/>
  <c r="B3" i="72"/>
  <c r="M142" i="79"/>
  <c r="B19" i="72"/>
  <c r="M143" i="79"/>
  <c r="B20" i="72"/>
  <c r="M144" i="79"/>
  <c r="B21" i="72"/>
  <c r="B5" i="72"/>
  <c r="B13" i="72"/>
  <c r="B1" i="72"/>
  <c r="J52" i="72"/>
  <c r="J53" i="72"/>
  <c r="J54" i="72"/>
  <c r="J55" i="72"/>
  <c r="J56" i="72"/>
  <c r="J57" i="72"/>
  <c r="J58" i="72"/>
  <c r="J59" i="72"/>
  <c r="J60" i="72"/>
  <c r="J61" i="72"/>
  <c r="J62" i="72"/>
  <c r="J63" i="72"/>
  <c r="J64" i="72"/>
  <c r="J65" i="72"/>
  <c r="J66" i="72"/>
  <c r="J67" i="72"/>
  <c r="B6" i="72"/>
  <c r="U214" i="72"/>
  <c r="B4" i="72"/>
  <c r="B9" i="72"/>
  <c r="B7" i="72"/>
  <c r="B8" i="72"/>
  <c r="J151" i="72"/>
  <c r="J152" i="72"/>
  <c r="J153" i="72"/>
  <c r="J154" i="72"/>
  <c r="J155" i="72"/>
  <c r="J156" i="72"/>
  <c r="J157" i="72"/>
  <c r="J158" i="72"/>
  <c r="J159" i="72"/>
  <c r="J160" i="72"/>
  <c r="J161" i="72"/>
  <c r="J162" i="72"/>
  <c r="J163" i="72"/>
  <c r="J164" i="72"/>
  <c r="J165" i="72"/>
  <c r="J166" i="72"/>
  <c r="J167" i="72"/>
  <c r="J168" i="72"/>
  <c r="J169" i="72"/>
  <c r="J170" i="72"/>
  <c r="J171" i="72"/>
  <c r="J172" i="72"/>
  <c r="J173" i="72"/>
  <c r="J174" i="72"/>
  <c r="J175" i="72"/>
  <c r="J176" i="72"/>
  <c r="J177" i="72"/>
  <c r="J178" i="72"/>
  <c r="J179" i="72"/>
  <c r="J180" i="72"/>
  <c r="J181" i="72"/>
  <c r="J182" i="72"/>
  <c r="J183" i="72"/>
  <c r="J184" i="72"/>
  <c r="J185" i="72"/>
  <c r="J186" i="72"/>
  <c r="J187" i="72"/>
  <c r="J188" i="72"/>
  <c r="J189" i="72"/>
  <c r="J190" i="72"/>
  <c r="J191" i="72"/>
  <c r="J192" i="72"/>
  <c r="J193" i="72"/>
  <c r="J194" i="72"/>
  <c r="J195" i="72"/>
  <c r="J196" i="72"/>
  <c r="J197" i="72"/>
  <c r="J198" i="72"/>
  <c r="J199" i="72"/>
  <c r="J200" i="72"/>
  <c r="J201" i="72"/>
  <c r="J202" i="72"/>
  <c r="J203" i="72"/>
  <c r="J204" i="72"/>
  <c r="J205" i="72"/>
  <c r="J206" i="72"/>
  <c r="J207" i="72"/>
  <c r="J208" i="72"/>
  <c r="J209" i="72"/>
  <c r="J210" i="72"/>
  <c r="J211" i="72"/>
  <c r="B22" i="72"/>
  <c r="D6" i="79"/>
  <c r="D85" i="79" s="1"/>
  <c r="D86" i="79" s="1"/>
  <c r="E6" i="79"/>
  <c r="G6" i="79"/>
  <c r="C158" i="35"/>
  <c r="B158" i="35"/>
  <c r="D158" i="35"/>
  <c r="D159" i="35" s="1"/>
  <c r="D157" i="35"/>
  <c r="B41" i="2"/>
  <c r="F41" i="2" s="1"/>
  <c r="I6" i="79"/>
  <c r="F6" i="79"/>
  <c r="D15" i="79"/>
  <c r="D16" i="79"/>
  <c r="D50" i="79"/>
  <c r="D51" i="79"/>
  <c r="D53" i="79"/>
  <c r="D54" i="79"/>
  <c r="B20" i="45"/>
  <c r="D77" i="79"/>
  <c r="B21" i="45"/>
  <c r="D78" i="79"/>
  <c r="D96" i="79"/>
  <c r="B18" i="14"/>
  <c r="D121" i="79"/>
  <c r="B19" i="14"/>
  <c r="D122" i="79"/>
  <c r="H6" i="79"/>
  <c r="D143" i="79"/>
  <c r="D144" i="79"/>
  <c r="B6" i="79"/>
  <c r="D583" i="79" s="1"/>
  <c r="D211" i="79"/>
  <c r="D212" i="79"/>
  <c r="D295" i="79"/>
  <c r="D310" i="79"/>
  <c r="D311" i="79"/>
  <c r="B17" i="44"/>
  <c r="D313" i="79"/>
  <c r="B42" i="2"/>
  <c r="B43" i="2"/>
  <c r="F43" i="2" s="1"/>
  <c r="B44" i="2"/>
  <c r="F44" i="2" s="1"/>
  <c r="B39" i="2"/>
  <c r="F39" i="2" s="1"/>
  <c r="B40" i="2"/>
  <c r="F40" i="2" s="1"/>
  <c r="B37" i="2"/>
  <c r="B38" i="2"/>
  <c r="F37" i="2"/>
  <c r="F38" i="2"/>
  <c r="C36" i="35"/>
  <c r="D36" i="35" s="1"/>
  <c r="D37" i="35" s="1"/>
  <c r="B36" i="35"/>
  <c r="D35" i="35"/>
  <c r="D63" i="79"/>
  <c r="D64" i="79"/>
  <c r="D65" i="79"/>
  <c r="C42" i="35"/>
  <c r="D42" i="35" s="1"/>
  <c r="B42" i="35"/>
  <c r="D41" i="35"/>
  <c r="C45" i="35"/>
  <c r="B45" i="35"/>
  <c r="D45" i="35"/>
  <c r="D44" i="35"/>
  <c r="C48" i="35"/>
  <c r="D48" i="35" s="1"/>
  <c r="B48" i="35"/>
  <c r="D47" i="35"/>
  <c r="C51" i="35"/>
  <c r="B51" i="35"/>
  <c r="D51" i="35"/>
  <c r="D50" i="35"/>
  <c r="D80" i="79"/>
  <c r="C127" i="35"/>
  <c r="D127" i="35" s="1"/>
  <c r="B127" i="35"/>
  <c r="D126" i="35"/>
  <c r="C130" i="35"/>
  <c r="D130" i="35" s="1"/>
  <c r="B130" i="35"/>
  <c r="D129" i="35"/>
  <c r="C133" i="35"/>
  <c r="D133" i="35" s="1"/>
  <c r="D132" i="35"/>
  <c r="D106" i="79"/>
  <c r="D107" i="79"/>
  <c r="C57" i="35"/>
  <c r="D57" i="35" s="1"/>
  <c r="D58" i="35" s="1"/>
  <c r="C14" i="13" s="1"/>
  <c r="B57" i="35"/>
  <c r="D56" i="35"/>
  <c r="D123" i="79"/>
  <c r="C63" i="35"/>
  <c r="D63" i="35" s="1"/>
  <c r="D64" i="35" s="1"/>
  <c r="B63" i="35"/>
  <c r="D62" i="35"/>
  <c r="D148" i="79"/>
  <c r="C69" i="35"/>
  <c r="D69" i="35" s="1"/>
  <c r="D70" i="35" s="1"/>
  <c r="B69" i="35"/>
  <c r="D68" i="35"/>
  <c r="C75" i="35"/>
  <c r="D75" i="35" s="1"/>
  <c r="D76" i="35" s="1"/>
  <c r="B75" i="35"/>
  <c r="D74" i="35"/>
  <c r="D184" i="79"/>
  <c r="C81" i="35"/>
  <c r="D81" i="35" s="1"/>
  <c r="D82" i="35" s="1"/>
  <c r="B81" i="35"/>
  <c r="D80" i="35"/>
  <c r="C87" i="35"/>
  <c r="D87" i="35" s="1"/>
  <c r="D88" i="35" s="1"/>
  <c r="B87" i="35"/>
  <c r="D86" i="35"/>
  <c r="D214" i="79"/>
  <c r="D215" i="79"/>
  <c r="C93" i="35"/>
  <c r="D93" i="35" s="1"/>
  <c r="B93" i="35"/>
  <c r="D92" i="35"/>
  <c r="C96" i="35"/>
  <c r="D96" i="35" s="1"/>
  <c r="B96" i="35"/>
  <c r="D95" i="35"/>
  <c r="D253" i="79"/>
  <c r="D254" i="79"/>
  <c r="D285" i="79"/>
  <c r="C108" i="35"/>
  <c r="D108" i="35" s="1"/>
  <c r="B108" i="35"/>
  <c r="D107" i="35"/>
  <c r="C111" i="35"/>
  <c r="D111" i="35" s="1"/>
  <c r="B111" i="35"/>
  <c r="D110" i="35"/>
  <c r="C114" i="35"/>
  <c r="D114" i="35" s="1"/>
  <c r="D113" i="35"/>
  <c r="D297" i="79"/>
  <c r="C121" i="35"/>
  <c r="D121" i="35" s="1"/>
  <c r="D122" i="35" s="1"/>
  <c r="B121" i="35"/>
  <c r="D120" i="35"/>
  <c r="D477" i="79"/>
  <c r="D531" i="79"/>
  <c r="D539" i="79"/>
  <c r="C240" i="35"/>
  <c r="D240" i="35" s="1"/>
  <c r="D241" i="35" s="1"/>
  <c r="D239" i="35"/>
  <c r="D549" i="79"/>
  <c r="C250" i="35"/>
  <c r="D250" i="35" s="1"/>
  <c r="D251" i="35" s="1"/>
  <c r="D249" i="35"/>
  <c r="D559" i="79"/>
  <c r="C255" i="35"/>
  <c r="D255" i="35" s="1"/>
  <c r="D256" i="35" s="1"/>
  <c r="D254" i="35"/>
  <c r="A44" i="2"/>
  <c r="A43" i="2"/>
  <c r="A42" i="2"/>
  <c r="A41" i="2"/>
  <c r="A40" i="2"/>
  <c r="A39" i="2"/>
  <c r="A38" i="2"/>
  <c r="A37" i="2"/>
  <c r="I50" i="72"/>
  <c r="C6" i="12"/>
  <c r="E9" i="12"/>
  <c r="A1" i="36"/>
  <c r="B88" i="2"/>
  <c r="G47" i="38"/>
  <c r="F47" i="38"/>
  <c r="G45" i="38"/>
  <c r="F45" i="38"/>
  <c r="E144" i="79"/>
  <c r="F144" i="79"/>
  <c r="D266" i="35"/>
  <c r="D260" i="35"/>
  <c r="D215" i="35"/>
  <c r="D212" i="35"/>
  <c r="D209" i="35"/>
  <c r="D199" i="35"/>
  <c r="D196" i="35"/>
  <c r="D193" i="35"/>
  <c r="D187" i="35"/>
  <c r="D181" i="35"/>
  <c r="D175" i="35"/>
  <c r="D169" i="35"/>
  <c r="D163" i="35"/>
  <c r="D139" i="35"/>
  <c r="D101" i="35"/>
  <c r="D28" i="35"/>
  <c r="D24" i="35"/>
  <c r="D20" i="35"/>
  <c r="D17" i="35"/>
  <c r="J18" i="35"/>
  <c r="K18" i="35" s="1"/>
  <c r="I18" i="35"/>
  <c r="J21" i="35"/>
  <c r="K21" i="35" s="1"/>
  <c r="I21" i="35"/>
  <c r="J25" i="35"/>
  <c r="K25" i="35" s="1"/>
  <c r="I25" i="35"/>
  <c r="K28" i="35"/>
  <c r="K24" i="35"/>
  <c r="K20" i="35"/>
  <c r="K17" i="35"/>
  <c r="S74" i="39"/>
  <c r="S73" i="39"/>
  <c r="S72" i="39"/>
  <c r="S71" i="39"/>
  <c r="S70" i="39"/>
  <c r="S69" i="39"/>
  <c r="S68" i="39"/>
  <c r="S67" i="39"/>
  <c r="S66" i="39"/>
  <c r="S65" i="39"/>
  <c r="S64" i="39"/>
  <c r="B47" i="38"/>
  <c r="B45" i="38"/>
  <c r="N142" i="79"/>
  <c r="O142" i="79"/>
  <c r="P142" i="79"/>
  <c r="N143" i="79"/>
  <c r="O143" i="79"/>
  <c r="P143" i="79"/>
  <c r="N144" i="79"/>
  <c r="O144" i="79"/>
  <c r="P144" i="79"/>
  <c r="C271" i="35"/>
  <c r="D271" i="35" s="1"/>
  <c r="D273" i="35" s="1"/>
  <c r="C267" i="35"/>
  <c r="D267" i="35" s="1"/>
  <c r="D268" i="35" s="1"/>
  <c r="B267" i="35"/>
  <c r="C261" i="35"/>
  <c r="D261" i="35" s="1"/>
  <c r="D262" i="35" s="1"/>
  <c r="C13" i="53" s="1"/>
  <c r="B261" i="35"/>
  <c r="C245" i="35"/>
  <c r="D245" i="35" s="1"/>
  <c r="D246" i="35" s="1"/>
  <c r="C235" i="35"/>
  <c r="D235" i="35" s="1"/>
  <c r="D236" i="35" s="1"/>
  <c r="D449" i="79" s="1"/>
  <c r="C230" i="35"/>
  <c r="D230" i="35" s="1"/>
  <c r="D231" i="35" s="1"/>
  <c r="C225" i="35"/>
  <c r="D225" i="35" s="1"/>
  <c r="D226" i="35" s="1"/>
  <c r="C219" i="35"/>
  <c r="D219" i="35" s="1"/>
  <c r="C216" i="35"/>
  <c r="D216" i="35" s="1"/>
  <c r="B216" i="35"/>
  <c r="C213" i="35"/>
  <c r="D213" i="35" s="1"/>
  <c r="B213" i="35"/>
  <c r="C210" i="35"/>
  <c r="D210" i="35" s="1"/>
  <c r="B210" i="35"/>
  <c r="C203" i="35"/>
  <c r="D203" i="35" s="1"/>
  <c r="C200" i="35"/>
  <c r="D200" i="35" s="1"/>
  <c r="B200" i="35"/>
  <c r="C197" i="35"/>
  <c r="B197" i="35"/>
  <c r="C194" i="35"/>
  <c r="D194" i="35" s="1"/>
  <c r="B194" i="35"/>
  <c r="C188" i="35"/>
  <c r="D188" i="35" s="1"/>
  <c r="D189" i="35" s="1"/>
  <c r="B188" i="35"/>
  <c r="C182" i="35"/>
  <c r="D182" i="35" s="1"/>
  <c r="D183" i="35" s="1"/>
  <c r="B182" i="35"/>
  <c r="C176" i="35"/>
  <c r="D176" i="35" s="1"/>
  <c r="D177" i="35" s="1"/>
  <c r="B176" i="35"/>
  <c r="C170" i="35"/>
  <c r="D170" i="35" s="1"/>
  <c r="D171" i="35" s="1"/>
  <c r="B170" i="35"/>
  <c r="C164" i="35"/>
  <c r="D164" i="35" s="1"/>
  <c r="D165" i="35" s="1"/>
  <c r="B164" i="35"/>
  <c r="C151" i="35"/>
  <c r="D151" i="35" s="1"/>
  <c r="D153" i="35" s="1"/>
  <c r="C145" i="35"/>
  <c r="D145" i="35" s="1"/>
  <c r="D147" i="35" s="1"/>
  <c r="C140" i="35"/>
  <c r="D140" i="35" s="1"/>
  <c r="D141" i="35" s="1"/>
  <c r="B140" i="35"/>
  <c r="C102" i="35"/>
  <c r="D102" i="35" s="1"/>
  <c r="D103" i="35" s="1"/>
  <c r="B102" i="35"/>
  <c r="J29" i="35"/>
  <c r="K29" i="35" s="1"/>
  <c r="I29" i="35"/>
  <c r="C29" i="35"/>
  <c r="D29" i="35" s="1"/>
  <c r="B29" i="35"/>
  <c r="C25" i="35"/>
  <c r="D25" i="35" s="1"/>
  <c r="B25" i="35"/>
  <c r="C21" i="35"/>
  <c r="D21" i="35" s="1"/>
  <c r="B21" i="35"/>
  <c r="C18" i="35"/>
  <c r="D18" i="35" s="1"/>
  <c r="B18" i="35"/>
  <c r="C10" i="35"/>
  <c r="D10" i="35" s="1"/>
  <c r="D12" i="35" s="1"/>
  <c r="A2" i="35"/>
  <c r="A1" i="35"/>
  <c r="A10" i="12"/>
  <c r="S8" i="84"/>
  <c r="T8" i="84"/>
  <c r="S7" i="84"/>
  <c r="T7" i="84"/>
  <c r="S6" i="84"/>
  <c r="T6" i="84"/>
  <c r="S5" i="84"/>
  <c r="T5" i="84"/>
  <c r="S4" i="84"/>
  <c r="T4" i="84"/>
  <c r="P8" i="84"/>
  <c r="Q8" i="84"/>
  <c r="M8" i="84"/>
  <c r="N8" i="84"/>
  <c r="J8" i="84"/>
  <c r="K8" i="84"/>
  <c r="P7" i="84"/>
  <c r="Q7" i="84"/>
  <c r="M7" i="84"/>
  <c r="N7" i="84"/>
  <c r="J7" i="84"/>
  <c r="K7" i="84"/>
  <c r="P6" i="84"/>
  <c r="Q6" i="84"/>
  <c r="M6" i="84"/>
  <c r="N6" i="84"/>
  <c r="J6" i="84"/>
  <c r="K6" i="84"/>
  <c r="P5" i="84"/>
  <c r="Q5" i="84"/>
  <c r="M5" i="84"/>
  <c r="N5" i="84"/>
  <c r="J5" i="84"/>
  <c r="K5" i="84"/>
  <c r="P4" i="84"/>
  <c r="Q4" i="84"/>
  <c r="Q9" i="84"/>
  <c r="M4" i="84"/>
  <c r="N4" i="84"/>
  <c r="N9" i="84"/>
  <c r="J4" i="84"/>
  <c r="K4" i="84"/>
  <c r="D34" i="43"/>
  <c r="F248" i="79"/>
  <c r="B10" i="43"/>
  <c r="C63" i="13"/>
  <c r="B112" i="79"/>
  <c r="B113" i="79"/>
  <c r="B92" i="79"/>
  <c r="B93" i="79"/>
  <c r="B94" i="79"/>
  <c r="B95" i="79"/>
  <c r="B97" i="79"/>
  <c r="B98" i="79"/>
  <c r="B99" i="79"/>
  <c r="B111" i="79"/>
  <c r="B10" i="13"/>
  <c r="A1" i="74"/>
  <c r="A2" i="74"/>
  <c r="C11" i="74"/>
  <c r="A1" i="78"/>
  <c r="A2" i="78"/>
  <c r="C11" i="78"/>
  <c r="A1" i="77"/>
  <c r="A2" i="77"/>
  <c r="C11" i="77"/>
  <c r="A1" i="76"/>
  <c r="A2" i="76"/>
  <c r="C11" i="76"/>
  <c r="A1" i="75"/>
  <c r="A2" i="75"/>
  <c r="C11" i="75"/>
  <c r="A1" i="73"/>
  <c r="A2" i="73"/>
  <c r="C11" i="73"/>
  <c r="A1" i="62"/>
  <c r="A2" i="62"/>
  <c r="C11" i="62"/>
  <c r="A1" i="80"/>
  <c r="A2" i="80"/>
  <c r="C11" i="80"/>
  <c r="C25" i="80"/>
  <c r="D25" i="80"/>
  <c r="C26" i="80"/>
  <c r="D26" i="80"/>
  <c r="C27" i="80"/>
  <c r="D27" i="80"/>
  <c r="C28" i="80"/>
  <c r="D28" i="80"/>
  <c r="A1" i="57"/>
  <c r="A2" i="57"/>
  <c r="C11" i="57"/>
  <c r="A1" i="56"/>
  <c r="A2" i="56"/>
  <c r="C11" i="56"/>
  <c r="A1" i="32"/>
  <c r="A2" i="32"/>
  <c r="C11" i="32"/>
  <c r="A1" i="70"/>
  <c r="A2" i="70"/>
  <c r="C11" i="70"/>
  <c r="A1" i="69"/>
  <c r="A2" i="69"/>
  <c r="C11" i="69"/>
  <c r="A1" i="65"/>
  <c r="A2" i="65"/>
  <c r="A5" i="65"/>
  <c r="C8" i="65"/>
  <c r="A1" i="64"/>
  <c r="A2" i="64"/>
  <c r="A5" i="64"/>
  <c r="C10" i="64"/>
  <c r="A1" i="60"/>
  <c r="A2" i="60"/>
  <c r="C11" i="60"/>
  <c r="A1" i="58"/>
  <c r="A2" i="58"/>
  <c r="B8" i="58"/>
  <c r="C9" i="58"/>
  <c r="A1" i="63"/>
  <c r="A2" i="63"/>
  <c r="C11" i="63"/>
  <c r="A1" i="61"/>
  <c r="A2" i="61"/>
  <c r="C12" i="61"/>
  <c r="A1" i="66"/>
  <c r="A2" i="66"/>
  <c r="A4" i="66"/>
  <c r="C10" i="66"/>
  <c r="A1" i="68"/>
  <c r="A2" i="68"/>
  <c r="B7" i="68"/>
  <c r="C8" i="68"/>
  <c r="A1" i="71"/>
  <c r="A2" i="71"/>
  <c r="C11" i="71"/>
  <c r="A1" i="31"/>
  <c r="A2" i="31"/>
  <c r="C11" i="31"/>
  <c r="A1" i="30"/>
  <c r="A2" i="30"/>
  <c r="C11" i="30"/>
  <c r="A1" i="52"/>
  <c r="A2" i="52"/>
  <c r="C11" i="52"/>
  <c r="C19" i="52"/>
  <c r="D19" i="52"/>
  <c r="C20" i="52"/>
  <c r="D20" i="52"/>
  <c r="C21" i="52"/>
  <c r="D21" i="52"/>
  <c r="C22" i="52"/>
  <c r="D22" i="52"/>
  <c r="A1" i="51"/>
  <c r="A2" i="51"/>
  <c r="C11" i="51"/>
  <c r="C23" i="51"/>
  <c r="D23" i="51"/>
  <c r="C24" i="51"/>
  <c r="D24" i="51"/>
  <c r="C25" i="51"/>
  <c r="D25" i="51"/>
  <c r="C26" i="51"/>
  <c r="D26" i="51"/>
  <c r="C30" i="51"/>
  <c r="C31" i="51"/>
  <c r="C32" i="51"/>
  <c r="C33" i="51"/>
  <c r="A1" i="50"/>
  <c r="A2" i="50"/>
  <c r="B8" i="50"/>
  <c r="C27" i="50" s="1"/>
  <c r="C13" i="50"/>
  <c r="D22" i="50"/>
  <c r="D23" i="50"/>
  <c r="D24" i="50"/>
  <c r="D25" i="50"/>
  <c r="A1" i="49"/>
  <c r="A2" i="49"/>
  <c r="C11" i="49"/>
  <c r="C22" i="49"/>
  <c r="D22" i="49"/>
  <c r="C23" i="49"/>
  <c r="D23" i="49"/>
  <c r="C24" i="49"/>
  <c r="D24" i="49"/>
  <c r="C25" i="49"/>
  <c r="D25" i="49"/>
  <c r="A1" i="48"/>
  <c r="A2" i="48"/>
  <c r="C11" i="48"/>
  <c r="C25" i="48"/>
  <c r="D25" i="48"/>
  <c r="C26" i="48"/>
  <c r="D26" i="48"/>
  <c r="C27" i="48"/>
  <c r="D27" i="48"/>
  <c r="C28" i="48"/>
  <c r="D28" i="48"/>
  <c r="A1" i="53"/>
  <c r="A2" i="53"/>
  <c r="B8" i="53"/>
  <c r="C28" i="53" s="1"/>
  <c r="C14" i="53"/>
  <c r="B18" i="53"/>
  <c r="D23" i="53"/>
  <c r="E23" i="53"/>
  <c r="D24" i="53"/>
  <c r="E24" i="53"/>
  <c r="D25" i="53"/>
  <c r="E25" i="53"/>
  <c r="D26" i="53"/>
  <c r="E26" i="53"/>
  <c r="A1" i="33"/>
  <c r="A2" i="33"/>
  <c r="B10" i="33"/>
  <c r="B11" i="33"/>
  <c r="B15" i="33"/>
  <c r="C17" i="33"/>
  <c r="B35" i="33"/>
  <c r="C35" i="33"/>
  <c r="D35" i="33"/>
  <c r="B36" i="33"/>
  <c r="C36" i="33"/>
  <c r="D36" i="33"/>
  <c r="B37" i="33"/>
  <c r="C37" i="33"/>
  <c r="B38" i="33"/>
  <c r="C38" i="33"/>
  <c r="D38" i="33"/>
  <c r="B39" i="33"/>
  <c r="C39" i="33"/>
  <c r="D39" i="33"/>
  <c r="B40" i="33"/>
  <c r="C40" i="33"/>
  <c r="D40" i="33"/>
  <c r="B41" i="33"/>
  <c r="C41" i="33"/>
  <c r="D41" i="33"/>
  <c r="B42" i="33"/>
  <c r="C42" i="33"/>
  <c r="D42" i="33"/>
  <c r="B43" i="33"/>
  <c r="C43" i="33"/>
  <c r="D43" i="33"/>
  <c r="B44" i="33"/>
  <c r="C44" i="33"/>
  <c r="D44" i="33"/>
  <c r="B45" i="33"/>
  <c r="C45" i="33"/>
  <c r="B46" i="33"/>
  <c r="C46" i="33"/>
  <c r="D46" i="33"/>
  <c r="B47" i="33"/>
  <c r="C47" i="33"/>
  <c r="D47" i="33"/>
  <c r="B48" i="33"/>
  <c r="C48" i="33"/>
  <c r="D48" i="33"/>
  <c r="B49" i="33"/>
  <c r="C49" i="33"/>
  <c r="D49" i="33"/>
  <c r="B50" i="33"/>
  <c r="C50" i="33"/>
  <c r="D50" i="33"/>
  <c r="B51" i="33"/>
  <c r="C51" i="33"/>
  <c r="D51" i="33"/>
  <c r="B52" i="33"/>
  <c r="C52" i="33"/>
  <c r="D52" i="33"/>
  <c r="E58" i="33"/>
  <c r="F58" i="33"/>
  <c r="E59" i="33"/>
  <c r="F59" i="33"/>
  <c r="E60" i="33"/>
  <c r="F60" i="33"/>
  <c r="E61" i="33"/>
  <c r="F61" i="33"/>
  <c r="E62" i="33"/>
  <c r="F62" i="33"/>
  <c r="E63" i="33"/>
  <c r="F63" i="33"/>
  <c r="E64" i="33"/>
  <c r="F64" i="33"/>
  <c r="E65" i="33"/>
  <c r="F65" i="33"/>
  <c r="E66" i="33"/>
  <c r="F66" i="33"/>
  <c r="C73" i="33"/>
  <c r="D73" i="33"/>
  <c r="C74" i="33"/>
  <c r="D74" i="33"/>
  <c r="C75" i="33"/>
  <c r="D75" i="33"/>
  <c r="C76" i="33"/>
  <c r="D76" i="33"/>
  <c r="B25" i="33"/>
  <c r="C81" i="33"/>
  <c r="D81" i="33"/>
  <c r="C82" i="33"/>
  <c r="D82" i="33"/>
  <c r="C86" i="33"/>
  <c r="D86" i="33"/>
  <c r="C87" i="33"/>
  <c r="D87" i="33"/>
  <c r="C88" i="33"/>
  <c r="D88" i="33"/>
  <c r="C89" i="33"/>
  <c r="D89" i="33"/>
  <c r="C90" i="33"/>
  <c r="D90" i="33"/>
  <c r="C91" i="33"/>
  <c r="D91" i="33"/>
  <c r="C92" i="33"/>
  <c r="D92" i="33"/>
  <c r="C93" i="33"/>
  <c r="D93" i="33"/>
  <c r="C94" i="33"/>
  <c r="D94" i="33"/>
  <c r="C95" i="33"/>
  <c r="D95" i="33"/>
  <c r="C96" i="33"/>
  <c r="D96" i="33"/>
  <c r="C97" i="33"/>
  <c r="D97" i="33"/>
  <c r="C98" i="33"/>
  <c r="D98" i="33"/>
  <c r="C99" i="33"/>
  <c r="D99" i="33"/>
  <c r="C100" i="33"/>
  <c r="D100" i="33"/>
  <c r="C101" i="33"/>
  <c r="D101" i="33"/>
  <c r="C107" i="33"/>
  <c r="D107" i="33"/>
  <c r="C108" i="33"/>
  <c r="D108" i="33"/>
  <c r="C109" i="33"/>
  <c r="D109" i="33"/>
  <c r="C110" i="33"/>
  <c r="D110" i="33"/>
  <c r="C111" i="33"/>
  <c r="D111" i="33"/>
  <c r="C112" i="33"/>
  <c r="D112" i="33"/>
  <c r="C113" i="33"/>
  <c r="D113" i="33"/>
  <c r="C114" i="33"/>
  <c r="D114" i="33"/>
  <c r="C115" i="33"/>
  <c r="D115" i="33"/>
  <c r="C119" i="33"/>
  <c r="D119" i="33"/>
  <c r="C120" i="33"/>
  <c r="D120" i="33"/>
  <c r="C121" i="33"/>
  <c r="D121" i="33"/>
  <c r="C125" i="33"/>
  <c r="D125" i="33"/>
  <c r="C126" i="33"/>
  <c r="D126" i="33"/>
  <c r="C127" i="33"/>
  <c r="D127" i="33"/>
  <c r="C128" i="33"/>
  <c r="D128" i="33"/>
  <c r="C129" i="33"/>
  <c r="D129" i="33"/>
  <c r="C130" i="33"/>
  <c r="D130" i="33"/>
  <c r="C131" i="33"/>
  <c r="D131" i="33"/>
  <c r="C132" i="33"/>
  <c r="D132" i="33"/>
  <c r="C133" i="33"/>
  <c r="D133" i="33"/>
  <c r="C134" i="33"/>
  <c r="D134" i="33"/>
  <c r="C135" i="33"/>
  <c r="D135" i="33"/>
  <c r="C136" i="33"/>
  <c r="D136" i="33"/>
  <c r="C137" i="33"/>
  <c r="D137" i="33"/>
  <c r="A1" i="23"/>
  <c r="A2" i="23"/>
  <c r="C8" i="23"/>
  <c r="A1" i="44"/>
  <c r="A2" i="44"/>
  <c r="C12" i="44"/>
  <c r="C21" i="44"/>
  <c r="C25" i="44"/>
  <c r="C26" i="44"/>
  <c r="C31" i="44"/>
  <c r="A1" i="21"/>
  <c r="A2" i="21"/>
  <c r="C12" i="21"/>
  <c r="A1" i="20"/>
  <c r="A2" i="20"/>
  <c r="C11" i="20"/>
  <c r="A1" i="43"/>
  <c r="A2" i="43"/>
  <c r="B11" i="43"/>
  <c r="B12" i="43"/>
  <c r="B17" i="43"/>
  <c r="C24" i="43"/>
  <c r="C44" i="43"/>
  <c r="C46" i="43"/>
  <c r="C47" i="43"/>
  <c r="C48" i="43"/>
  <c r="E48" i="43"/>
  <c r="C50" i="43"/>
  <c r="C51" i="43"/>
  <c r="A1" i="18"/>
  <c r="A2" i="18"/>
  <c r="C13" i="18"/>
  <c r="D28" i="18"/>
  <c r="D29" i="18"/>
  <c r="D30" i="18"/>
  <c r="D31" i="18"/>
  <c r="A1" i="17"/>
  <c r="A2" i="17"/>
  <c r="C11" i="17"/>
  <c r="B1" i="39"/>
  <c r="B2" i="39"/>
  <c r="C10" i="39"/>
  <c r="C15" i="39"/>
  <c r="D18" i="39"/>
  <c r="C23" i="39"/>
  <c r="C35" i="39"/>
  <c r="D35" i="39"/>
  <c r="E35" i="39"/>
  <c r="F35" i="39"/>
  <c r="C36" i="39"/>
  <c r="D36" i="39"/>
  <c r="E36" i="39"/>
  <c r="F36" i="39"/>
  <c r="C37" i="39"/>
  <c r="D37" i="39"/>
  <c r="E37" i="39"/>
  <c r="F37" i="39"/>
  <c r="I37" i="39"/>
  <c r="C38" i="39"/>
  <c r="D38" i="39"/>
  <c r="E38" i="39"/>
  <c r="F38" i="39"/>
  <c r="C39" i="39"/>
  <c r="D39" i="39"/>
  <c r="E39" i="39"/>
  <c r="F39" i="39"/>
  <c r="AC65" i="39"/>
  <c r="C66" i="39"/>
  <c r="G66" i="39"/>
  <c r="AC66" i="39"/>
  <c r="AE66" i="39"/>
  <c r="AF66" i="39"/>
  <c r="C67" i="39"/>
  <c r="D27" i="39"/>
  <c r="G67" i="39"/>
  <c r="AC67" i="39"/>
  <c r="AE67" i="39"/>
  <c r="AF67" i="39"/>
  <c r="C68" i="39"/>
  <c r="G68" i="39"/>
  <c r="I68" i="39"/>
  <c r="AC68" i="39"/>
  <c r="AE68" i="39"/>
  <c r="AF68" i="39"/>
  <c r="C69" i="39"/>
  <c r="G69" i="39"/>
  <c r="AC69" i="39"/>
  <c r="AE69" i="39"/>
  <c r="AF69" i="39"/>
  <c r="C70" i="39"/>
  <c r="G70" i="39"/>
  <c r="AC70" i="39"/>
  <c r="AE70" i="39"/>
  <c r="AF70" i="39"/>
  <c r="AC71" i="39"/>
  <c r="AE71" i="39"/>
  <c r="AF71" i="39"/>
  <c r="AC72" i="39"/>
  <c r="AE72" i="39"/>
  <c r="AF72" i="39"/>
  <c r="AC73" i="39"/>
  <c r="AE73" i="39"/>
  <c r="AF73" i="39"/>
  <c r="AA74" i="39"/>
  <c r="AC74" i="39"/>
  <c r="AD74" i="39"/>
  <c r="AA75" i="39"/>
  <c r="AC75" i="39"/>
  <c r="AD75" i="39"/>
  <c r="AA76" i="39"/>
  <c r="AC76" i="39"/>
  <c r="AD76" i="39"/>
  <c r="AA77" i="39"/>
  <c r="AC77" i="39"/>
  <c r="AD77" i="39"/>
  <c r="AA78" i="39"/>
  <c r="AC78" i="39"/>
  <c r="AD78" i="39"/>
  <c r="AA79" i="39"/>
  <c r="AC79" i="39"/>
  <c r="AD79" i="39"/>
  <c r="AA80" i="39"/>
  <c r="AC80" i="39"/>
  <c r="AD80" i="39"/>
  <c r="AA81" i="39"/>
  <c r="AC81" i="39"/>
  <c r="AD81" i="39"/>
  <c r="AA82" i="39"/>
  <c r="AC82" i="39"/>
  <c r="AD82" i="39"/>
  <c r="AA83" i="39"/>
  <c r="AC83" i="39"/>
  <c r="AD83" i="39"/>
  <c r="AA84" i="39"/>
  <c r="AC84" i="39"/>
  <c r="AD84" i="39"/>
  <c r="AA85" i="39"/>
  <c r="AC85" i="39"/>
  <c r="AD85" i="39"/>
  <c r="A1" i="16"/>
  <c r="A2" i="16"/>
  <c r="C13" i="16"/>
  <c r="A1" i="38"/>
  <c r="A2" i="38"/>
  <c r="B10" i="38"/>
  <c r="B15" i="38"/>
  <c r="C17" i="38"/>
  <c r="B23" i="38"/>
  <c r="B37" i="38"/>
  <c r="B36" i="38"/>
  <c r="E36" i="38"/>
  <c r="E37" i="38"/>
  <c r="B38" i="38"/>
  <c r="E38" i="38"/>
  <c r="E39" i="38"/>
  <c r="B40" i="38"/>
  <c r="E40" i="38"/>
  <c r="H73" i="38"/>
  <c r="H74" i="38"/>
  <c r="H75" i="38"/>
  <c r="H76" i="38"/>
  <c r="H77" i="38"/>
  <c r="H78" i="38"/>
  <c r="A1" i="14"/>
  <c r="A2" i="14"/>
  <c r="B7" i="14"/>
  <c r="C16" i="14"/>
  <c r="B29" i="14"/>
  <c r="C29" i="14"/>
  <c r="B30" i="14"/>
  <c r="C30" i="14"/>
  <c r="B31" i="14"/>
  <c r="C31" i="14"/>
  <c r="B32" i="14"/>
  <c r="C32" i="14"/>
  <c r="A1" i="13"/>
  <c r="A2" i="13"/>
  <c r="B11" i="13"/>
  <c r="C15" i="13"/>
  <c r="F30" i="13"/>
  <c r="F31" i="13"/>
  <c r="F32" i="13"/>
  <c r="F33" i="13"/>
  <c r="A1" i="45"/>
  <c r="A2" i="45"/>
  <c r="C12" i="45"/>
  <c r="D17" i="45"/>
  <c r="A1" i="46"/>
  <c r="A2" i="46"/>
  <c r="C15" i="46"/>
  <c r="B36" i="46"/>
  <c r="B38" i="46"/>
  <c r="D40" i="46"/>
  <c r="B41" i="46"/>
  <c r="B43" i="46"/>
  <c r="A1" i="83"/>
  <c r="A2" i="83"/>
  <c r="D13" i="83"/>
  <c r="B17" i="83"/>
  <c r="B18" i="83"/>
  <c r="B19" i="83"/>
  <c r="B20" i="83"/>
  <c r="B21" i="83"/>
  <c r="B31" i="83"/>
  <c r="C22" i="83"/>
  <c r="B22" i="83"/>
  <c r="C23" i="83"/>
  <c r="B23" i="83"/>
  <c r="C24" i="83"/>
  <c r="B24" i="83"/>
  <c r="C25" i="83"/>
  <c r="B25" i="83"/>
  <c r="C26" i="83"/>
  <c r="B26" i="83"/>
  <c r="C27" i="83"/>
  <c r="B27" i="83"/>
  <c r="C28" i="83"/>
  <c r="B28" i="83"/>
  <c r="R29" i="83"/>
  <c r="U29" i="83"/>
  <c r="AC29" i="83"/>
  <c r="AD29" i="83"/>
  <c r="AE29" i="83"/>
  <c r="AH29" i="83"/>
  <c r="AC30" i="83"/>
  <c r="AD30" i="83"/>
  <c r="AE30" i="83"/>
  <c r="AH30" i="83"/>
  <c r="AC31" i="83"/>
  <c r="AD31" i="83"/>
  <c r="AE31" i="83"/>
  <c r="AH31" i="83"/>
  <c r="AC32" i="83"/>
  <c r="AD32" i="83"/>
  <c r="AE32" i="83"/>
  <c r="AH32" i="83"/>
  <c r="Q38" i="83"/>
  <c r="R38" i="83"/>
  <c r="S38" i="83"/>
  <c r="T38" i="83"/>
  <c r="Q39" i="83"/>
  <c r="R39" i="83"/>
  <c r="S39" i="83"/>
  <c r="T39" i="83"/>
  <c r="Q48" i="83"/>
  <c r="R48" i="83"/>
  <c r="S48" i="83"/>
  <c r="T48" i="83"/>
  <c r="U48" i="83"/>
  <c r="V48" i="83"/>
  <c r="Q49" i="83"/>
  <c r="R49" i="83"/>
  <c r="S49" i="83"/>
  <c r="T49" i="83"/>
  <c r="U49" i="83"/>
  <c r="V49" i="83"/>
  <c r="Q57" i="83"/>
  <c r="Q58" i="83"/>
  <c r="Q66" i="83"/>
  <c r="R66" i="83"/>
  <c r="S66" i="83"/>
  <c r="T66" i="83"/>
  <c r="U66" i="83"/>
  <c r="V66" i="83"/>
  <c r="W66" i="83"/>
  <c r="Q67" i="83"/>
  <c r="R67" i="83"/>
  <c r="S67" i="83"/>
  <c r="T67" i="83"/>
  <c r="U67" i="83"/>
  <c r="V67" i="83"/>
  <c r="W67" i="83"/>
  <c r="Q76" i="83"/>
  <c r="R76" i="83"/>
  <c r="S76" i="83"/>
  <c r="T76" i="83"/>
  <c r="U76" i="83"/>
  <c r="R79" i="83"/>
  <c r="R77" i="83"/>
  <c r="S79" i="83"/>
  <c r="S77" i="83"/>
  <c r="Q79" i="83"/>
  <c r="Q77" i="83"/>
  <c r="T79" i="83"/>
  <c r="T77" i="83"/>
  <c r="U79" i="83"/>
  <c r="U77" i="83"/>
  <c r="R87" i="83"/>
  <c r="S87" i="83"/>
  <c r="T87" i="83"/>
  <c r="U87" i="83"/>
  <c r="V87" i="83"/>
  <c r="W87" i="83"/>
  <c r="A1" i="82"/>
  <c r="A2" i="82"/>
  <c r="D13" i="82"/>
  <c r="B17" i="82"/>
  <c r="B18" i="82"/>
  <c r="B19" i="82"/>
  <c r="B20" i="82"/>
  <c r="B21" i="82"/>
  <c r="B32" i="82"/>
  <c r="B31" i="82"/>
  <c r="C22" i="82"/>
  <c r="B22" i="82"/>
  <c r="C23" i="82"/>
  <c r="B23" i="82"/>
  <c r="C24" i="82"/>
  <c r="B24" i="82"/>
  <c r="C25" i="82"/>
  <c r="B25" i="82"/>
  <c r="C26" i="82"/>
  <c r="B26" i="82"/>
  <c r="C27" i="82"/>
  <c r="B27" i="82"/>
  <c r="C28" i="82"/>
  <c r="B28" i="82"/>
  <c r="P65" i="82"/>
  <c r="Q65" i="82"/>
  <c r="R65" i="82"/>
  <c r="S65" i="82"/>
  <c r="T65" i="82"/>
  <c r="R77" i="82"/>
  <c r="S77" i="82"/>
  <c r="T77" i="82"/>
  <c r="W77" i="82"/>
  <c r="R78" i="82"/>
  <c r="S78" i="82"/>
  <c r="T78" i="82"/>
  <c r="W78" i="82"/>
  <c r="R79" i="82"/>
  <c r="S79" i="82"/>
  <c r="T79" i="82"/>
  <c r="W79" i="82"/>
  <c r="R80" i="82"/>
  <c r="S80" i="82"/>
  <c r="T80" i="82"/>
  <c r="W80" i="82"/>
  <c r="A1" i="42"/>
  <c r="A2" i="42"/>
  <c r="D13" i="42"/>
  <c r="B17" i="42"/>
  <c r="B18" i="42"/>
  <c r="B19" i="42"/>
  <c r="B20" i="42"/>
  <c r="B21" i="42"/>
  <c r="C22" i="42"/>
  <c r="B22" i="42"/>
  <c r="C23" i="42"/>
  <c r="B23" i="42"/>
  <c r="C24" i="42"/>
  <c r="B24" i="42"/>
  <c r="C25" i="42"/>
  <c r="B25" i="42"/>
  <c r="C26" i="42"/>
  <c r="B26" i="42"/>
  <c r="C27" i="42"/>
  <c r="B27" i="42"/>
  <c r="C28" i="42"/>
  <c r="B28" i="42"/>
  <c r="R29" i="42"/>
  <c r="X29" i="42"/>
  <c r="Y29" i="42"/>
  <c r="R30" i="42"/>
  <c r="R31" i="42"/>
  <c r="S31" i="42"/>
  <c r="R32" i="42"/>
  <c r="S32" i="42"/>
  <c r="R33" i="42"/>
  <c r="S33" i="42"/>
  <c r="P43" i="42"/>
  <c r="T43" i="42"/>
  <c r="W43" i="42"/>
  <c r="Y43" i="42"/>
  <c r="P44" i="42"/>
  <c r="T44" i="42"/>
  <c r="W44" i="42"/>
  <c r="Y44" i="42"/>
  <c r="AT49" i="42"/>
  <c r="P57" i="42"/>
  <c r="T57" i="42"/>
  <c r="X57" i="42"/>
  <c r="Y57" i="42"/>
  <c r="AC57" i="42"/>
  <c r="AD57" i="42"/>
  <c r="P58" i="42"/>
  <c r="T58" i="42"/>
  <c r="X58" i="42"/>
  <c r="Y58" i="42"/>
  <c r="AC58" i="42"/>
  <c r="AD58" i="42"/>
  <c r="P68" i="42"/>
  <c r="P69" i="42"/>
  <c r="P79" i="42"/>
  <c r="Q79" i="42"/>
  <c r="R79" i="42"/>
  <c r="S79" i="42"/>
  <c r="T79" i="42"/>
  <c r="U79" i="42"/>
  <c r="V79" i="42"/>
  <c r="P80" i="42"/>
  <c r="Q80" i="42"/>
  <c r="R80" i="42"/>
  <c r="S80" i="42"/>
  <c r="T80" i="42"/>
  <c r="U80" i="42"/>
  <c r="V80" i="42"/>
  <c r="P91" i="42"/>
  <c r="T91" i="42"/>
  <c r="X91" i="42"/>
  <c r="AB91" i="42"/>
  <c r="AD91" i="42"/>
  <c r="P92" i="42"/>
  <c r="T92" i="42"/>
  <c r="X92" i="42"/>
  <c r="AB92" i="42"/>
  <c r="AD92" i="42"/>
  <c r="P93" i="42"/>
  <c r="T93" i="42"/>
  <c r="X93" i="42"/>
  <c r="AB93" i="42"/>
  <c r="AD93" i="42"/>
  <c r="Q107" i="42"/>
  <c r="R107" i="42"/>
  <c r="S107" i="42"/>
  <c r="T107" i="42"/>
  <c r="U107" i="42"/>
  <c r="V107" i="42"/>
  <c r="Q108" i="42"/>
  <c r="R108" i="42"/>
  <c r="S108" i="42"/>
  <c r="T108" i="42"/>
  <c r="U108" i="42"/>
  <c r="V108" i="42"/>
  <c r="R115" i="42"/>
  <c r="S115" i="42"/>
  <c r="T115" i="42"/>
  <c r="V115" i="42"/>
  <c r="W115" i="42"/>
  <c r="Y115" i="42"/>
  <c r="R116" i="42"/>
  <c r="S116" i="42"/>
  <c r="T116" i="42"/>
  <c r="V116" i="42"/>
  <c r="W116" i="42"/>
  <c r="Y117" i="42"/>
  <c r="Y116" i="42"/>
  <c r="R117" i="42"/>
  <c r="S117" i="42"/>
  <c r="T117" i="42"/>
  <c r="V117" i="42"/>
  <c r="W117" i="42"/>
  <c r="Y118" i="42"/>
  <c r="R118" i="42"/>
  <c r="S118" i="42"/>
  <c r="T118" i="42"/>
  <c r="V118" i="42"/>
  <c r="W118" i="42"/>
  <c r="A1" i="37"/>
  <c r="A2" i="37"/>
  <c r="B8" i="37"/>
  <c r="AV15" i="37"/>
  <c r="AV31" i="37"/>
  <c r="AW15" i="37"/>
  <c r="AX15" i="37"/>
  <c r="AY15" i="37"/>
  <c r="AV33" i="37"/>
  <c r="AZ15" i="37"/>
  <c r="AV34" i="37"/>
  <c r="BD20" i="37"/>
  <c r="AV21" i="37"/>
  <c r="AW21" i="37"/>
  <c r="AX21" i="37"/>
  <c r="AY21" i="37"/>
  <c r="AZ21" i="37"/>
  <c r="BA21" i="37"/>
  <c r="BB21" i="37"/>
  <c r="BC21" i="37"/>
  <c r="BD26" i="37"/>
  <c r="S27" i="37"/>
  <c r="Z27" i="37"/>
  <c r="AV27" i="37"/>
  <c r="AW27" i="37"/>
  <c r="AX27" i="37"/>
  <c r="AY27" i="37"/>
  <c r="AZ27" i="37"/>
  <c r="BA27" i="37"/>
  <c r="BB27" i="37"/>
  <c r="BC27" i="37"/>
  <c r="BD27" i="37"/>
  <c r="BA28" i="37"/>
  <c r="AW33" i="37"/>
  <c r="S28" i="37"/>
  <c r="Z28" i="37"/>
  <c r="AW28" i="37"/>
  <c r="AX28" i="37"/>
  <c r="S29" i="37"/>
  <c r="Z29" i="37"/>
  <c r="S30" i="37"/>
  <c r="Z30" i="37"/>
  <c r="S31" i="37"/>
  <c r="Z31" i="37"/>
  <c r="S32" i="37"/>
  <c r="Z32" i="37"/>
  <c r="AV32" i="37"/>
  <c r="S33" i="37"/>
  <c r="Z33" i="37"/>
  <c r="R38" i="37"/>
  <c r="S38" i="37"/>
  <c r="V38" i="37"/>
  <c r="R39" i="37"/>
  <c r="BE39" i="37"/>
  <c r="R40" i="37"/>
  <c r="AV40" i="37"/>
  <c r="AW40" i="37"/>
  <c r="AX40" i="37"/>
  <c r="AY40" i="37"/>
  <c r="AZ40" i="37"/>
  <c r="BA40" i="37"/>
  <c r="BB40" i="37"/>
  <c r="BC40" i="37"/>
  <c r="BD40" i="37"/>
  <c r="BE40" i="37"/>
  <c r="AZ41" i="37"/>
  <c r="BD41" i="37"/>
  <c r="Q41" i="37"/>
  <c r="S41" i="37"/>
  <c r="V41" i="37"/>
  <c r="R42" i="37"/>
  <c r="S42" i="37"/>
  <c r="V42" i="37"/>
  <c r="Q43" i="37"/>
  <c r="S43" i="37"/>
  <c r="V43" i="37"/>
  <c r="R44" i="37"/>
  <c r="R45" i="37"/>
  <c r="V45" i="37"/>
  <c r="BE45" i="37"/>
  <c r="R46" i="37"/>
  <c r="V46" i="37"/>
  <c r="AV46" i="37"/>
  <c r="AW46" i="37"/>
  <c r="AX46" i="37"/>
  <c r="AY46" i="37"/>
  <c r="AZ46" i="37"/>
  <c r="BA46" i="37"/>
  <c r="BB46" i="37"/>
  <c r="BC46" i="37"/>
  <c r="BD46" i="37"/>
  <c r="BE46" i="37"/>
  <c r="BA47" i="37"/>
  <c r="Q47" i="37"/>
  <c r="S47" i="37"/>
  <c r="V47" i="37"/>
  <c r="Q48" i="37"/>
  <c r="S48" i="37"/>
  <c r="V48" i="37"/>
  <c r="V49" i="37"/>
  <c r="R50" i="37"/>
  <c r="S50" i="37"/>
  <c r="V50" i="37"/>
  <c r="R51" i="37"/>
  <c r="R52" i="37"/>
  <c r="V52" i="37"/>
  <c r="R53" i="37"/>
  <c r="S53" i="37"/>
  <c r="V53" i="37"/>
  <c r="M57" i="37"/>
  <c r="M58" i="37"/>
  <c r="S58" i="37"/>
  <c r="T58" i="37"/>
  <c r="M59" i="37"/>
  <c r="S59" i="37"/>
  <c r="T59" i="37"/>
  <c r="S60" i="37"/>
  <c r="T60" i="37"/>
  <c r="S61" i="37"/>
  <c r="T61" i="37"/>
  <c r="S62" i="37"/>
  <c r="T62" i="37"/>
  <c r="S63" i="37"/>
  <c r="T63" i="37"/>
  <c r="A64" i="37"/>
  <c r="D64" i="37"/>
  <c r="E64" i="37"/>
  <c r="F64" i="37"/>
  <c r="H64" i="37"/>
  <c r="K64" i="37"/>
  <c r="G64" i="37"/>
  <c r="L64" i="37"/>
  <c r="F71" i="37"/>
  <c r="J64" i="37"/>
  <c r="A65" i="37"/>
  <c r="D65" i="37"/>
  <c r="E65" i="37"/>
  <c r="F65" i="37"/>
  <c r="G65" i="37"/>
  <c r="H65" i="37"/>
  <c r="J65" i="37"/>
  <c r="K65" i="37"/>
  <c r="A66" i="37"/>
  <c r="D66" i="37"/>
  <c r="D73" i="37"/>
  <c r="E66" i="37"/>
  <c r="E73" i="37"/>
  <c r="F66" i="37"/>
  <c r="G66" i="37"/>
  <c r="H66" i="37"/>
  <c r="K66" i="37"/>
  <c r="L66" i="37"/>
  <c r="F73" i="37"/>
  <c r="J66" i="37"/>
  <c r="R69" i="37"/>
  <c r="U69" i="37"/>
  <c r="V69" i="37"/>
  <c r="W69" i="37"/>
  <c r="Z69" i="37"/>
  <c r="U70" i="37"/>
  <c r="V70" i="37"/>
  <c r="W70" i="37"/>
  <c r="Z70" i="37"/>
  <c r="A71" i="37"/>
  <c r="D71" i="37"/>
  <c r="E71" i="37"/>
  <c r="G71" i="37"/>
  <c r="M71" i="37"/>
  <c r="U71" i="37"/>
  <c r="V71" i="37"/>
  <c r="W71" i="37"/>
  <c r="Z71" i="37"/>
  <c r="A72" i="37"/>
  <c r="D72" i="37"/>
  <c r="E72" i="37"/>
  <c r="G72" i="37"/>
  <c r="M72" i="37"/>
  <c r="U72" i="37"/>
  <c r="V72" i="37"/>
  <c r="W72" i="37"/>
  <c r="Z72" i="37"/>
  <c r="A73" i="37"/>
  <c r="M73" i="37"/>
  <c r="R80" i="37"/>
  <c r="AA80" i="37"/>
  <c r="U80" i="37"/>
  <c r="X80" i="37"/>
  <c r="Y80" i="37"/>
  <c r="C81" i="37"/>
  <c r="B81" i="37"/>
  <c r="D81" i="37"/>
  <c r="R81" i="37"/>
  <c r="U81" i="37"/>
  <c r="X81" i="37"/>
  <c r="Y81" i="37"/>
  <c r="AA81" i="37"/>
  <c r="C82" i="37"/>
  <c r="B82" i="37"/>
  <c r="D82" i="37"/>
  <c r="R82" i="37"/>
  <c r="U82" i="37"/>
  <c r="X82" i="37"/>
  <c r="Y82" i="37"/>
  <c r="AA82" i="37"/>
  <c r="C83" i="37"/>
  <c r="B83" i="37"/>
  <c r="D83" i="37"/>
  <c r="R83" i="37"/>
  <c r="AA83" i="37"/>
  <c r="U83" i="37"/>
  <c r="C84" i="37"/>
  <c r="B84" i="37"/>
  <c r="D84" i="37"/>
  <c r="C88" i="37"/>
  <c r="B88" i="37"/>
  <c r="S88" i="37"/>
  <c r="X88" i="37"/>
  <c r="C89" i="37"/>
  <c r="B89" i="37"/>
  <c r="D89" i="37"/>
  <c r="C90" i="37"/>
  <c r="B90" i="37"/>
  <c r="D90" i="37"/>
  <c r="S93" i="37"/>
  <c r="Y93" i="37"/>
  <c r="S94" i="37"/>
  <c r="Y94" i="37"/>
  <c r="S95" i="37"/>
  <c r="Y95" i="37"/>
  <c r="S96" i="37"/>
  <c r="Y96" i="37"/>
  <c r="AL96" i="37"/>
  <c r="AM96" i="37"/>
  <c r="AN96" i="37"/>
  <c r="AR96" i="37"/>
  <c r="S97" i="37"/>
  <c r="Y97" i="37"/>
  <c r="AL97" i="37"/>
  <c r="AM97" i="37"/>
  <c r="AN97" i="37"/>
  <c r="AR97" i="37"/>
  <c r="S98" i="37"/>
  <c r="Y98" i="37"/>
  <c r="AL98" i="37"/>
  <c r="AM98" i="37"/>
  <c r="AN98" i="37"/>
  <c r="AR98" i="37"/>
  <c r="AL99" i="37"/>
  <c r="AM99" i="37"/>
  <c r="AN99" i="37"/>
  <c r="AR99" i="37"/>
  <c r="Y103" i="37"/>
  <c r="Y104" i="37"/>
  <c r="Y105" i="37"/>
  <c r="Y106" i="37"/>
  <c r="Y107" i="37"/>
  <c r="Y108" i="37"/>
  <c r="A1" i="54"/>
  <c r="A2" i="54"/>
  <c r="B1" i="79"/>
  <c r="B2" i="79"/>
  <c r="J6" i="79"/>
  <c r="D273" i="79"/>
  <c r="H15" i="79"/>
  <c r="H16" i="79"/>
  <c r="G19" i="79"/>
  <c r="G20" i="79"/>
  <c r="D37" i="79"/>
  <c r="G179" i="79"/>
  <c r="G180" i="79"/>
  <c r="E248" i="79"/>
  <c r="E249" i="79"/>
  <c r="F249" i="79"/>
  <c r="E253" i="79"/>
  <c r="F253" i="79"/>
  <c r="G253" i="79"/>
  <c r="E254" i="79"/>
  <c r="F254" i="79"/>
  <c r="G254" i="79"/>
  <c r="D326" i="79"/>
  <c r="D329" i="79"/>
  <c r="D335" i="79"/>
  <c r="D338" i="79"/>
  <c r="D349" i="79"/>
  <c r="D352" i="79"/>
  <c r="D368" i="79"/>
  <c r="D369" i="79"/>
  <c r="D380" i="79"/>
  <c r="D381" i="79"/>
  <c r="D382" i="79"/>
  <c r="D394" i="79"/>
  <c r="D395" i="79"/>
  <c r="D396" i="79"/>
  <c r="D408" i="79"/>
  <c r="D409" i="79"/>
  <c r="D419" i="79"/>
  <c r="D420" i="79"/>
  <c r="D421" i="79"/>
  <c r="D433" i="79"/>
  <c r="D434" i="79"/>
  <c r="D444" i="79"/>
  <c r="D454" i="79"/>
  <c r="D464" i="79"/>
  <c r="D485" i="79"/>
  <c r="D495" i="79"/>
  <c r="D505" i="79"/>
  <c r="D507" i="79"/>
  <c r="D513" i="79"/>
  <c r="D523" i="79"/>
  <c r="D573" i="79"/>
  <c r="D581" i="79"/>
  <c r="D589" i="79"/>
  <c r="D590" i="79"/>
  <c r="D591" i="79"/>
  <c r="D603" i="79"/>
  <c r="D615" i="79"/>
  <c r="D623" i="79"/>
  <c r="D632" i="79"/>
  <c r="D641" i="79"/>
  <c r="D649" i="79"/>
  <c r="D657" i="79"/>
  <c r="A1" i="2"/>
  <c r="A2" i="2"/>
  <c r="B7" i="2"/>
  <c r="A9" i="2"/>
  <c r="B10" i="2"/>
  <c r="A34" i="2"/>
  <c r="A45" i="2"/>
  <c r="A46" i="2"/>
  <c r="A47" i="2"/>
  <c r="A50" i="2"/>
  <c r="A58" i="2"/>
  <c r="A59" i="2"/>
  <c r="A60" i="2"/>
  <c r="E23" i="39"/>
  <c r="F184" i="79"/>
  <c r="G73" i="37"/>
  <c r="AY47" i="37"/>
  <c r="BC47" i="37"/>
  <c r="AZ47" i="37"/>
  <c r="AW47" i="37"/>
  <c r="AV47" i="37"/>
  <c r="AX47" i="37"/>
  <c r="BB47" i="37"/>
  <c r="BD47" i="37"/>
  <c r="BE47" i="37"/>
  <c r="AX41" i="37"/>
  <c r="BB41" i="37"/>
  <c r="BC41" i="37"/>
  <c r="AY41" i="37"/>
  <c r="B77" i="37"/>
  <c r="C20" i="79"/>
  <c r="S51" i="37"/>
  <c r="V51" i="37"/>
  <c r="S40" i="37"/>
  <c r="V40" i="37"/>
  <c r="BB28" i="37"/>
  <c r="BD21" i="37"/>
  <c r="BB22" i="37"/>
  <c r="T9" i="84"/>
  <c r="L65" i="37"/>
  <c r="F72" i="37"/>
  <c r="S45" i="37"/>
  <c r="D45" i="33"/>
  <c r="D37" i="33"/>
  <c r="K9" i="84"/>
  <c r="S44" i="37"/>
  <c r="V44" i="37"/>
  <c r="S52" i="37"/>
  <c r="S46" i="37"/>
  <c r="AV41" i="37"/>
  <c r="BA41" i="37"/>
  <c r="AW41" i="37"/>
  <c r="S39" i="37"/>
  <c r="V39" i="37"/>
  <c r="AY28" i="37"/>
  <c r="AW31" i="37"/>
  <c r="BC28" i="37"/>
  <c r="AZ28" i="37"/>
  <c r="AV28" i="37"/>
  <c r="B32" i="42"/>
  <c r="D35" i="79"/>
  <c r="B32" i="83"/>
  <c r="B22" i="33"/>
  <c r="D346" i="79"/>
  <c r="B39" i="38"/>
  <c r="D277" i="79"/>
  <c r="G49" i="38"/>
  <c r="D23" i="38"/>
  <c r="D38" i="38"/>
  <c r="B7" i="37"/>
  <c r="B7" i="13"/>
  <c r="B14" i="13" s="1"/>
  <c r="C7" i="82"/>
  <c r="F9" i="82" s="1"/>
  <c r="B7" i="46"/>
  <c r="B13" i="46" s="1"/>
  <c r="B14" i="46" s="1"/>
  <c r="C7" i="83"/>
  <c r="F9" i="83" s="1"/>
  <c r="G9" i="83" s="1"/>
  <c r="B6" i="2"/>
  <c r="C9" i="39"/>
  <c r="C13" i="39" s="1"/>
  <c r="C7" i="42"/>
  <c r="F9" i="42" s="1"/>
  <c r="B7" i="18"/>
  <c r="B10" i="18" s="1"/>
  <c r="B6" i="14"/>
  <c r="B10" i="14" s="1"/>
  <c r="B11" i="14" s="1"/>
  <c r="B14" i="14" s="1"/>
  <c r="B7" i="53"/>
  <c r="B28" i="53" s="1"/>
  <c r="B7" i="45"/>
  <c r="B7" i="43"/>
  <c r="B99" i="43" s="1"/>
  <c r="B98" i="43" s="1"/>
  <c r="B94" i="43" s="1"/>
  <c r="B9" i="38"/>
  <c r="B13" i="38" s="1"/>
  <c r="B7" i="50"/>
  <c r="B8" i="16"/>
  <c r="C26" i="16" s="1"/>
  <c r="B9" i="33"/>
  <c r="B21" i="43"/>
  <c r="F49" i="38"/>
  <c r="C38" i="38"/>
  <c r="B49" i="38"/>
  <c r="C36" i="38"/>
  <c r="D9" i="35"/>
  <c r="D150" i="35"/>
  <c r="D144" i="35"/>
  <c r="D224" i="35"/>
  <c r="D244" i="35"/>
  <c r="D202" i="35"/>
  <c r="D234" i="35"/>
  <c r="E27" i="39"/>
  <c r="E70" i="39"/>
  <c r="AF87" i="39"/>
  <c r="R74" i="39"/>
  <c r="E179" i="79"/>
  <c r="D70" i="39"/>
  <c r="D69" i="39"/>
  <c r="D68" i="39"/>
  <c r="D67" i="39"/>
  <c r="D66" i="39"/>
  <c r="F23" i="39"/>
  <c r="G184" i="79"/>
  <c r="R67" i="39"/>
  <c r="D23" i="39"/>
  <c r="E184" i="79"/>
  <c r="AC87" i="39"/>
  <c r="E67" i="39"/>
  <c r="F179" i="79"/>
  <c r="E66" i="39"/>
  <c r="D197" i="35"/>
  <c r="B7" i="48"/>
  <c r="B10" i="48" s="1"/>
  <c r="B7" i="76"/>
  <c r="B10" i="76" s="1"/>
  <c r="B7" i="57"/>
  <c r="B10" i="57" s="1"/>
  <c r="B8" i="43"/>
  <c r="B8" i="61"/>
  <c r="B11" i="61" s="1"/>
  <c r="B7" i="80"/>
  <c r="A30" i="80" s="1"/>
  <c r="B7" i="20"/>
  <c r="B10" i="20" s="1"/>
  <c r="B7" i="62"/>
  <c r="B10" i="62" s="1"/>
  <c r="B7" i="75"/>
  <c r="B10" i="75" s="1"/>
  <c r="C7" i="39"/>
  <c r="C17" i="39" s="1"/>
  <c r="B7" i="74"/>
  <c r="B10" i="74" s="1"/>
  <c r="B7" i="51"/>
  <c r="B10" i="51" s="1"/>
  <c r="B7" i="69"/>
  <c r="B10" i="69" s="1"/>
  <c r="B7" i="60"/>
  <c r="B10" i="60" s="1"/>
  <c r="B7" i="73"/>
  <c r="B10" i="73" s="1"/>
  <c r="B7" i="38"/>
  <c r="B16" i="38" s="1"/>
  <c r="B7" i="30"/>
  <c r="B10" i="30" s="1"/>
  <c r="B7" i="63"/>
  <c r="B10" i="63" s="1"/>
  <c r="B7" i="77"/>
  <c r="B10" i="77" s="1"/>
  <c r="B7" i="56"/>
  <c r="B10" i="56" s="1"/>
  <c r="B5" i="2"/>
  <c r="B7" i="21"/>
  <c r="B10" i="21" s="1"/>
  <c r="B8" i="13"/>
  <c r="B7" i="78"/>
  <c r="B10" i="78" s="1"/>
  <c r="B7" i="17"/>
  <c r="B10" i="17" s="1"/>
  <c r="B7" i="52"/>
  <c r="B10" i="52" s="1"/>
  <c r="B7" i="44"/>
  <c r="B7" i="49"/>
  <c r="B10" i="49" s="1"/>
  <c r="B7" i="16"/>
  <c r="BD28" i="37"/>
  <c r="AW32" i="37"/>
  <c r="BC22" i="37"/>
  <c r="AX34" i="37"/>
  <c r="BE41" i="37"/>
  <c r="AW34" i="37"/>
  <c r="AY22" i="37"/>
  <c r="AV22" i="37"/>
  <c r="AW22" i="37"/>
  <c r="AZ22" i="37"/>
  <c r="BA22" i="37"/>
  <c r="AX33" i="37"/>
  <c r="AY33" i="37"/>
  <c r="AX22" i="37"/>
  <c r="AX31" i="37"/>
  <c r="AY31" i="37"/>
  <c r="C37" i="38"/>
  <c r="C39" i="38"/>
  <c r="D40" i="38"/>
  <c r="D36" i="38"/>
  <c r="C40" i="38"/>
  <c r="D37" i="38"/>
  <c r="D39" i="38"/>
  <c r="F148" i="79"/>
  <c r="D218" i="35"/>
  <c r="D270" i="35"/>
  <c r="D229" i="35"/>
  <c r="E69" i="39"/>
  <c r="E68" i="39"/>
  <c r="R65" i="39"/>
  <c r="R73" i="39"/>
  <c r="AF88" i="39"/>
  <c r="R72" i="39"/>
  <c r="R70" i="39"/>
  <c r="R68" i="39"/>
  <c r="R64" i="39"/>
  <c r="R71" i="39"/>
  <c r="R69" i="39"/>
  <c r="R66" i="39"/>
  <c r="AY34" i="37"/>
  <c r="AX32" i="37"/>
  <c r="AY32" i="37"/>
  <c r="BD22" i="37"/>
  <c r="B26" i="33"/>
  <c r="D350" i="79"/>
  <c r="B76" i="37"/>
  <c r="C19" i="79"/>
  <c r="B31" i="42"/>
  <c r="D34" i="79"/>
  <c r="B21" i="33"/>
  <c r="D345" i="79"/>
  <c r="I73" i="37"/>
  <c r="N72" i="37"/>
  <c r="N71" i="37"/>
  <c r="I72" i="37"/>
  <c r="N73" i="37"/>
  <c r="I71" i="37"/>
  <c r="E77" i="37"/>
  <c r="E20" i="79"/>
  <c r="E76" i="37"/>
  <c r="O72" i="37"/>
  <c r="O73" i="37"/>
  <c r="O71" i="37"/>
  <c r="E19" i="79"/>
  <c r="M71" i="39" l="1"/>
  <c r="T71" i="39" s="1"/>
  <c r="Q71" i="39" s="1"/>
  <c r="M69" i="39"/>
  <c r="T69" i="39" s="1"/>
  <c r="Q69" i="39" s="1"/>
  <c r="V69" i="39" s="1"/>
  <c r="M72" i="39"/>
  <c r="T72" i="39" s="1"/>
  <c r="Q72" i="39" s="1"/>
  <c r="U72" i="39" s="1"/>
  <c r="I16" i="72"/>
  <c r="I9" i="72"/>
  <c r="I14" i="72"/>
  <c r="I11" i="72"/>
  <c r="M66" i="39"/>
  <c r="T66" i="39" s="1"/>
  <c r="Q66" i="39" s="1"/>
  <c r="U66" i="39" s="1"/>
  <c r="I5" i="72"/>
  <c r="M70" i="39"/>
  <c r="T70" i="39" s="1"/>
  <c r="Q70" i="39" s="1"/>
  <c r="U70" i="39" s="1"/>
  <c r="I22" i="72"/>
  <c r="I4" i="72"/>
  <c r="I8" i="72"/>
  <c r="I3" i="72"/>
  <c r="I2" i="72"/>
  <c r="M68" i="39"/>
  <c r="T68" i="39" s="1"/>
  <c r="Q68" i="39" s="1"/>
  <c r="U68" i="39" s="1"/>
  <c r="I13" i="72"/>
  <c r="I17" i="72"/>
  <c r="I19" i="72"/>
  <c r="I15" i="72"/>
  <c r="I18" i="72"/>
  <c r="M64" i="39"/>
  <c r="T64" i="39" s="1"/>
  <c r="Q64" i="39" s="1"/>
  <c r="B17" i="72"/>
  <c r="N120" i="72" s="1"/>
  <c r="I7" i="72"/>
  <c r="I10" i="72"/>
  <c r="I20" i="72"/>
  <c r="I12" i="72"/>
  <c r="I21" i="72"/>
  <c r="M74" i="39"/>
  <c r="T74" i="39" s="1"/>
  <c r="Q74" i="39" s="1"/>
  <c r="U74" i="39" s="1"/>
  <c r="M73" i="39"/>
  <c r="T73" i="39" s="1"/>
  <c r="Q73" i="39" s="1"/>
  <c r="V73" i="39" s="1"/>
  <c r="M67" i="39"/>
  <c r="T67" i="39" s="1"/>
  <c r="Q67" i="39" s="1"/>
  <c r="U67" i="39" s="1"/>
  <c r="I6" i="72"/>
  <c r="M65" i="39"/>
  <c r="T65" i="39" s="1"/>
  <c r="Q65" i="39" s="1"/>
  <c r="V65" i="39" s="1"/>
  <c r="V70" i="39"/>
  <c r="V71" i="39"/>
  <c r="U71" i="39"/>
  <c r="D644" i="79"/>
  <c r="C10" i="48"/>
  <c r="C10" i="77"/>
  <c r="B11" i="77" s="1"/>
  <c r="D52" i="35"/>
  <c r="C14" i="46" s="1"/>
  <c r="B15" i="46" s="1"/>
  <c r="D116" i="35"/>
  <c r="C10" i="20" s="1"/>
  <c r="B11" i="20" s="1"/>
  <c r="D116" i="79"/>
  <c r="D221" i="35"/>
  <c r="D606" i="79" s="1"/>
  <c r="B15" i="72"/>
  <c r="D414" i="79"/>
  <c r="C12" i="50"/>
  <c r="D439" i="79"/>
  <c r="C10" i="52"/>
  <c r="B11" i="52" s="1"/>
  <c r="K31" i="35"/>
  <c r="D564" i="79"/>
  <c r="C10" i="32"/>
  <c r="D469" i="79"/>
  <c r="C10" i="71"/>
  <c r="D17" i="39"/>
  <c r="C18" i="39" s="1"/>
  <c r="D196" i="79"/>
  <c r="D135" i="35"/>
  <c r="C16" i="38"/>
  <c r="B17" i="38" s="1"/>
  <c r="D158" i="79"/>
  <c r="D554" i="79"/>
  <c r="C10" i="70"/>
  <c r="D280" i="79"/>
  <c r="C19" i="43"/>
  <c r="C11" i="37"/>
  <c r="F28" i="79"/>
  <c r="C10" i="49"/>
  <c r="B11" i="49" s="1"/>
  <c r="D403" i="79"/>
  <c r="D544" i="79"/>
  <c r="C10" i="69"/>
  <c r="B11" i="69" s="1"/>
  <c r="D360" i="79"/>
  <c r="C15" i="33"/>
  <c r="D459" i="79"/>
  <c r="C10" i="31"/>
  <c r="D205" i="35"/>
  <c r="E10" i="12"/>
  <c r="D31" i="35"/>
  <c r="C10" i="56"/>
  <c r="B11" i="56" s="1"/>
  <c r="D576" i="79"/>
  <c r="D584" i="79"/>
  <c r="D585" i="79" s="1"/>
  <c r="M40" i="2" s="1"/>
  <c r="C10" i="75"/>
  <c r="B11" i="75" s="1"/>
  <c r="D626" i="79"/>
  <c r="D618" i="79"/>
  <c r="D635" i="79"/>
  <c r="D652" i="79"/>
  <c r="C10" i="78"/>
  <c r="B11" i="78" s="1"/>
  <c r="C10" i="73"/>
  <c r="B11" i="73" s="1"/>
  <c r="C10" i="76"/>
  <c r="B11" i="76" s="1"/>
  <c r="C10" i="57"/>
  <c r="B11" i="57" s="1"/>
  <c r="C10" i="63"/>
  <c r="B11" i="63" s="1"/>
  <c r="D500" i="79"/>
  <c r="D97" i="35"/>
  <c r="D508" i="79"/>
  <c r="D509" i="79" s="1"/>
  <c r="C8" i="58"/>
  <c r="B9" i="58" s="1"/>
  <c r="D490" i="79"/>
  <c r="D518" i="79"/>
  <c r="C11" i="61"/>
  <c r="B12" i="61" s="1"/>
  <c r="C10" i="60"/>
  <c r="B11" i="60" s="1"/>
  <c r="C11" i="21"/>
  <c r="D305" i="79"/>
  <c r="C12" i="16"/>
  <c r="D171" i="79"/>
  <c r="C15" i="14"/>
  <c r="D136" i="79"/>
  <c r="D45" i="79"/>
  <c r="D12" i="42"/>
  <c r="D12" i="83"/>
  <c r="D12" i="82"/>
  <c r="C7" i="23"/>
  <c r="B8" i="23" s="1"/>
  <c r="D330" i="79"/>
  <c r="D331" i="79" s="1"/>
  <c r="B32" i="2" s="1"/>
  <c r="C7" i="68"/>
  <c r="B8" i="68" s="1"/>
  <c r="D339" i="79"/>
  <c r="D340" i="79" s="1"/>
  <c r="D206" i="79"/>
  <c r="C10" i="17"/>
  <c r="B11" i="17" s="1"/>
  <c r="B11" i="48"/>
  <c r="C10" i="30"/>
  <c r="B11" i="30" s="1"/>
  <c r="D374" i="79"/>
  <c r="D389" i="79"/>
  <c r="C10" i="80"/>
  <c r="D598" i="79"/>
  <c r="D194" i="79"/>
  <c r="C25" i="2" s="1"/>
  <c r="B48" i="2"/>
  <c r="B29" i="12" s="1"/>
  <c r="B16" i="72"/>
  <c r="B19" i="43"/>
  <c r="B22" i="43" s="1"/>
  <c r="N198" i="72"/>
  <c r="N78" i="72"/>
  <c r="N148" i="72"/>
  <c r="N72" i="72"/>
  <c r="N85" i="72"/>
  <c r="N54" i="72"/>
  <c r="N168" i="72"/>
  <c r="N166" i="72"/>
  <c r="N210" i="72"/>
  <c r="N74" i="72"/>
  <c r="N209" i="72"/>
  <c r="N61" i="72"/>
  <c r="N155" i="72"/>
  <c r="N160" i="72"/>
  <c r="N161" i="72"/>
  <c r="N73" i="72"/>
  <c r="K52" i="72"/>
  <c r="U52" i="72" s="1"/>
  <c r="I52" i="72" s="1"/>
  <c r="K201" i="72"/>
  <c r="U201" i="72" s="1"/>
  <c r="I201" i="72" s="1"/>
  <c r="K161" i="72"/>
  <c r="U161" i="72" s="1"/>
  <c r="I161" i="72" s="1"/>
  <c r="K59" i="72"/>
  <c r="U59" i="72" s="1"/>
  <c r="I59" i="72" s="1"/>
  <c r="K187" i="72"/>
  <c r="U187" i="72" s="1"/>
  <c r="I187" i="72" s="1"/>
  <c r="K179" i="72"/>
  <c r="U179" i="72" s="1"/>
  <c r="I179" i="72" s="1"/>
  <c r="B15" i="43"/>
  <c r="B16" i="43" s="1"/>
  <c r="B20" i="43" s="1"/>
  <c r="B10" i="80"/>
  <c r="B97" i="43"/>
  <c r="D222" i="79"/>
  <c r="D236" i="79"/>
  <c r="D221" i="79"/>
  <c r="C27" i="2" s="1"/>
  <c r="D130" i="79"/>
  <c r="D133" i="79" s="1"/>
  <c r="D489" i="79"/>
  <c r="D597" i="79"/>
  <c r="D605" i="79"/>
  <c r="D617" i="79"/>
  <c r="D575" i="79"/>
  <c r="D448" i="79"/>
  <c r="D450" i="79" s="1"/>
  <c r="D625" i="79"/>
  <c r="K157" i="72"/>
  <c r="U157" i="72" s="1"/>
  <c r="I157" i="72" s="1"/>
  <c r="N146" i="72"/>
  <c r="D517" i="79"/>
  <c r="D659" i="79"/>
  <c r="D304" i="79"/>
  <c r="N133" i="72"/>
  <c r="D651" i="79"/>
  <c r="N119" i="72"/>
  <c r="N149" i="72"/>
  <c r="B35" i="13"/>
  <c r="B13" i="14"/>
  <c r="B15" i="14" s="1"/>
  <c r="B89" i="43"/>
  <c r="C16" i="39"/>
  <c r="N94" i="72"/>
  <c r="B11" i="21"/>
  <c r="C80" i="72"/>
  <c r="B121" i="72"/>
  <c r="C35" i="13"/>
  <c r="B15" i="13"/>
  <c r="D413" i="79"/>
  <c r="D415" i="79" s="1"/>
  <c r="L40" i="2" s="1"/>
  <c r="C61" i="13"/>
  <c r="C66" i="13" s="1"/>
  <c r="D115" i="79"/>
  <c r="D358" i="79"/>
  <c r="D359" i="79" s="1"/>
  <c r="G70" i="79"/>
  <c r="C56" i="13"/>
  <c r="D373" i="79"/>
  <c r="D28" i="79"/>
  <c r="C16" i="2" s="1"/>
  <c r="D192" i="79"/>
  <c r="A30" i="48"/>
  <c r="F42" i="2"/>
  <c r="F46" i="2" s="1"/>
  <c r="G46" i="2" s="1"/>
  <c r="B72" i="72"/>
  <c r="C104" i="72"/>
  <c r="B185" i="72"/>
  <c r="C135" i="72"/>
  <c r="B94" i="72"/>
  <c r="C94" i="72"/>
  <c r="C121" i="72"/>
  <c r="C153" i="72"/>
  <c r="B132" i="72"/>
  <c r="B205" i="72"/>
  <c r="B98" i="72"/>
  <c r="B136" i="72"/>
  <c r="B79" i="72"/>
  <c r="C58" i="72"/>
  <c r="B129" i="72"/>
  <c r="C155" i="72"/>
  <c r="B11" i="18"/>
  <c r="B33" i="18"/>
  <c r="B12" i="14"/>
  <c r="B9" i="53"/>
  <c r="A45" i="46"/>
  <c r="D45" i="46" s="1"/>
  <c r="C19" i="2"/>
  <c r="B10" i="45"/>
  <c r="H9" i="45"/>
  <c r="B12" i="16"/>
  <c r="B26" i="16"/>
  <c r="B14" i="33"/>
  <c r="B16" i="33" s="1"/>
  <c r="D10" i="33"/>
  <c r="B11" i="44"/>
  <c r="B33" i="44"/>
  <c r="B12" i="37"/>
  <c r="G7" i="37" s="1"/>
  <c r="D7" i="37"/>
  <c r="E7" i="37" s="1"/>
  <c r="D170" i="79"/>
  <c r="D205" i="79"/>
  <c r="D320" i="79"/>
  <c r="D303" i="79"/>
  <c r="C30" i="2" s="1"/>
  <c r="D157" i="79"/>
  <c r="D289" i="79"/>
  <c r="D543" i="79"/>
  <c r="D195" i="79"/>
  <c r="D402" i="79"/>
  <c r="D427" i="79"/>
  <c r="D438" i="79"/>
  <c r="D499" i="79"/>
  <c r="D643" i="79"/>
  <c r="D645" i="79" s="1"/>
  <c r="N40" i="2" s="1"/>
  <c r="D388" i="79"/>
  <c r="D634" i="79"/>
  <c r="B9" i="50"/>
  <c r="B27" i="50"/>
  <c r="B12" i="18"/>
  <c r="A33" i="18"/>
  <c r="I25" i="72"/>
  <c r="I28" i="72"/>
  <c r="B14" i="72"/>
  <c r="D154" i="79"/>
  <c r="D268" i="79"/>
  <c r="D238" i="79"/>
  <c r="D237" i="79" s="1"/>
  <c r="D233" i="79" s="1"/>
  <c r="D111" i="79"/>
  <c r="D275" i="79"/>
  <c r="D94" i="79"/>
  <c r="D99" i="79" s="1"/>
  <c r="D70" i="79"/>
  <c r="D71" i="79" s="1"/>
  <c r="K54" i="72"/>
  <c r="C65" i="72" l="1"/>
  <c r="R53" i="72"/>
  <c r="R57" i="72"/>
  <c r="R61" i="72"/>
  <c r="R65" i="72"/>
  <c r="R69" i="72"/>
  <c r="R73" i="72"/>
  <c r="R77" i="72"/>
  <c r="R81" i="72"/>
  <c r="R85" i="72"/>
  <c r="R89" i="72"/>
  <c r="R93" i="72"/>
  <c r="R97" i="72"/>
  <c r="R101" i="72"/>
  <c r="R105" i="72"/>
  <c r="R109" i="72"/>
  <c r="R113" i="72"/>
  <c r="R117" i="72"/>
  <c r="R121" i="72"/>
  <c r="R125" i="72"/>
  <c r="R129" i="72"/>
  <c r="R133" i="72"/>
  <c r="R137" i="72"/>
  <c r="R141" i="72"/>
  <c r="R145" i="72"/>
  <c r="R149" i="72"/>
  <c r="R153" i="72"/>
  <c r="R157" i="72"/>
  <c r="R161" i="72"/>
  <c r="R165" i="72"/>
  <c r="R169" i="72"/>
  <c r="R173" i="72"/>
  <c r="R177" i="72"/>
  <c r="R181" i="72"/>
  <c r="R185" i="72"/>
  <c r="R189" i="72"/>
  <c r="R193" i="72"/>
  <c r="R197" i="72"/>
  <c r="R201" i="72"/>
  <c r="R205" i="72"/>
  <c r="R209" i="72"/>
  <c r="R131" i="72"/>
  <c r="R143" i="72"/>
  <c r="R151" i="72"/>
  <c r="R159" i="72"/>
  <c r="R167" i="72"/>
  <c r="R175" i="72"/>
  <c r="R183" i="72"/>
  <c r="R191" i="72"/>
  <c r="R199" i="72"/>
  <c r="R207" i="72"/>
  <c r="R56" i="72"/>
  <c r="R64" i="72"/>
  <c r="R72" i="72"/>
  <c r="R80" i="72"/>
  <c r="R88" i="72"/>
  <c r="R96" i="72"/>
  <c r="R104" i="72"/>
  <c r="R112" i="72"/>
  <c r="R120" i="72"/>
  <c r="R128" i="72"/>
  <c r="R136" i="72"/>
  <c r="R140" i="72"/>
  <c r="R148" i="72"/>
  <c r="R156" i="72"/>
  <c r="R164" i="72"/>
  <c r="R172" i="72"/>
  <c r="R180" i="72"/>
  <c r="R54" i="72"/>
  <c r="R58" i="72"/>
  <c r="R62" i="72"/>
  <c r="R66" i="72"/>
  <c r="R70" i="72"/>
  <c r="R74" i="72"/>
  <c r="R78" i="72"/>
  <c r="R82" i="72"/>
  <c r="R86" i="72"/>
  <c r="R90" i="72"/>
  <c r="R94" i="72"/>
  <c r="R98" i="72"/>
  <c r="R102" i="72"/>
  <c r="R106" i="72"/>
  <c r="R110" i="72"/>
  <c r="R114" i="72"/>
  <c r="R118" i="72"/>
  <c r="R122" i="72"/>
  <c r="R126" i="72"/>
  <c r="R130" i="72"/>
  <c r="R134" i="72"/>
  <c r="R138" i="72"/>
  <c r="R142" i="72"/>
  <c r="R146" i="72"/>
  <c r="R150" i="72"/>
  <c r="R154" i="72"/>
  <c r="R158" i="72"/>
  <c r="R162" i="72"/>
  <c r="R166" i="72"/>
  <c r="R170" i="72"/>
  <c r="R174" i="72"/>
  <c r="R178" i="72"/>
  <c r="R182" i="72"/>
  <c r="R186" i="72"/>
  <c r="R190" i="72"/>
  <c r="R194" i="72"/>
  <c r="R198" i="72"/>
  <c r="R202" i="72"/>
  <c r="R206" i="72"/>
  <c r="R210" i="72"/>
  <c r="R55" i="72"/>
  <c r="R59" i="72"/>
  <c r="R63" i="72"/>
  <c r="R67" i="72"/>
  <c r="R71" i="72"/>
  <c r="R75" i="72"/>
  <c r="R79" i="72"/>
  <c r="R83" i="72"/>
  <c r="R87" i="72"/>
  <c r="R91" i="72"/>
  <c r="R95" i="72"/>
  <c r="R99" i="72"/>
  <c r="R103" i="72"/>
  <c r="R107" i="72"/>
  <c r="R111" i="72"/>
  <c r="R115" i="72"/>
  <c r="R119" i="72"/>
  <c r="R123" i="72"/>
  <c r="R127" i="72"/>
  <c r="R135" i="72"/>
  <c r="R139" i="72"/>
  <c r="R147" i="72"/>
  <c r="R155" i="72"/>
  <c r="R163" i="72"/>
  <c r="R171" i="72"/>
  <c r="R179" i="72"/>
  <c r="R187" i="72"/>
  <c r="R195" i="72"/>
  <c r="R203" i="72"/>
  <c r="R211" i="72"/>
  <c r="R60" i="72"/>
  <c r="R68" i="72"/>
  <c r="R76" i="72"/>
  <c r="R84" i="72"/>
  <c r="R92" i="72"/>
  <c r="R100" i="72"/>
  <c r="R108" i="72"/>
  <c r="R116" i="72"/>
  <c r="R124" i="72"/>
  <c r="R132" i="72"/>
  <c r="R144" i="72"/>
  <c r="R152" i="72"/>
  <c r="R160" i="72"/>
  <c r="R168" i="72"/>
  <c r="R176" i="72"/>
  <c r="R188" i="72"/>
  <c r="R204" i="72"/>
  <c r="R192" i="72"/>
  <c r="R208" i="72"/>
  <c r="R196" i="72"/>
  <c r="R52" i="72"/>
  <c r="R184" i="72"/>
  <c r="R200" i="72"/>
  <c r="B65" i="72"/>
  <c r="C150" i="72"/>
  <c r="E150" i="72" s="1"/>
  <c r="C170" i="72"/>
  <c r="D170" i="72" s="1"/>
  <c r="B142" i="72"/>
  <c r="C83" i="72"/>
  <c r="B108" i="72"/>
  <c r="B152" i="72"/>
  <c r="N99" i="72"/>
  <c r="N134" i="72"/>
  <c r="K188" i="72"/>
  <c r="U188" i="72" s="1"/>
  <c r="I188" i="72" s="1"/>
  <c r="K167" i="72"/>
  <c r="U167" i="72" s="1"/>
  <c r="I167" i="72" s="1"/>
  <c r="K200" i="72"/>
  <c r="U200" i="72" s="1"/>
  <c r="I200" i="72" s="1"/>
  <c r="N75" i="72"/>
  <c r="N89" i="72"/>
  <c r="N57" i="72"/>
  <c r="N181" i="72"/>
  <c r="N193" i="72"/>
  <c r="N205" i="72"/>
  <c r="N141" i="72"/>
  <c r="C8" i="39"/>
  <c r="C14" i="39" s="1"/>
  <c r="V72" i="39"/>
  <c r="K210" i="72"/>
  <c r="U210" i="72" s="1"/>
  <c r="I210" i="72" s="1"/>
  <c r="C185" i="72"/>
  <c r="E185" i="72" s="1"/>
  <c r="C77" i="72"/>
  <c r="C61" i="72"/>
  <c r="C209" i="72"/>
  <c r="D209" i="72" s="1"/>
  <c r="C204" i="72"/>
  <c r="E204" i="72" s="1"/>
  <c r="C74" i="72"/>
  <c r="B122" i="72"/>
  <c r="C123" i="72"/>
  <c r="E123" i="72" s="1"/>
  <c r="N123" i="72"/>
  <c r="N96" i="72"/>
  <c r="N97" i="72"/>
  <c r="K196" i="72"/>
  <c r="U196" i="72" s="1"/>
  <c r="I196" i="72" s="1"/>
  <c r="K175" i="72"/>
  <c r="U175" i="72" s="1"/>
  <c r="I175" i="72" s="1"/>
  <c r="K208" i="72"/>
  <c r="U208" i="72" s="1"/>
  <c r="I208" i="72" s="1"/>
  <c r="B9" i="13"/>
  <c r="N144" i="72"/>
  <c r="N68" i="72"/>
  <c r="N187" i="72"/>
  <c r="N184" i="72"/>
  <c r="N173" i="72"/>
  <c r="N124" i="72"/>
  <c r="N140" i="72"/>
  <c r="U69" i="39"/>
  <c r="D153" i="72"/>
  <c r="D65" i="72"/>
  <c r="E65" i="72"/>
  <c r="D104" i="72"/>
  <c r="P61" i="72"/>
  <c r="B146" i="72"/>
  <c r="C179" i="72"/>
  <c r="E179" i="72" s="1"/>
  <c r="B55" i="72"/>
  <c r="B97" i="72"/>
  <c r="B173" i="72"/>
  <c r="C55" i="72"/>
  <c r="B191" i="72"/>
  <c r="C200" i="72"/>
  <c r="C75" i="72"/>
  <c r="D75" i="72" s="1"/>
  <c r="B84" i="72"/>
  <c r="C203" i="72"/>
  <c r="E203" i="72" s="1"/>
  <c r="B148" i="72"/>
  <c r="C161" i="72"/>
  <c r="P161" i="72" s="1"/>
  <c r="C152" i="72"/>
  <c r="B95" i="72"/>
  <c r="K182" i="72"/>
  <c r="K6" i="79"/>
  <c r="C206" i="72"/>
  <c r="B202" i="72"/>
  <c r="C198" i="72"/>
  <c r="E198" i="72" s="1"/>
  <c r="C78" i="72"/>
  <c r="D78" i="72" s="1"/>
  <c r="B189" i="72"/>
  <c r="B179" i="72"/>
  <c r="C134" i="72"/>
  <c r="D134" i="72" s="1"/>
  <c r="B66" i="72"/>
  <c r="B193" i="72"/>
  <c r="B109" i="72"/>
  <c r="C76" i="72"/>
  <c r="E76" i="72" s="1"/>
  <c r="B155" i="72"/>
  <c r="B137" i="72"/>
  <c r="B119" i="72"/>
  <c r="B206" i="72"/>
  <c r="C194" i="72"/>
  <c r="G194" i="72" s="1"/>
  <c r="H194" i="72" s="1"/>
  <c r="C145" i="72"/>
  <c r="C113" i="72"/>
  <c r="C171" i="72"/>
  <c r="E171" i="72" s="1"/>
  <c r="C106" i="72"/>
  <c r="D106" i="72" s="1"/>
  <c r="B51" i="72"/>
  <c r="B57" i="72"/>
  <c r="C196" i="72"/>
  <c r="P196" i="72" s="1"/>
  <c r="C108" i="72"/>
  <c r="D108" i="72" s="1"/>
  <c r="B105" i="72"/>
  <c r="B82" i="72"/>
  <c r="C177" i="72"/>
  <c r="E177" i="72" s="1"/>
  <c r="B125" i="72"/>
  <c r="K194" i="72"/>
  <c r="U194" i="72" s="1"/>
  <c r="I194" i="72" s="1"/>
  <c r="B174" i="72"/>
  <c r="C59" i="72"/>
  <c r="P59" i="72" s="1"/>
  <c r="C205" i="72"/>
  <c r="E205" i="72" s="1"/>
  <c r="C127" i="72"/>
  <c r="B117" i="72"/>
  <c r="N131" i="72"/>
  <c r="N102" i="72"/>
  <c r="N106" i="72"/>
  <c r="N130" i="72"/>
  <c r="N145" i="72"/>
  <c r="N98" i="72"/>
  <c r="K211" i="72"/>
  <c r="U211" i="72" s="1"/>
  <c r="I211" i="72" s="1"/>
  <c r="K166" i="72"/>
  <c r="U166" i="72" s="1"/>
  <c r="I166" i="72" s="1"/>
  <c r="K202" i="72"/>
  <c r="U202" i="72" s="1"/>
  <c r="I202" i="72" s="1"/>
  <c r="K199" i="72"/>
  <c r="U199" i="72" s="1"/>
  <c r="I199" i="72" s="1"/>
  <c r="K152" i="72"/>
  <c r="U152" i="72" s="1"/>
  <c r="I152" i="72" s="1"/>
  <c r="K185" i="72"/>
  <c r="U185" i="72" s="1"/>
  <c r="I185" i="72" s="1"/>
  <c r="N157" i="72"/>
  <c r="N153" i="72"/>
  <c r="N189" i="72"/>
  <c r="N52" i="72"/>
  <c r="N195" i="72"/>
  <c r="N191" i="72"/>
  <c r="N58" i="72"/>
  <c r="C6" i="79"/>
  <c r="D155" i="79" s="1"/>
  <c r="D156" i="79" s="1"/>
  <c r="C23" i="2" s="1"/>
  <c r="N199" i="72"/>
  <c r="N55" i="72"/>
  <c r="B8" i="38"/>
  <c r="B14" i="38" s="1"/>
  <c r="B18" i="38" s="1"/>
  <c r="N158" i="72"/>
  <c r="N84" i="72"/>
  <c r="N163" i="72"/>
  <c r="N164" i="72"/>
  <c r="N91" i="72"/>
  <c r="C186" i="72"/>
  <c r="E186" i="72" s="1"/>
  <c r="B83" i="72"/>
  <c r="B209" i="72"/>
  <c r="C142" i="72"/>
  <c r="B201" i="72"/>
  <c r="C84" i="72"/>
  <c r="E84" i="72" s="1"/>
  <c r="B60" i="72"/>
  <c r="B134" i="72"/>
  <c r="C149" i="72"/>
  <c r="C117" i="72"/>
  <c r="E117" i="72" s="1"/>
  <c r="C201" i="72"/>
  <c r="B78" i="72"/>
  <c r="C66" i="72"/>
  <c r="D66" i="72" s="1"/>
  <c r="C62" i="72"/>
  <c r="E62" i="72" s="1"/>
  <c r="B165" i="72"/>
  <c r="B197" i="72"/>
  <c r="C128" i="72"/>
  <c r="E128" i="72" s="1"/>
  <c r="C111" i="72"/>
  <c r="B126" i="72"/>
  <c r="K58" i="72"/>
  <c r="K198" i="72"/>
  <c r="U198" i="72" s="1"/>
  <c r="I198" i="72" s="1"/>
  <c r="K162" i="72"/>
  <c r="U162" i="72" s="1"/>
  <c r="I162" i="72" s="1"/>
  <c r="K181" i="72"/>
  <c r="C81" i="72"/>
  <c r="C211" i="72"/>
  <c r="E211" i="72" s="1"/>
  <c r="B85" i="72"/>
  <c r="C189" i="72"/>
  <c r="E189" i="72" s="1"/>
  <c r="C70" i="72"/>
  <c r="B207" i="72"/>
  <c r="C168" i="72"/>
  <c r="P168" i="72" s="1"/>
  <c r="C98" i="72"/>
  <c r="B63" i="72"/>
  <c r="B156" i="72"/>
  <c r="C184" i="72"/>
  <c r="C192" i="72"/>
  <c r="E192" i="72" s="1"/>
  <c r="B184" i="72"/>
  <c r="B127" i="72"/>
  <c r="B164" i="72"/>
  <c r="B75" i="72"/>
  <c r="C163" i="72"/>
  <c r="C129" i="72"/>
  <c r="C89" i="72"/>
  <c r="D89" i="72" s="1"/>
  <c r="C207" i="72"/>
  <c r="C102" i="72"/>
  <c r="B170" i="72"/>
  <c r="B167" i="72"/>
  <c r="C187" i="72"/>
  <c r="P187" i="72" s="1"/>
  <c r="C124" i="72"/>
  <c r="B150" i="72"/>
  <c r="B135" i="72"/>
  <c r="C193" i="72"/>
  <c r="E193" i="72" s="1"/>
  <c r="C71" i="72"/>
  <c r="B130" i="72"/>
  <c r="B107" i="72"/>
  <c r="C116" i="72"/>
  <c r="B131" i="72"/>
  <c r="K61" i="72"/>
  <c r="U61" i="72" s="1"/>
  <c r="I61" i="72" s="1"/>
  <c r="G61" i="72" s="1"/>
  <c r="H61" i="72" s="1"/>
  <c r="K155" i="72"/>
  <c r="U155" i="72" s="1"/>
  <c r="I155" i="72" s="1"/>
  <c r="P155" i="72" s="1"/>
  <c r="N126" i="72"/>
  <c r="N138" i="72"/>
  <c r="N111" i="72"/>
  <c r="K164" i="72"/>
  <c r="U164" i="72" s="1"/>
  <c r="I164" i="72" s="1"/>
  <c r="K174" i="72"/>
  <c r="U174" i="72" s="1"/>
  <c r="I174" i="72" s="1"/>
  <c r="K63" i="72"/>
  <c r="U63" i="72" s="1"/>
  <c r="I63" i="72" s="1"/>
  <c r="K207" i="72"/>
  <c r="U207" i="72" s="1"/>
  <c r="I207" i="72" s="1"/>
  <c r="K160" i="72"/>
  <c r="U160" i="72" s="1"/>
  <c r="I160" i="72" s="1"/>
  <c r="K60" i="72"/>
  <c r="U60" i="72" s="1"/>
  <c r="I60" i="72" s="1"/>
  <c r="N167" i="72"/>
  <c r="N66" i="72"/>
  <c r="N70" i="72"/>
  <c r="N171" i="72"/>
  <c r="N64" i="72"/>
  <c r="N136" i="72"/>
  <c r="N69" i="72"/>
  <c r="N129" i="72"/>
  <c r="N51" i="72"/>
  <c r="N137" i="72"/>
  <c r="N53" i="72"/>
  <c r="N211" i="72"/>
  <c r="N206" i="72"/>
  <c r="N86" i="72"/>
  <c r="N176" i="72"/>
  <c r="D194" i="72"/>
  <c r="E113" i="72"/>
  <c r="E108" i="72"/>
  <c r="D59" i="72"/>
  <c r="E127" i="72"/>
  <c r="E81" i="72"/>
  <c r="D81" i="72"/>
  <c r="E70" i="72"/>
  <c r="D70" i="72"/>
  <c r="E129" i="72"/>
  <c r="D129" i="72"/>
  <c r="E187" i="72"/>
  <c r="V74" i="39"/>
  <c r="E155" i="72"/>
  <c r="D155" i="72"/>
  <c r="E58" i="72"/>
  <c r="D58" i="72"/>
  <c r="E77" i="72"/>
  <c r="D77" i="72"/>
  <c r="E61" i="72"/>
  <c r="D61" i="72"/>
  <c r="E121" i="72"/>
  <c r="D121" i="72"/>
  <c r="E83" i="72"/>
  <c r="D83" i="72"/>
  <c r="E94" i="72"/>
  <c r="D94" i="72"/>
  <c r="E74" i="72"/>
  <c r="D74" i="72"/>
  <c r="E135" i="72"/>
  <c r="D135" i="72"/>
  <c r="E80" i="72"/>
  <c r="D80" i="72"/>
  <c r="V66" i="39"/>
  <c r="E134" i="72"/>
  <c r="D76" i="72"/>
  <c r="D145" i="72"/>
  <c r="E196" i="72"/>
  <c r="D196" i="72"/>
  <c r="D205" i="72"/>
  <c r="E98" i="72"/>
  <c r="D184" i="72"/>
  <c r="E163" i="72"/>
  <c r="D163" i="72"/>
  <c r="E102" i="72"/>
  <c r="D102" i="72"/>
  <c r="E124" i="72"/>
  <c r="D124" i="72"/>
  <c r="E71" i="72"/>
  <c r="D71" i="72"/>
  <c r="D186" i="72"/>
  <c r="E142" i="72"/>
  <c r="D142" i="72"/>
  <c r="E149" i="72"/>
  <c r="D149" i="72"/>
  <c r="E66" i="72"/>
  <c r="D161" i="72"/>
  <c r="E152" i="72"/>
  <c r="D128" i="72"/>
  <c r="E111" i="72"/>
  <c r="U73" i="39"/>
  <c r="U65" i="39"/>
  <c r="V68" i="39"/>
  <c r="V67" i="39"/>
  <c r="K66" i="72"/>
  <c r="U66" i="72" s="1"/>
  <c r="I66" i="72" s="1"/>
  <c r="K193" i="72"/>
  <c r="K189" i="72"/>
  <c r="F189" i="72" s="1"/>
  <c r="K163" i="72"/>
  <c r="U163" i="72" s="1"/>
  <c r="I163" i="72" s="1"/>
  <c r="G163" i="72" s="1"/>
  <c r="H163" i="72" s="1"/>
  <c r="K51" i="72"/>
  <c r="U51" i="72" s="1"/>
  <c r="I51" i="72" s="1"/>
  <c r="T51" i="72" s="1"/>
  <c r="K184" i="72"/>
  <c r="U184" i="72" s="1"/>
  <c r="I184" i="72" s="1"/>
  <c r="K170" i="72"/>
  <c r="U170" i="72" s="1"/>
  <c r="I170" i="72" s="1"/>
  <c r="K53" i="72"/>
  <c r="U53" i="72" s="1"/>
  <c r="I53" i="72" s="1"/>
  <c r="N115" i="72"/>
  <c r="N147" i="72"/>
  <c r="K64" i="72"/>
  <c r="U64" i="72" s="1"/>
  <c r="I64" i="72" s="1"/>
  <c r="N118" i="72"/>
  <c r="N150" i="72"/>
  <c r="N128" i="72"/>
  <c r="N105" i="72"/>
  <c r="K154" i="72"/>
  <c r="U154" i="72" s="1"/>
  <c r="I154" i="72" s="1"/>
  <c r="N121" i="72"/>
  <c r="K65" i="72"/>
  <c r="U65" i="72" s="1"/>
  <c r="I65" i="72" s="1"/>
  <c r="G65" i="72" s="1"/>
  <c r="H65" i="72" s="1"/>
  <c r="N135" i="72"/>
  <c r="N101" i="72"/>
  <c r="K171" i="72"/>
  <c r="U171" i="72" s="1"/>
  <c r="I171" i="72" s="1"/>
  <c r="K203" i="72"/>
  <c r="U203" i="72" s="1"/>
  <c r="I203" i="72" s="1"/>
  <c r="K180" i="72"/>
  <c r="U180" i="72" s="1"/>
  <c r="I180" i="72" s="1"/>
  <c r="K55" i="72"/>
  <c r="U55" i="72" s="1"/>
  <c r="I55" i="72" s="1"/>
  <c r="K206" i="72"/>
  <c r="U206" i="72" s="1"/>
  <c r="I206" i="72" s="1"/>
  <c r="K178" i="72"/>
  <c r="U178" i="72" s="1"/>
  <c r="I178" i="72" s="1"/>
  <c r="K205" i="72"/>
  <c r="U205" i="72" s="1"/>
  <c r="I205" i="72" s="1"/>
  <c r="K191" i="72"/>
  <c r="U191" i="72" s="1"/>
  <c r="I191" i="72" s="1"/>
  <c r="K177" i="72"/>
  <c r="U177" i="72" s="1"/>
  <c r="I177" i="72" s="1"/>
  <c r="K197" i="72"/>
  <c r="U197" i="72" s="1"/>
  <c r="I197" i="72" s="1"/>
  <c r="K192" i="72"/>
  <c r="U192" i="72" s="1"/>
  <c r="I192" i="72" s="1"/>
  <c r="G192" i="72" s="1"/>
  <c r="H192" i="72" s="1"/>
  <c r="K169" i="72"/>
  <c r="U169" i="72" s="1"/>
  <c r="I169" i="72" s="1"/>
  <c r="N172" i="72"/>
  <c r="N79" i="72"/>
  <c r="N59" i="72"/>
  <c r="N192" i="72"/>
  <c r="N76" i="72"/>
  <c r="N204" i="72"/>
  <c r="N113" i="72"/>
  <c r="N104" i="72"/>
  <c r="N156" i="72"/>
  <c r="N201" i="72"/>
  <c r="N80" i="72"/>
  <c r="N196" i="72"/>
  <c r="N90" i="72"/>
  <c r="N197" i="72"/>
  <c r="N151" i="72"/>
  <c r="N65" i="72"/>
  <c r="N183" i="72"/>
  <c r="N194" i="72"/>
  <c r="N56" i="72"/>
  <c r="N63" i="72"/>
  <c r="N92" i="72"/>
  <c r="N178" i="72"/>
  <c r="N203" i="72"/>
  <c r="N188" i="72"/>
  <c r="N77" i="72"/>
  <c r="N108" i="72"/>
  <c r="B9" i="43"/>
  <c r="B88" i="43" s="1"/>
  <c r="B91" i="43" s="1"/>
  <c r="N177" i="72"/>
  <c r="N169" i="72"/>
  <c r="N82" i="72"/>
  <c r="N62" i="72"/>
  <c r="N95" i="72"/>
  <c r="E18" i="72"/>
  <c r="K62" i="72"/>
  <c r="U62" i="72" s="1"/>
  <c r="I62" i="72" s="1"/>
  <c r="K158" i="72"/>
  <c r="K173" i="72"/>
  <c r="U173" i="72" s="1"/>
  <c r="I173" i="72" s="1"/>
  <c r="K151" i="72"/>
  <c r="U151" i="72" s="1"/>
  <c r="I151" i="72" s="1"/>
  <c r="K159" i="72"/>
  <c r="U159" i="72" s="1"/>
  <c r="I159" i="72" s="1"/>
  <c r="K168" i="72"/>
  <c r="U168" i="72" s="1"/>
  <c r="I168" i="72" s="1"/>
  <c r="N107" i="72"/>
  <c r="N139" i="72"/>
  <c r="K56" i="72"/>
  <c r="U56" i="72" s="1"/>
  <c r="I56" i="72" s="1"/>
  <c r="N110" i="72"/>
  <c r="N142" i="72"/>
  <c r="N117" i="72"/>
  <c r="N93" i="72"/>
  <c r="N143" i="72"/>
  <c r="N109" i="72"/>
  <c r="K156" i="72"/>
  <c r="U156" i="72" s="1"/>
  <c r="I156" i="72" s="1"/>
  <c r="K57" i="72"/>
  <c r="U57" i="72" s="1"/>
  <c r="I57" i="72" s="1"/>
  <c r="N122" i="72"/>
  <c r="N103" i="72"/>
  <c r="N88" i="72"/>
  <c r="K195" i="72"/>
  <c r="U195" i="72" s="1"/>
  <c r="I195" i="72" s="1"/>
  <c r="K172" i="72"/>
  <c r="U172" i="72" s="1"/>
  <c r="I172" i="72" s="1"/>
  <c r="K204" i="72"/>
  <c r="U204" i="72" s="1"/>
  <c r="I204" i="72" s="1"/>
  <c r="G204" i="72" s="1"/>
  <c r="H204" i="72" s="1"/>
  <c r="K190" i="72"/>
  <c r="U190" i="72" s="1"/>
  <c r="I190" i="72" s="1"/>
  <c r="K209" i="72"/>
  <c r="U209" i="72" s="1"/>
  <c r="I209" i="72" s="1"/>
  <c r="K165" i="72"/>
  <c r="U165" i="72" s="1"/>
  <c r="I165" i="72" s="1"/>
  <c r="K183" i="72"/>
  <c r="U183" i="72" s="1"/>
  <c r="I183" i="72" s="1"/>
  <c r="K153" i="72"/>
  <c r="U153" i="72" s="1"/>
  <c r="I153" i="72" s="1"/>
  <c r="G153" i="72" s="1"/>
  <c r="H153" i="72" s="1"/>
  <c r="K186" i="72"/>
  <c r="U186" i="72" s="1"/>
  <c r="I186" i="72" s="1"/>
  <c r="K176" i="72"/>
  <c r="U176" i="72" s="1"/>
  <c r="I176" i="72" s="1"/>
  <c r="K67" i="72"/>
  <c r="U67" i="72" s="1"/>
  <c r="I67" i="72" s="1"/>
  <c r="N207" i="72"/>
  <c r="N87" i="72"/>
  <c r="N175" i="72"/>
  <c r="N190" i="72"/>
  <c r="N170" i="72"/>
  <c r="N200" i="72"/>
  <c r="N132" i="72"/>
  <c r="N125" i="72"/>
  <c r="N154" i="72"/>
  <c r="N202" i="72"/>
  <c r="N152" i="72"/>
  <c r="N81" i="72"/>
  <c r="N114" i="72"/>
  <c r="N174" i="72"/>
  <c r="N165" i="72"/>
  <c r="N180" i="72"/>
  <c r="N112" i="72"/>
  <c r="N186" i="72"/>
  <c r="N159" i="72"/>
  <c r="N182" i="72"/>
  <c r="N116" i="72"/>
  <c r="N83" i="72"/>
  <c r="N185" i="72"/>
  <c r="N71" i="72"/>
  <c r="N67" i="72"/>
  <c r="N127" i="72"/>
  <c r="N208" i="72"/>
  <c r="N100" i="72"/>
  <c r="N162" i="72"/>
  <c r="N60" i="72"/>
  <c r="N179" i="72"/>
  <c r="U64" i="39"/>
  <c r="V64" i="39"/>
  <c r="E104" i="72"/>
  <c r="B143" i="72"/>
  <c r="O52" i="72"/>
  <c r="O56" i="72"/>
  <c r="O60" i="72"/>
  <c r="O64" i="72"/>
  <c r="O68" i="72"/>
  <c r="O72" i="72"/>
  <c r="O76" i="72"/>
  <c r="O80" i="72"/>
  <c r="O84" i="72"/>
  <c r="O88" i="72"/>
  <c r="O92" i="72"/>
  <c r="O96" i="72"/>
  <c r="O100" i="72"/>
  <c r="O104" i="72"/>
  <c r="O108" i="72"/>
  <c r="O112" i="72"/>
  <c r="O116" i="72"/>
  <c r="O120" i="72"/>
  <c r="O124" i="72"/>
  <c r="O128" i="72"/>
  <c r="O132" i="72"/>
  <c r="O136" i="72"/>
  <c r="O140" i="72"/>
  <c r="O144" i="72"/>
  <c r="O148" i="72"/>
  <c r="O152" i="72"/>
  <c r="O156" i="72"/>
  <c r="O160" i="72"/>
  <c r="O164" i="72"/>
  <c r="O168" i="72"/>
  <c r="O172" i="72"/>
  <c r="O176" i="72"/>
  <c r="O180" i="72"/>
  <c r="O184" i="72"/>
  <c r="O188" i="72"/>
  <c r="O192" i="72"/>
  <c r="O196" i="72"/>
  <c r="O200" i="72"/>
  <c r="O204" i="72"/>
  <c r="O208" i="72"/>
  <c r="O51" i="72"/>
  <c r="C51" i="72"/>
  <c r="P51" i="72" s="1"/>
  <c r="O53" i="72"/>
  <c r="O57" i="72"/>
  <c r="O61" i="72"/>
  <c r="O65" i="72"/>
  <c r="O73" i="72"/>
  <c r="O77" i="72"/>
  <c r="O81" i="72"/>
  <c r="Q81" i="72" s="1"/>
  <c r="O85" i="72"/>
  <c r="O93" i="72"/>
  <c r="Q93" i="72" s="1"/>
  <c r="O101" i="72"/>
  <c r="O109" i="72"/>
  <c r="O121" i="72"/>
  <c r="Q121" i="72" s="1"/>
  <c r="O129" i="72"/>
  <c r="O137" i="72"/>
  <c r="O145" i="72"/>
  <c r="Q145" i="72" s="1"/>
  <c r="O153" i="72"/>
  <c r="Q153" i="72" s="1"/>
  <c r="O161" i="72"/>
  <c r="O169" i="72"/>
  <c r="O177" i="72"/>
  <c r="Q177" i="72" s="1"/>
  <c r="T177" i="72" s="1"/>
  <c r="O185" i="72"/>
  <c r="Q185" i="72" s="1"/>
  <c r="T185" i="72" s="1"/>
  <c r="O193" i="72"/>
  <c r="O201" i="72"/>
  <c r="O209" i="72"/>
  <c r="Q209" i="72" s="1"/>
  <c r="O54" i="72"/>
  <c r="O62" i="72"/>
  <c r="O66" i="72"/>
  <c r="O74" i="72"/>
  <c r="O78" i="72"/>
  <c r="O86" i="72"/>
  <c r="O94" i="72"/>
  <c r="O102" i="72"/>
  <c r="Q102" i="72" s="1"/>
  <c r="O110" i="72"/>
  <c r="O118" i="72"/>
  <c r="O126" i="72"/>
  <c r="O134" i="72"/>
  <c r="O142" i="72"/>
  <c r="O150" i="72"/>
  <c r="O158" i="72"/>
  <c r="O166" i="72"/>
  <c r="O178" i="72"/>
  <c r="O186" i="72"/>
  <c r="O194" i="72"/>
  <c r="O202" i="72"/>
  <c r="Q202" i="72" s="1"/>
  <c r="T202" i="72" s="1"/>
  <c r="O55" i="72"/>
  <c r="Q55" i="72" s="1"/>
  <c r="O59" i="72"/>
  <c r="O63" i="72"/>
  <c r="O67" i="72"/>
  <c r="Q67" i="72" s="1"/>
  <c r="T67" i="72" s="1"/>
  <c r="O71" i="72"/>
  <c r="O75" i="72"/>
  <c r="O79" i="72"/>
  <c r="O83" i="72"/>
  <c r="O87" i="72"/>
  <c r="O91" i="72"/>
  <c r="O95" i="72"/>
  <c r="Q95" i="72" s="1"/>
  <c r="O99" i="72"/>
  <c r="Q99" i="72" s="1"/>
  <c r="O103" i="72"/>
  <c r="O107" i="72"/>
  <c r="O111" i="72"/>
  <c r="O115" i="72"/>
  <c r="O119" i="72"/>
  <c r="O123" i="72"/>
  <c r="O127" i="72"/>
  <c r="Q127" i="72" s="1"/>
  <c r="O131" i="72"/>
  <c r="Q131" i="72" s="1"/>
  <c r="O135" i="72"/>
  <c r="O139" i="72"/>
  <c r="O143" i="72"/>
  <c r="O147" i="72"/>
  <c r="O151" i="72"/>
  <c r="O155" i="72"/>
  <c r="O159" i="72"/>
  <c r="Q159" i="72" s="1"/>
  <c r="O163" i="72"/>
  <c r="Q163" i="72" s="1"/>
  <c r="O167" i="72"/>
  <c r="O171" i="72"/>
  <c r="O175" i="72"/>
  <c r="O179" i="72"/>
  <c r="O183" i="72"/>
  <c r="O187" i="72"/>
  <c r="Q187" i="72" s="1"/>
  <c r="T187" i="72" s="1"/>
  <c r="O191" i="72"/>
  <c r="O195" i="72"/>
  <c r="Q195" i="72" s="1"/>
  <c r="O199" i="72"/>
  <c r="O203" i="72"/>
  <c r="O207" i="72"/>
  <c r="O211" i="72"/>
  <c r="O69" i="72"/>
  <c r="O89" i="72"/>
  <c r="O97" i="72"/>
  <c r="Q97" i="72" s="1"/>
  <c r="O105" i="72"/>
  <c r="O113" i="72"/>
  <c r="O117" i="72"/>
  <c r="O125" i="72"/>
  <c r="O133" i="72"/>
  <c r="Q133" i="72" s="1"/>
  <c r="O141" i="72"/>
  <c r="O149" i="72"/>
  <c r="O157" i="72"/>
  <c r="O165" i="72"/>
  <c r="Q165" i="72" s="1"/>
  <c r="O173" i="72"/>
  <c r="O181" i="72"/>
  <c r="O189" i="72"/>
  <c r="O197" i="72"/>
  <c r="Q197" i="72" s="1"/>
  <c r="T197" i="72" s="1"/>
  <c r="O205" i="72"/>
  <c r="Z38" i="72"/>
  <c r="O58" i="72"/>
  <c r="Q58" i="72" s="1"/>
  <c r="O70" i="72"/>
  <c r="O82" i="72"/>
  <c r="O90" i="72"/>
  <c r="Q90" i="72" s="1"/>
  <c r="O98" i="72"/>
  <c r="Q98" i="72" s="1"/>
  <c r="O106" i="72"/>
  <c r="Q106" i="72" s="1"/>
  <c r="O114" i="72"/>
  <c r="Q114" i="72" s="1"/>
  <c r="O122" i="72"/>
  <c r="O130" i="72"/>
  <c r="O138" i="72"/>
  <c r="Q138" i="72" s="1"/>
  <c r="O146" i="72"/>
  <c r="O154" i="72"/>
  <c r="O162" i="72"/>
  <c r="O170" i="72"/>
  <c r="Q170" i="72" s="1"/>
  <c r="O174" i="72"/>
  <c r="Q174" i="72" s="1"/>
  <c r="T174" i="72" s="1"/>
  <c r="O182" i="72"/>
  <c r="Q182" i="72" s="1"/>
  <c r="O190" i="72"/>
  <c r="Q190" i="72" s="1"/>
  <c r="O198" i="72"/>
  <c r="Q198" i="72" s="1"/>
  <c r="T198" i="72" s="1"/>
  <c r="O206" i="72"/>
  <c r="Q206" i="72" s="1"/>
  <c r="O210" i="72"/>
  <c r="C75" i="38"/>
  <c r="E75" i="38" s="1"/>
  <c r="D28" i="38" s="1"/>
  <c r="C78" i="38"/>
  <c r="E78" i="38" s="1"/>
  <c r="C76" i="38"/>
  <c r="E76" i="38" s="1"/>
  <c r="C74" i="38"/>
  <c r="E74" i="38" s="1"/>
  <c r="C28" i="38" s="1"/>
  <c r="C73" i="38"/>
  <c r="E73" i="38" s="1"/>
  <c r="C77" i="38"/>
  <c r="E77" i="38" s="1"/>
  <c r="D207" i="79"/>
  <c r="B26" i="2" s="1"/>
  <c r="C10" i="62"/>
  <c r="B11" i="62" s="1"/>
  <c r="D653" i="79"/>
  <c r="N41" i="2" s="1"/>
  <c r="D545" i="79"/>
  <c r="B16" i="14"/>
  <c r="D501" i="79"/>
  <c r="N44" i="2" s="1"/>
  <c r="D619" i="79"/>
  <c r="N37" i="2" s="1"/>
  <c r="D404" i="79"/>
  <c r="L39" i="2" s="1"/>
  <c r="D599" i="79"/>
  <c r="M38" i="2" s="1"/>
  <c r="D636" i="79"/>
  <c r="N39" i="2" s="1"/>
  <c r="D390" i="79"/>
  <c r="L38" i="2" s="1"/>
  <c r="D159" i="79"/>
  <c r="B23" i="2" s="1"/>
  <c r="D375" i="79"/>
  <c r="L37" i="2" s="1"/>
  <c r="D440" i="79"/>
  <c r="L42" i="2" s="1"/>
  <c r="D607" i="79"/>
  <c r="M41" i="2" s="1"/>
  <c r="D290" i="79"/>
  <c r="D291" i="79" s="1"/>
  <c r="B29" i="2" s="1"/>
  <c r="D117" i="79"/>
  <c r="B21" i="2" s="1"/>
  <c r="D660" i="79"/>
  <c r="D661" i="79" s="1"/>
  <c r="N43" i="2" s="1"/>
  <c r="D72" i="79"/>
  <c r="D73" i="79" s="1"/>
  <c r="B18" i="2" s="1"/>
  <c r="B17" i="33"/>
  <c r="C10" i="74"/>
  <c r="B11" i="74" s="1"/>
  <c r="D519" i="79"/>
  <c r="M44" i="2" s="1"/>
  <c r="D491" i="79"/>
  <c r="M39" i="2" s="1"/>
  <c r="C97" i="72"/>
  <c r="C122" i="72"/>
  <c r="B182" i="72"/>
  <c r="C159" i="72"/>
  <c r="B92" i="72"/>
  <c r="C99" i="72"/>
  <c r="B172" i="72"/>
  <c r="C96" i="72"/>
  <c r="C139" i="72"/>
  <c r="B120" i="72"/>
  <c r="C167" i="72"/>
  <c r="B58" i="72"/>
  <c r="C195" i="72"/>
  <c r="C64" i="72"/>
  <c r="B145" i="72"/>
  <c r="C166" i="72"/>
  <c r="C90" i="72"/>
  <c r="B76" i="72"/>
  <c r="B204" i="72"/>
  <c r="C182" i="72"/>
  <c r="C154" i="72"/>
  <c r="B71" i="72"/>
  <c r="B112" i="72"/>
  <c r="B115" i="72"/>
  <c r="B154" i="72"/>
  <c r="C156" i="72"/>
  <c r="C125" i="72"/>
  <c r="C93" i="72"/>
  <c r="C210" i="72"/>
  <c r="C114" i="72"/>
  <c r="B196" i="72"/>
  <c r="B89" i="72"/>
  <c r="B157" i="72"/>
  <c r="C82" i="72"/>
  <c r="C119" i="72"/>
  <c r="B140" i="72"/>
  <c r="B52" i="72"/>
  <c r="B54" i="72"/>
  <c r="C164" i="72"/>
  <c r="B138" i="72"/>
  <c r="C88" i="72"/>
  <c r="C183" i="72"/>
  <c r="B100" i="72"/>
  <c r="B91" i="72"/>
  <c r="C91" i="72"/>
  <c r="C143" i="72"/>
  <c r="C180" i="72"/>
  <c r="C158" i="72"/>
  <c r="B159" i="72"/>
  <c r="C54" i="72"/>
  <c r="B176" i="72"/>
  <c r="C162" i="72"/>
  <c r="C202" i="72"/>
  <c r="P202" i="72" s="1"/>
  <c r="C115" i="72"/>
  <c r="B86" i="72"/>
  <c r="C148" i="72"/>
  <c r="B88" i="72"/>
  <c r="B116" i="72"/>
  <c r="E14" i="72"/>
  <c r="B161" i="72"/>
  <c r="B198" i="72"/>
  <c r="C157" i="72"/>
  <c r="P157" i="72" s="1"/>
  <c r="B96" i="72"/>
  <c r="B118" i="72"/>
  <c r="C126" i="72"/>
  <c r="B183" i="72"/>
  <c r="B124" i="72"/>
  <c r="B62" i="72"/>
  <c r="C68" i="72"/>
  <c r="B61" i="72"/>
  <c r="C173" i="72"/>
  <c r="B187" i="72"/>
  <c r="B175" i="72"/>
  <c r="C191" i="72"/>
  <c r="C141" i="72"/>
  <c r="C109" i="72"/>
  <c r="C63" i="72"/>
  <c r="P63" i="72" s="1"/>
  <c r="C146" i="72"/>
  <c r="C85" i="72"/>
  <c r="B133" i="72"/>
  <c r="B56" i="72"/>
  <c r="C181" i="72"/>
  <c r="C87" i="72"/>
  <c r="C151" i="72"/>
  <c r="B87" i="72"/>
  <c r="C169" i="72"/>
  <c r="B162" i="72"/>
  <c r="B147" i="72"/>
  <c r="B114" i="72"/>
  <c r="C131" i="72"/>
  <c r="B190" i="72"/>
  <c r="C72" i="72"/>
  <c r="B180" i="72"/>
  <c r="B69" i="72"/>
  <c r="C100" i="72"/>
  <c r="C95" i="72"/>
  <c r="B77" i="72"/>
  <c r="B153" i="72"/>
  <c r="C140" i="72"/>
  <c r="B139" i="72"/>
  <c r="B93" i="72"/>
  <c r="B177" i="72"/>
  <c r="C190" i="72"/>
  <c r="B68" i="72"/>
  <c r="B149" i="72"/>
  <c r="B123" i="72"/>
  <c r="C120" i="72"/>
  <c r="C86" i="72"/>
  <c r="B199" i="72"/>
  <c r="B144" i="72"/>
  <c r="C118" i="72"/>
  <c r="B158" i="72"/>
  <c r="B151" i="72"/>
  <c r="C197" i="72"/>
  <c r="C67" i="72"/>
  <c r="B203" i="72"/>
  <c r="C160" i="72"/>
  <c r="P160" i="72" s="1"/>
  <c r="B208" i="72"/>
  <c r="B59" i="72"/>
  <c r="C175" i="72"/>
  <c r="C137" i="72"/>
  <c r="C105" i="72"/>
  <c r="C60" i="72"/>
  <c r="C138" i="72"/>
  <c r="C69" i="72"/>
  <c r="B171" i="72"/>
  <c r="B81" i="72"/>
  <c r="C178" i="72"/>
  <c r="C92" i="72"/>
  <c r="B106" i="72"/>
  <c r="C174" i="72"/>
  <c r="B188" i="72"/>
  <c r="B195" i="72"/>
  <c r="C136" i="72"/>
  <c r="B168" i="72"/>
  <c r="B64" i="72"/>
  <c r="B103" i="72"/>
  <c r="B128" i="72"/>
  <c r="C107" i="72"/>
  <c r="C199" i="72"/>
  <c r="B194" i="72"/>
  <c r="B163" i="72"/>
  <c r="B70" i="72"/>
  <c r="B181" i="72"/>
  <c r="C110" i="72"/>
  <c r="B53" i="72"/>
  <c r="B99" i="72"/>
  <c r="C188" i="72"/>
  <c r="P188" i="72" s="1"/>
  <c r="C57" i="72"/>
  <c r="B67" i="72"/>
  <c r="C52" i="72"/>
  <c r="P52" i="72" s="1"/>
  <c r="B211" i="72"/>
  <c r="B73" i="72"/>
  <c r="C172" i="72"/>
  <c r="C133" i="72"/>
  <c r="C101" i="72"/>
  <c r="C176" i="72"/>
  <c r="P176" i="72" s="1"/>
  <c r="C130" i="72"/>
  <c r="B74" i="72"/>
  <c r="B80" i="72"/>
  <c r="B160" i="72"/>
  <c r="C165" i="72"/>
  <c r="C103" i="72"/>
  <c r="B90" i="72"/>
  <c r="B200" i="72"/>
  <c r="C208" i="72"/>
  <c r="P208" i="72" s="1"/>
  <c r="C56" i="72"/>
  <c r="B101" i="72"/>
  <c r="C53" i="72"/>
  <c r="P53" i="72" s="1"/>
  <c r="C147" i="72"/>
  <c r="B104" i="72"/>
  <c r="B169" i="72"/>
  <c r="B192" i="72"/>
  <c r="C73" i="72"/>
  <c r="C132" i="72"/>
  <c r="C112" i="72"/>
  <c r="B110" i="72"/>
  <c r="B210" i="72"/>
  <c r="D197" i="79"/>
  <c r="B25" i="2" s="1"/>
  <c r="D361" i="79"/>
  <c r="B33" i="2" s="1"/>
  <c r="B12" i="21"/>
  <c r="D577" i="79"/>
  <c r="M37" i="2" s="1"/>
  <c r="B11" i="80"/>
  <c r="M43" i="2"/>
  <c r="N45" i="2"/>
  <c r="F29" i="79"/>
  <c r="D29" i="79" s="1"/>
  <c r="D30" i="79" s="1"/>
  <c r="B16" i="2" s="1"/>
  <c r="C12" i="37"/>
  <c r="B13" i="37" s="1"/>
  <c r="F7" i="37" s="1"/>
  <c r="D321" i="79"/>
  <c r="D322" i="79" s="1"/>
  <c r="B31" i="2" s="1"/>
  <c r="C11" i="44"/>
  <c r="B12" i="44" s="1"/>
  <c r="C11" i="45"/>
  <c r="B12" i="45" s="1"/>
  <c r="G9" i="45" s="1"/>
  <c r="D87" i="79"/>
  <c r="D88" i="79" s="1"/>
  <c r="B19" i="2" s="1"/>
  <c r="C13" i="37"/>
  <c r="F30" i="79"/>
  <c r="D223" i="79"/>
  <c r="D224" i="79" s="1"/>
  <c r="B27" i="2" s="1"/>
  <c r="C12" i="18"/>
  <c r="B13" i="18" s="1"/>
  <c r="D627" i="79"/>
  <c r="N38" i="2" s="1"/>
  <c r="D306" i="79"/>
  <c r="B30" i="2" s="1"/>
  <c r="D428" i="79"/>
  <c r="D429" i="79" s="1"/>
  <c r="L41" i="2" s="1"/>
  <c r="C10" i="51"/>
  <c r="B11" i="51" s="1"/>
  <c r="B141" i="72"/>
  <c r="B113" i="72"/>
  <c r="B178" i="72"/>
  <c r="B102" i="72"/>
  <c r="B111" i="72"/>
  <c r="C144" i="72"/>
  <c r="B166" i="72"/>
  <c r="B186" i="72"/>
  <c r="C79" i="72"/>
  <c r="B23" i="43"/>
  <c r="B24" i="43" s="1"/>
  <c r="C48" i="2"/>
  <c r="G179" i="72"/>
  <c r="H179" i="72" s="1"/>
  <c r="F201" i="72"/>
  <c r="G200" i="72"/>
  <c r="H200" i="72" s="1"/>
  <c r="B18" i="43"/>
  <c r="D131" i="79"/>
  <c r="D134" i="79" s="1"/>
  <c r="D135" i="79" s="1"/>
  <c r="D137" i="79" s="1"/>
  <c r="B22" i="2" s="1"/>
  <c r="C58" i="13"/>
  <c r="F152" i="72"/>
  <c r="E207" i="72"/>
  <c r="B58" i="2"/>
  <c r="B31" i="12" s="1"/>
  <c r="F61" i="72"/>
  <c r="G198" i="72"/>
  <c r="H198" i="72" s="1"/>
  <c r="F58" i="72"/>
  <c r="G201" i="72"/>
  <c r="H201" i="72" s="1"/>
  <c r="F59" i="72"/>
  <c r="G196" i="72"/>
  <c r="H196" i="72" s="1"/>
  <c r="G187" i="72"/>
  <c r="H187" i="72" s="1"/>
  <c r="C33" i="2"/>
  <c r="D59" i="79"/>
  <c r="D60" i="79" s="1"/>
  <c r="D61" i="79" s="1"/>
  <c r="C8" i="82"/>
  <c r="D43" i="79"/>
  <c r="C8" i="42"/>
  <c r="C8" i="83"/>
  <c r="C11" i="83" s="1"/>
  <c r="C13" i="83" s="1"/>
  <c r="H9" i="83" s="1"/>
  <c r="B10" i="46"/>
  <c r="U54" i="72"/>
  <c r="I54" i="72" s="1"/>
  <c r="U158" i="72"/>
  <c r="I158" i="72" s="1"/>
  <c r="F200" i="72"/>
  <c r="F211" i="72"/>
  <c r="E55" i="72"/>
  <c r="E153" i="72"/>
  <c r="F198" i="72"/>
  <c r="E200" i="72"/>
  <c r="G152" i="72"/>
  <c r="H152" i="72" s="1"/>
  <c r="D28" i="53"/>
  <c r="B10" i="53"/>
  <c r="M42" i="2"/>
  <c r="D27" i="50"/>
  <c r="B12" i="50"/>
  <c r="I26" i="72"/>
  <c r="I27" i="72"/>
  <c r="D173" i="79"/>
  <c r="C24" i="2" s="1"/>
  <c r="D172" i="79"/>
  <c r="B24" i="2" s="1"/>
  <c r="U181" i="72"/>
  <c r="I181" i="72" s="1"/>
  <c r="B10" i="44"/>
  <c r="C33" i="44"/>
  <c r="L25" i="72"/>
  <c r="L74" i="72"/>
  <c r="L82" i="72"/>
  <c r="L73" i="72"/>
  <c r="L81" i="72"/>
  <c r="L71" i="72"/>
  <c r="L79" i="72"/>
  <c r="L87" i="72"/>
  <c r="L90" i="72"/>
  <c r="L70" i="72"/>
  <c r="L78" i="72"/>
  <c r="L86" i="72"/>
  <c r="L91" i="72"/>
  <c r="L99" i="72"/>
  <c r="L92" i="72"/>
  <c r="L69" i="72"/>
  <c r="L75" i="72"/>
  <c r="L77" i="72"/>
  <c r="L83" i="72"/>
  <c r="L85" i="72"/>
  <c r="L93" i="72"/>
  <c r="L89" i="72"/>
  <c r="L96" i="72"/>
  <c r="L76" i="72"/>
  <c r="L94" i="72"/>
  <c r="L68" i="72"/>
  <c r="L88" i="72"/>
  <c r="L95" i="72"/>
  <c r="L181" i="72"/>
  <c r="L60" i="72"/>
  <c r="L210" i="72"/>
  <c r="L131" i="72"/>
  <c r="L180" i="72"/>
  <c r="L172" i="72"/>
  <c r="L61" i="72"/>
  <c r="L158" i="72"/>
  <c r="L152" i="72"/>
  <c r="L203" i="72"/>
  <c r="L182" i="72"/>
  <c r="L55" i="72"/>
  <c r="L140" i="72"/>
  <c r="L193" i="72"/>
  <c r="L194" i="72"/>
  <c r="L191" i="72"/>
  <c r="L208" i="72"/>
  <c r="L154" i="72"/>
  <c r="L59" i="72"/>
  <c r="L56" i="72"/>
  <c r="L127" i="72"/>
  <c r="L67" i="72"/>
  <c r="L192" i="72"/>
  <c r="L101" i="72"/>
  <c r="L163" i="72"/>
  <c r="L209" i="72"/>
  <c r="L113" i="72"/>
  <c r="L103" i="72"/>
  <c r="L109" i="72"/>
  <c r="L130" i="72"/>
  <c r="L207" i="72"/>
  <c r="L198" i="72"/>
  <c r="L97" i="72"/>
  <c r="L205" i="72"/>
  <c r="L143" i="72"/>
  <c r="L147" i="72"/>
  <c r="L112" i="72"/>
  <c r="L173" i="72"/>
  <c r="L178" i="72"/>
  <c r="L166" i="72"/>
  <c r="L133" i="72"/>
  <c r="L64" i="72"/>
  <c r="L189" i="72"/>
  <c r="L139" i="72"/>
  <c r="L102" i="72"/>
  <c r="L174" i="72"/>
  <c r="L122" i="72"/>
  <c r="L175" i="72"/>
  <c r="L98" i="72"/>
  <c r="L104" i="72"/>
  <c r="L146" i="72"/>
  <c r="L124" i="72"/>
  <c r="L168" i="72"/>
  <c r="L169" i="72"/>
  <c r="L53" i="72"/>
  <c r="L145" i="72"/>
  <c r="L128" i="72"/>
  <c r="L66" i="72"/>
  <c r="L52" i="72"/>
  <c r="L150" i="72"/>
  <c r="L164" i="72"/>
  <c r="L200" i="72"/>
  <c r="L186" i="72"/>
  <c r="L149" i="72"/>
  <c r="L159" i="72"/>
  <c r="L63" i="72"/>
  <c r="L134" i="72"/>
  <c r="L123" i="72"/>
  <c r="L199" i="72"/>
  <c r="L156" i="72"/>
  <c r="L177" i="72"/>
  <c r="L211" i="72"/>
  <c r="L144" i="72"/>
  <c r="L183" i="72"/>
  <c r="L125" i="72"/>
  <c r="L118" i="72"/>
  <c r="L54" i="72"/>
  <c r="L117" i="72"/>
  <c r="L161" i="72"/>
  <c r="L58" i="72"/>
  <c r="L142" i="72"/>
  <c r="L72" i="72"/>
  <c r="L170" i="72"/>
  <c r="L108" i="72"/>
  <c r="L51" i="72"/>
  <c r="L206" i="72"/>
  <c r="L136" i="72"/>
  <c r="L119" i="72"/>
  <c r="L84" i="72"/>
  <c r="L65" i="72"/>
  <c r="L114" i="72"/>
  <c r="L165" i="72"/>
  <c r="L184" i="72"/>
  <c r="L176" i="72"/>
  <c r="L107" i="72"/>
  <c r="L160" i="72"/>
  <c r="L100" i="72"/>
  <c r="L196" i="72"/>
  <c r="L115" i="72"/>
  <c r="L132" i="72"/>
  <c r="L201" i="72"/>
  <c r="L110" i="72"/>
  <c r="L148" i="72"/>
  <c r="L153" i="72"/>
  <c r="L137" i="72"/>
  <c r="L188" i="72"/>
  <c r="L167" i="72"/>
  <c r="L141" i="72"/>
  <c r="L157" i="72"/>
  <c r="L171" i="72"/>
  <c r="L126" i="72"/>
  <c r="L116" i="72"/>
  <c r="L129" i="72"/>
  <c r="L151" i="72"/>
  <c r="L197" i="72"/>
  <c r="L202" i="72"/>
  <c r="L185" i="72"/>
  <c r="L195" i="72"/>
  <c r="L57" i="72"/>
  <c r="L138" i="72"/>
  <c r="L135" i="72"/>
  <c r="L204" i="72"/>
  <c r="L162" i="72"/>
  <c r="L80" i="72"/>
  <c r="L187" i="72"/>
  <c r="L120" i="72"/>
  <c r="L105" i="72"/>
  <c r="L111" i="72"/>
  <c r="L62" i="72"/>
  <c r="L190" i="72"/>
  <c r="L121" i="72"/>
  <c r="L106" i="72"/>
  <c r="L179" i="72"/>
  <c r="L155" i="72"/>
  <c r="D319" i="79"/>
  <c r="C31" i="2" s="1"/>
  <c r="I9" i="45"/>
  <c r="D33" i="18"/>
  <c r="C33" i="18" s="1"/>
  <c r="B13" i="16"/>
  <c r="D26" i="16"/>
  <c r="B11" i="16"/>
  <c r="U58" i="72"/>
  <c r="I58" i="72" s="1"/>
  <c r="G58" i="72" s="1"/>
  <c r="H58" i="72" s="1"/>
  <c r="D278" i="79"/>
  <c r="U182" i="72"/>
  <c r="I182" i="72" s="1"/>
  <c r="G186" i="72" l="1"/>
  <c r="H186" i="72" s="1"/>
  <c r="G209" i="72"/>
  <c r="H209" i="72" s="1"/>
  <c r="G62" i="72"/>
  <c r="H62" i="72" s="1"/>
  <c r="G184" i="72"/>
  <c r="H184" i="72" s="1"/>
  <c r="E75" i="72"/>
  <c r="D84" i="72"/>
  <c r="D211" i="72"/>
  <c r="D177" i="72"/>
  <c r="D171" i="72"/>
  <c r="E78" i="72"/>
  <c r="D123" i="72"/>
  <c r="D150" i="72"/>
  <c r="D185" i="72"/>
  <c r="E59" i="72"/>
  <c r="E106" i="72"/>
  <c r="D198" i="72"/>
  <c r="P185" i="72"/>
  <c r="D204" i="72"/>
  <c r="P199" i="72"/>
  <c r="P175" i="72"/>
  <c r="G205" i="72"/>
  <c r="H205" i="72" s="1"/>
  <c r="P170" i="72"/>
  <c r="E161" i="72"/>
  <c r="E194" i="72"/>
  <c r="P204" i="72"/>
  <c r="E209" i="72"/>
  <c r="F209" i="72"/>
  <c r="G66" i="72"/>
  <c r="H66" i="72" s="1"/>
  <c r="P67" i="72"/>
  <c r="P173" i="72"/>
  <c r="P167" i="72"/>
  <c r="E170" i="72"/>
  <c r="G185" i="72"/>
  <c r="H185" i="72" s="1"/>
  <c r="G211" i="72"/>
  <c r="H211" i="72" s="1"/>
  <c r="G59" i="72"/>
  <c r="H59" i="72" s="1"/>
  <c r="F161" i="72"/>
  <c r="F196" i="72"/>
  <c r="G161" i="72"/>
  <c r="H161" i="72" s="1"/>
  <c r="P165" i="72"/>
  <c r="P172" i="72"/>
  <c r="P191" i="72"/>
  <c r="P54" i="72"/>
  <c r="P64" i="72"/>
  <c r="G177" i="72"/>
  <c r="H177" i="72" s="1"/>
  <c r="G171" i="72"/>
  <c r="H171" i="72" s="1"/>
  <c r="D117" i="72"/>
  <c r="D168" i="72"/>
  <c r="G207" i="72"/>
  <c r="H207" i="72" s="1"/>
  <c r="F192" i="72"/>
  <c r="G55" i="72"/>
  <c r="H55" i="72" s="1"/>
  <c r="D197" i="72"/>
  <c r="P197" i="72"/>
  <c r="P181" i="72"/>
  <c r="D183" i="72"/>
  <c r="P183" i="72"/>
  <c r="D116" i="72"/>
  <c r="D201" i="72"/>
  <c r="P201" i="72"/>
  <c r="U189" i="72"/>
  <c r="I189" i="72" s="1"/>
  <c r="G189" i="72" s="1"/>
  <c r="H189" i="72" s="1"/>
  <c r="P57" i="72"/>
  <c r="D68" i="72"/>
  <c r="D270" i="79"/>
  <c r="D230" i="79" s="1"/>
  <c r="G203" i="72"/>
  <c r="H203" i="72" s="1"/>
  <c r="D189" i="72"/>
  <c r="P184" i="72"/>
  <c r="P62" i="72"/>
  <c r="D206" i="72"/>
  <c r="P206" i="72"/>
  <c r="P153" i="72"/>
  <c r="G155" i="72"/>
  <c r="H155" i="72" s="1"/>
  <c r="F168" i="72"/>
  <c r="F194" i="72"/>
  <c r="E201" i="72"/>
  <c r="F187" i="72"/>
  <c r="E206" i="72"/>
  <c r="D113" i="79"/>
  <c r="P178" i="72"/>
  <c r="P151" i="72"/>
  <c r="P162" i="72"/>
  <c r="P158" i="72"/>
  <c r="P182" i="72"/>
  <c r="P166" i="72"/>
  <c r="P159" i="72"/>
  <c r="G206" i="72"/>
  <c r="H206" i="72" s="1"/>
  <c r="E89" i="72"/>
  <c r="E184" i="72"/>
  <c r="E145" i="72"/>
  <c r="E168" i="72"/>
  <c r="P211" i="72"/>
  <c r="P66" i="72"/>
  <c r="P186" i="72"/>
  <c r="P205" i="72"/>
  <c r="P194" i="72"/>
  <c r="P65" i="72"/>
  <c r="D169" i="72"/>
  <c r="P169" i="72"/>
  <c r="D156" i="72"/>
  <c r="P156" i="72"/>
  <c r="D207" i="72"/>
  <c r="P207" i="72"/>
  <c r="P192" i="72"/>
  <c r="P189" i="72"/>
  <c r="D203" i="72"/>
  <c r="P203" i="72"/>
  <c r="P58" i="72"/>
  <c r="G170" i="72"/>
  <c r="H170" i="72" s="1"/>
  <c r="P210" i="72"/>
  <c r="D154" i="72"/>
  <c r="P154" i="72"/>
  <c r="P195" i="72"/>
  <c r="F193" i="72"/>
  <c r="D193" i="72"/>
  <c r="P152" i="72"/>
  <c r="D55" i="72"/>
  <c r="P55" i="72"/>
  <c r="D179" i="72"/>
  <c r="P179" i="72"/>
  <c r="F155" i="72"/>
  <c r="F62" i="72"/>
  <c r="F179" i="72"/>
  <c r="F185" i="72"/>
  <c r="F205" i="72"/>
  <c r="F207" i="72"/>
  <c r="D193" i="79"/>
  <c r="P56" i="72"/>
  <c r="P174" i="72"/>
  <c r="P60" i="72"/>
  <c r="P190" i="72"/>
  <c r="P180" i="72"/>
  <c r="P164" i="72"/>
  <c r="Q154" i="72"/>
  <c r="T154" i="72" s="1"/>
  <c r="Q122" i="72"/>
  <c r="Q89" i="72"/>
  <c r="E116" i="72"/>
  <c r="G168" i="72"/>
  <c r="H168" i="72" s="1"/>
  <c r="D111" i="72"/>
  <c r="D152" i="72"/>
  <c r="D62" i="72"/>
  <c r="D98" i="72"/>
  <c r="D187" i="72"/>
  <c r="D192" i="72"/>
  <c r="D127" i="72"/>
  <c r="D113" i="72"/>
  <c r="P163" i="72"/>
  <c r="P177" i="72"/>
  <c r="P171" i="72"/>
  <c r="P198" i="72"/>
  <c r="D200" i="72"/>
  <c r="P200" i="72"/>
  <c r="P209" i="72"/>
  <c r="E79" i="72"/>
  <c r="D79" i="72"/>
  <c r="E110" i="72"/>
  <c r="D110" i="72"/>
  <c r="E92" i="72"/>
  <c r="D92" i="72"/>
  <c r="E137" i="72"/>
  <c r="D137" i="72"/>
  <c r="G63" i="72"/>
  <c r="H63" i="72" s="1"/>
  <c r="D63" i="72"/>
  <c r="E91" i="72"/>
  <c r="D91" i="72"/>
  <c r="E210" i="72"/>
  <c r="D210" i="72"/>
  <c r="E195" i="72"/>
  <c r="D195" i="72"/>
  <c r="E97" i="72"/>
  <c r="D97" i="72"/>
  <c r="E112" i="72"/>
  <c r="D112" i="72"/>
  <c r="E101" i="72"/>
  <c r="D101" i="72"/>
  <c r="E138" i="72"/>
  <c r="D138" i="72"/>
  <c r="E95" i="72"/>
  <c r="D95" i="72"/>
  <c r="E151" i="72"/>
  <c r="D151" i="72"/>
  <c r="E162" i="72"/>
  <c r="D162" i="72"/>
  <c r="E166" i="72"/>
  <c r="D166" i="72"/>
  <c r="E96" i="72"/>
  <c r="D96" i="72"/>
  <c r="E132" i="72"/>
  <c r="D132" i="72"/>
  <c r="E56" i="72"/>
  <c r="D56" i="72"/>
  <c r="E103" i="72"/>
  <c r="D103" i="72"/>
  <c r="E133" i="72"/>
  <c r="D133" i="72"/>
  <c r="E52" i="72"/>
  <c r="D52" i="72"/>
  <c r="E107" i="72"/>
  <c r="D107" i="72"/>
  <c r="G174" i="72"/>
  <c r="H174" i="72" s="1"/>
  <c r="D174" i="72"/>
  <c r="F60" i="72"/>
  <c r="D60" i="72"/>
  <c r="E67" i="72"/>
  <c r="D67" i="72"/>
  <c r="E118" i="72"/>
  <c r="D118" i="72"/>
  <c r="E120" i="72"/>
  <c r="D120" i="72"/>
  <c r="E190" i="72"/>
  <c r="D190" i="72"/>
  <c r="E140" i="72"/>
  <c r="D140" i="72"/>
  <c r="E100" i="72"/>
  <c r="D100" i="72"/>
  <c r="E87" i="72"/>
  <c r="D87" i="72"/>
  <c r="E85" i="72"/>
  <c r="D85" i="72"/>
  <c r="E141" i="72"/>
  <c r="D141" i="72"/>
  <c r="E173" i="72"/>
  <c r="D173" i="72"/>
  <c r="F180" i="72"/>
  <c r="D180" i="72"/>
  <c r="E164" i="72"/>
  <c r="D164" i="72"/>
  <c r="E119" i="72"/>
  <c r="D119" i="72"/>
  <c r="E125" i="72"/>
  <c r="D125" i="72"/>
  <c r="F167" i="72"/>
  <c r="D167" i="72"/>
  <c r="E53" i="72"/>
  <c r="D53" i="72"/>
  <c r="E176" i="72"/>
  <c r="D176" i="72"/>
  <c r="E57" i="72"/>
  <c r="D57" i="72"/>
  <c r="E69" i="72"/>
  <c r="D69" i="72"/>
  <c r="E160" i="72"/>
  <c r="D160" i="72"/>
  <c r="E126" i="72"/>
  <c r="D126" i="72"/>
  <c r="F202" i="72"/>
  <c r="D202" i="72"/>
  <c r="E88" i="72"/>
  <c r="D88" i="72"/>
  <c r="E90" i="72"/>
  <c r="D90" i="72"/>
  <c r="E139" i="72"/>
  <c r="D139" i="72"/>
  <c r="E188" i="72"/>
  <c r="D188" i="72"/>
  <c r="G199" i="72"/>
  <c r="H199" i="72" s="1"/>
  <c r="D199" i="72"/>
  <c r="E178" i="72"/>
  <c r="D178" i="72"/>
  <c r="E175" i="72"/>
  <c r="D175" i="72"/>
  <c r="E86" i="72"/>
  <c r="D86" i="72"/>
  <c r="E72" i="72"/>
  <c r="D72" i="72"/>
  <c r="E109" i="72"/>
  <c r="D109" i="72"/>
  <c r="E148" i="72"/>
  <c r="D148" i="72"/>
  <c r="E158" i="72"/>
  <c r="D158" i="72"/>
  <c r="E93" i="72"/>
  <c r="D93" i="72"/>
  <c r="E182" i="72"/>
  <c r="D182" i="72"/>
  <c r="E159" i="72"/>
  <c r="D159" i="72"/>
  <c r="U193" i="72"/>
  <c r="I193" i="72" s="1"/>
  <c r="G193" i="72" s="1"/>
  <c r="H193" i="72" s="1"/>
  <c r="E144" i="72"/>
  <c r="D144" i="72"/>
  <c r="E73" i="72"/>
  <c r="D73" i="72"/>
  <c r="E147" i="72"/>
  <c r="D147" i="72"/>
  <c r="E208" i="72"/>
  <c r="D208" i="72"/>
  <c r="E165" i="72"/>
  <c r="D165" i="72"/>
  <c r="E130" i="72"/>
  <c r="D130" i="72"/>
  <c r="E172" i="72"/>
  <c r="D172" i="72"/>
  <c r="E136" i="72"/>
  <c r="D136" i="72"/>
  <c r="E105" i="72"/>
  <c r="D105" i="72"/>
  <c r="E131" i="72"/>
  <c r="D131" i="72"/>
  <c r="E181" i="72"/>
  <c r="D181" i="72"/>
  <c r="E146" i="72"/>
  <c r="D146" i="72"/>
  <c r="E191" i="72"/>
  <c r="D191" i="72"/>
  <c r="G157" i="72"/>
  <c r="H157" i="72" s="1"/>
  <c r="D157" i="72"/>
  <c r="E115" i="72"/>
  <c r="D115" i="72"/>
  <c r="E54" i="72"/>
  <c r="D54" i="72"/>
  <c r="E143" i="72"/>
  <c r="D143" i="72"/>
  <c r="E82" i="72"/>
  <c r="D82" i="72"/>
  <c r="E114" i="72"/>
  <c r="D114" i="72"/>
  <c r="E64" i="72"/>
  <c r="D64" i="72"/>
  <c r="E99" i="72"/>
  <c r="D99" i="72"/>
  <c r="E122" i="72"/>
  <c r="D122" i="72"/>
  <c r="T153" i="72"/>
  <c r="E51" i="72"/>
  <c r="D51" i="72"/>
  <c r="F169" i="72"/>
  <c r="Q205" i="72"/>
  <c r="T205" i="72" s="1"/>
  <c r="Q173" i="72"/>
  <c r="Q141" i="72"/>
  <c r="Q183" i="72"/>
  <c r="T183" i="72" s="1"/>
  <c r="Q151" i="72"/>
  <c r="T151" i="72" s="1"/>
  <c r="Q119" i="72"/>
  <c r="Q87" i="72"/>
  <c r="T55" i="72"/>
  <c r="Q54" i="72"/>
  <c r="T54" i="72" s="1"/>
  <c r="F170" i="72"/>
  <c r="F64" i="72"/>
  <c r="F186" i="72"/>
  <c r="F154" i="72"/>
  <c r="T170" i="72"/>
  <c r="Q70" i="72"/>
  <c r="T165" i="72"/>
  <c r="Q105" i="72"/>
  <c r="Q211" i="72"/>
  <c r="T211" i="72" s="1"/>
  <c r="T195" i="72"/>
  <c r="Q179" i="72"/>
  <c r="T179" i="72" s="1"/>
  <c r="T163" i="72"/>
  <c r="Q147" i="72"/>
  <c r="Q115" i="72"/>
  <c r="Q83" i="72"/>
  <c r="Q74" i="72"/>
  <c r="T209" i="72"/>
  <c r="Q109" i="72"/>
  <c r="Q61" i="72"/>
  <c r="T61" i="72" s="1"/>
  <c r="Q52" i="72"/>
  <c r="T52" i="72" s="1"/>
  <c r="F163" i="72"/>
  <c r="F55" i="72"/>
  <c r="T190" i="72"/>
  <c r="Q162" i="72"/>
  <c r="T162" i="72" s="1"/>
  <c r="Q130" i="72"/>
  <c r="T58" i="72"/>
  <c r="Q189" i="72"/>
  <c r="Q157" i="72"/>
  <c r="T157" i="72" s="1"/>
  <c r="Q125" i="72"/>
  <c r="Q207" i="72"/>
  <c r="T207" i="72" s="1"/>
  <c r="Q175" i="72"/>
  <c r="T175" i="72" s="1"/>
  <c r="T159" i="72"/>
  <c r="Q143" i="72"/>
  <c r="Q111" i="72"/>
  <c r="Q79" i="72"/>
  <c r="Q63" i="72"/>
  <c r="T63" i="72" s="1"/>
  <c r="Q194" i="72"/>
  <c r="T194" i="72" s="1"/>
  <c r="Q94" i="72"/>
  <c r="Q66" i="72"/>
  <c r="T66" i="72" s="1"/>
  <c r="Q201" i="72"/>
  <c r="T201" i="72" s="1"/>
  <c r="Q169" i="72"/>
  <c r="T169" i="72" s="1"/>
  <c r="Q137" i="72"/>
  <c r="Q77" i="72"/>
  <c r="Q57" i="72"/>
  <c r="T57" i="72" s="1"/>
  <c r="Q166" i="72"/>
  <c r="T166" i="72" s="1"/>
  <c r="Q180" i="72"/>
  <c r="T180" i="72" s="1"/>
  <c r="Q148" i="72"/>
  <c r="Q116" i="72"/>
  <c r="Q84" i="72"/>
  <c r="Q191" i="72"/>
  <c r="T191" i="72" s="1"/>
  <c r="Q158" i="72"/>
  <c r="T158" i="72" s="1"/>
  <c r="Q208" i="72"/>
  <c r="T208" i="72" s="1"/>
  <c r="Q176" i="72"/>
  <c r="T176" i="72" s="1"/>
  <c r="Q144" i="72"/>
  <c r="Q112" i="72"/>
  <c r="Q80" i="72"/>
  <c r="F177" i="72"/>
  <c r="F206" i="72"/>
  <c r="Q210" i="72"/>
  <c r="T210" i="72" s="1"/>
  <c r="T182" i="72"/>
  <c r="Q181" i="72"/>
  <c r="T181" i="72" s="1"/>
  <c r="Q149" i="72"/>
  <c r="Q117" i="72"/>
  <c r="Q203" i="72"/>
  <c r="T203" i="72" s="1"/>
  <c r="Q171" i="72"/>
  <c r="T171" i="72" s="1"/>
  <c r="Q155" i="72"/>
  <c r="T155" i="72" s="1"/>
  <c r="Q139" i="72"/>
  <c r="Q123" i="72"/>
  <c r="Q107" i="72"/>
  <c r="Q91" i="72"/>
  <c r="Q75" i="72"/>
  <c r="Q59" i="72"/>
  <c r="T59" i="72" s="1"/>
  <c r="Q186" i="72"/>
  <c r="T186" i="72" s="1"/>
  <c r="Q150" i="72"/>
  <c r="Q118" i="72"/>
  <c r="Q86" i="72"/>
  <c r="Q62" i="72"/>
  <c r="T62" i="72" s="1"/>
  <c r="Q193" i="72"/>
  <c r="Q161" i="72"/>
  <c r="T161" i="72" s="1"/>
  <c r="Q129" i="72"/>
  <c r="Q73" i="72"/>
  <c r="Q53" i="72"/>
  <c r="T53" i="72" s="1"/>
  <c r="Q204" i="72"/>
  <c r="T204" i="72" s="1"/>
  <c r="Q188" i="72"/>
  <c r="T188" i="72" s="1"/>
  <c r="Q172" i="72"/>
  <c r="T172" i="72" s="1"/>
  <c r="Q156" i="72"/>
  <c r="T156" i="72" s="1"/>
  <c r="Q140" i="72"/>
  <c r="Q124" i="72"/>
  <c r="Q108" i="72"/>
  <c r="Q92" i="72"/>
  <c r="Q76" i="72"/>
  <c r="Q60" i="72"/>
  <c r="T60" i="72" s="1"/>
  <c r="Q134" i="72"/>
  <c r="Q196" i="72"/>
  <c r="T196" i="72" s="1"/>
  <c r="Q164" i="72"/>
  <c r="T164" i="72" s="1"/>
  <c r="Q132" i="72"/>
  <c r="Q100" i="72"/>
  <c r="Q68" i="72"/>
  <c r="T189" i="72"/>
  <c r="Q126" i="72"/>
  <c r="Q101" i="72"/>
  <c r="Q192" i="72"/>
  <c r="T192" i="72" s="1"/>
  <c r="Q160" i="72"/>
  <c r="T160" i="72" s="1"/>
  <c r="Q128" i="72"/>
  <c r="Q96" i="72"/>
  <c r="Q64" i="72"/>
  <c r="T64" i="72" s="1"/>
  <c r="T206" i="72"/>
  <c r="Q146" i="72"/>
  <c r="Q82" i="72"/>
  <c r="T173" i="72"/>
  <c r="Q113" i="72"/>
  <c r="Q69" i="72"/>
  <c r="Q199" i="72"/>
  <c r="T199" i="72" s="1"/>
  <c r="Q167" i="72"/>
  <c r="T167" i="72" s="1"/>
  <c r="Q135" i="72"/>
  <c r="Q103" i="72"/>
  <c r="Q71" i="72"/>
  <c r="Q178" i="72"/>
  <c r="T178" i="72" s="1"/>
  <c r="Q142" i="72"/>
  <c r="Q110" i="72"/>
  <c r="Q78" i="72"/>
  <c r="Q85" i="72"/>
  <c r="Q65" i="72"/>
  <c r="T65" i="72" s="1"/>
  <c r="Q200" i="72"/>
  <c r="T200" i="72" s="1"/>
  <c r="Q184" i="72"/>
  <c r="T184" i="72" s="1"/>
  <c r="Q168" i="72"/>
  <c r="T168" i="72" s="1"/>
  <c r="Q152" i="72"/>
  <c r="T152" i="72" s="1"/>
  <c r="Q136" i="72"/>
  <c r="Q120" i="72"/>
  <c r="Q104" i="72"/>
  <c r="Q88" i="72"/>
  <c r="Q72" i="72"/>
  <c r="Q56" i="72"/>
  <c r="T56" i="72" s="1"/>
  <c r="F203" i="72"/>
  <c r="F197" i="72"/>
  <c r="G183" i="72"/>
  <c r="H183" i="72" s="1"/>
  <c r="G156" i="72"/>
  <c r="H156" i="72" s="1"/>
  <c r="F153" i="72"/>
  <c r="F204" i="72"/>
  <c r="F66" i="72"/>
  <c r="F184" i="72"/>
  <c r="F171" i="72"/>
  <c r="F65" i="72"/>
  <c r="G51" i="72"/>
  <c r="H51" i="72" s="1"/>
  <c r="F77" i="38"/>
  <c r="E143" i="79"/>
  <c r="F75" i="38"/>
  <c r="F78" i="38"/>
  <c r="F73" i="38"/>
  <c r="F74" i="38"/>
  <c r="F76" i="38"/>
  <c r="F57" i="72"/>
  <c r="F143" i="79"/>
  <c r="G75" i="38"/>
  <c r="G76" i="38"/>
  <c r="G74" i="38"/>
  <c r="G78" i="38"/>
  <c r="G73" i="38"/>
  <c r="G77" i="38"/>
  <c r="G210" i="72"/>
  <c r="H210" i="72" s="1"/>
  <c r="G158" i="72"/>
  <c r="H158" i="72" s="1"/>
  <c r="E183" i="72"/>
  <c r="E156" i="72"/>
  <c r="G57" i="72"/>
  <c r="H57" i="72" s="1"/>
  <c r="E202" i="72"/>
  <c r="G54" i="72"/>
  <c r="H54" i="72" s="1"/>
  <c r="F175" i="72"/>
  <c r="F190" i="72"/>
  <c r="F174" i="72"/>
  <c r="F191" i="72"/>
  <c r="G191" i="72"/>
  <c r="H191" i="72" s="1"/>
  <c r="G173" i="72"/>
  <c r="H173" i="72" s="1"/>
  <c r="G52" i="72"/>
  <c r="H52" i="72" s="1"/>
  <c r="E167" i="72"/>
  <c r="G190" i="72"/>
  <c r="H190" i="72" s="1"/>
  <c r="E174" i="72"/>
  <c r="F166" i="72"/>
  <c r="E180" i="72"/>
  <c r="G180" i="72"/>
  <c r="H180" i="72" s="1"/>
  <c r="F159" i="72"/>
  <c r="G166" i="72"/>
  <c r="H166" i="72" s="1"/>
  <c r="F208" i="72"/>
  <c r="G60" i="72"/>
  <c r="H60" i="72" s="1"/>
  <c r="F67" i="72"/>
  <c r="F173" i="72"/>
  <c r="E197" i="72"/>
  <c r="F172" i="72"/>
  <c r="E68" i="72"/>
  <c r="E48" i="2"/>
  <c r="N42" i="2"/>
  <c r="N46" i="2"/>
  <c r="G195" i="72"/>
  <c r="H195" i="72" s="1"/>
  <c r="E60" i="72"/>
  <c r="F195" i="72"/>
  <c r="G167" i="72"/>
  <c r="H167" i="72" s="1"/>
  <c r="G154" i="72"/>
  <c r="H154" i="72" s="1"/>
  <c r="E199" i="72"/>
  <c r="F56" i="72"/>
  <c r="G178" i="72"/>
  <c r="H178" i="72" s="1"/>
  <c r="F210" i="72"/>
  <c r="F188" i="72"/>
  <c r="G181" i="72"/>
  <c r="H181" i="72" s="1"/>
  <c r="F181" i="72"/>
  <c r="G159" i="72"/>
  <c r="H159" i="72" s="1"/>
  <c r="F182" i="72"/>
  <c r="F199" i="72"/>
  <c r="F178" i="72"/>
  <c r="G67" i="72"/>
  <c r="H67" i="72" s="1"/>
  <c r="G182" i="72"/>
  <c r="H182" i="72" s="1"/>
  <c r="F52" i="72"/>
  <c r="G172" i="72"/>
  <c r="H172" i="72" s="1"/>
  <c r="F151" i="72"/>
  <c r="F54" i="72"/>
  <c r="G162" i="72"/>
  <c r="H162" i="72" s="1"/>
  <c r="F165" i="72"/>
  <c r="F51" i="72"/>
  <c r="G56" i="72"/>
  <c r="H56" i="72" s="1"/>
  <c r="B14" i="37"/>
  <c r="G176" i="72"/>
  <c r="H176" i="72" s="1"/>
  <c r="F176" i="72"/>
  <c r="G47" i="2"/>
  <c r="E157" i="72"/>
  <c r="G208" i="72"/>
  <c r="H208" i="72" s="1"/>
  <c r="F183" i="72"/>
  <c r="E154" i="72"/>
  <c r="E63" i="72"/>
  <c r="F53" i="72"/>
  <c r="G175" i="72"/>
  <c r="H175" i="72" s="1"/>
  <c r="E169" i="72"/>
  <c r="G53" i="72"/>
  <c r="H53" i="72" s="1"/>
  <c r="F63" i="72"/>
  <c r="G169" i="72"/>
  <c r="H169" i="72" s="1"/>
  <c r="G197" i="72"/>
  <c r="H197" i="72" s="1"/>
  <c r="G164" i="72"/>
  <c r="H164" i="72" s="1"/>
  <c r="G202" i="72"/>
  <c r="H202" i="72" s="1"/>
  <c r="G64" i="72"/>
  <c r="H64" i="72" s="1"/>
  <c r="F156" i="72"/>
  <c r="F160" i="72"/>
  <c r="F164" i="72"/>
  <c r="G160" i="72"/>
  <c r="H160" i="72" s="1"/>
  <c r="G151" i="72"/>
  <c r="H151" i="72" s="1"/>
  <c r="G188" i="72"/>
  <c r="H188" i="72" s="1"/>
  <c r="G165" i="72"/>
  <c r="H165" i="72" s="1"/>
  <c r="F162" i="72"/>
  <c r="F157" i="72"/>
  <c r="F158" i="72"/>
  <c r="D132" i="79"/>
  <c r="C22" i="2" s="1"/>
  <c r="C11" i="42"/>
  <c r="H9" i="42"/>
  <c r="C17" i="2"/>
  <c r="D44" i="79"/>
  <c r="D46" i="79" s="1"/>
  <c r="B17" i="2" s="1"/>
  <c r="D269" i="79"/>
  <c r="D232" i="79" s="1"/>
  <c r="B87" i="43"/>
  <c r="B93" i="43" s="1"/>
  <c r="C57" i="13"/>
  <c r="C65" i="13" s="1"/>
  <c r="C64" i="13" s="1"/>
  <c r="C59" i="13" s="1"/>
  <c r="C60" i="13" s="1"/>
  <c r="C62" i="13" s="1"/>
  <c r="B26" i="13" s="1"/>
  <c r="B11" i="46"/>
  <c r="B12" i="46" s="1"/>
  <c r="B45" i="46"/>
  <c r="C45" i="46" s="1"/>
  <c r="H9" i="82"/>
  <c r="C11" i="82"/>
  <c r="D112" i="79"/>
  <c r="D98" i="79" s="1"/>
  <c r="D97" i="79" s="1"/>
  <c r="C18" i="2"/>
  <c r="E28" i="53"/>
  <c r="B13" i="53"/>
  <c r="L27" i="72"/>
  <c r="L26" i="72"/>
  <c r="B13" i="50"/>
  <c r="E27" i="50"/>
  <c r="T193" i="72" l="1"/>
  <c r="P193" i="72"/>
  <c r="D92" i="79"/>
  <c r="D93" i="79" s="1"/>
  <c r="D114" i="79" s="1"/>
  <c r="C21" i="2" s="1"/>
  <c r="B15" i="2"/>
  <c r="E26" i="72"/>
  <c r="L28" i="72"/>
  <c r="O25" i="72" s="1"/>
  <c r="C15" i="2"/>
  <c r="I9" i="82"/>
  <c r="C13" i="82"/>
  <c r="G9" i="82" s="1"/>
  <c r="B16" i="13"/>
  <c r="I9" i="42"/>
  <c r="C13" i="42"/>
  <c r="G9" i="42" s="1"/>
  <c r="D95" i="79"/>
  <c r="B14" i="53"/>
  <c r="F28" i="53"/>
  <c r="O26" i="72" l="1"/>
  <c r="F18" i="72" s="1"/>
  <c r="C14" i="72"/>
  <c r="C18" i="12" s="1"/>
  <c r="I9" i="83"/>
  <c r="J9" i="82"/>
  <c r="J9" i="42"/>
  <c r="M51" i="72"/>
  <c r="M76" i="72"/>
  <c r="M61" i="72"/>
  <c r="M79" i="72"/>
  <c r="M74" i="72"/>
  <c r="M81" i="72"/>
  <c r="M77" i="72"/>
  <c r="M66" i="72"/>
  <c r="M52" i="72"/>
  <c r="M80" i="72"/>
  <c r="M85" i="72"/>
  <c r="M59" i="72"/>
  <c r="M71" i="72"/>
  <c r="M58" i="72"/>
  <c r="M78" i="72"/>
  <c r="M70" i="72"/>
  <c r="M83" i="72"/>
  <c r="M62" i="72"/>
  <c r="M63" i="72"/>
  <c r="M68" i="72"/>
  <c r="M86" i="72"/>
  <c r="M75" i="72"/>
  <c r="M67" i="72"/>
  <c r="M54" i="72"/>
  <c r="M73" i="72"/>
  <c r="M55" i="72"/>
  <c r="M64" i="72"/>
  <c r="M84" i="72"/>
  <c r="M72" i="72"/>
  <c r="M69" i="72"/>
  <c r="M60" i="72"/>
  <c r="M65" i="72"/>
  <c r="M56" i="72"/>
  <c r="M57" i="72"/>
  <c r="M53" i="72"/>
  <c r="M82" i="72"/>
  <c r="B18" i="72" l="1"/>
  <c r="M87" i="72"/>
  <c r="M101" i="72" l="1"/>
  <c r="M88" i="72"/>
  <c r="M90" i="72"/>
  <c r="M89" i="72"/>
  <c r="M127" i="72"/>
  <c r="M91" i="72"/>
  <c r="J91" i="72" s="1"/>
  <c r="K91" i="72" s="1"/>
  <c r="F91" i="72" s="1"/>
  <c r="M116" i="72"/>
  <c r="M189" i="72"/>
  <c r="J84" i="72"/>
  <c r="K84" i="72" s="1"/>
  <c r="F84" i="72" s="1"/>
  <c r="J143" i="72"/>
  <c r="K143" i="72" s="1"/>
  <c r="F143" i="72" s="1"/>
  <c r="J113" i="72"/>
  <c r="K113" i="72" s="1"/>
  <c r="F113" i="72" s="1"/>
  <c r="J144" i="72"/>
  <c r="K144" i="72" s="1"/>
  <c r="F144" i="72" s="1"/>
  <c r="J115" i="72"/>
  <c r="K115" i="72" s="1"/>
  <c r="F115" i="72" s="1"/>
  <c r="J111" i="72"/>
  <c r="K111" i="72" s="1"/>
  <c r="F111" i="72" s="1"/>
  <c r="J138" i="72"/>
  <c r="K138" i="72" s="1"/>
  <c r="F138" i="72" s="1"/>
  <c r="J75" i="72"/>
  <c r="K75" i="72" s="1"/>
  <c r="F75" i="72" s="1"/>
  <c r="M164" i="72"/>
  <c r="M94" i="72"/>
  <c r="M168" i="72"/>
  <c r="M121" i="72"/>
  <c r="M186" i="72"/>
  <c r="M95" i="72"/>
  <c r="J95" i="72" s="1"/>
  <c r="K95" i="72" s="1"/>
  <c r="F95" i="72" s="1"/>
  <c r="M149" i="72"/>
  <c r="M103" i="72"/>
  <c r="M169" i="72"/>
  <c r="M194" i="72"/>
  <c r="M147" i="72"/>
  <c r="M178" i="72"/>
  <c r="M124" i="72"/>
  <c r="M195" i="72"/>
  <c r="J121" i="72"/>
  <c r="K121" i="72" s="1"/>
  <c r="F121" i="72" s="1"/>
  <c r="J77" i="72"/>
  <c r="K77" i="72" s="1"/>
  <c r="F77" i="72" s="1"/>
  <c r="J108" i="72"/>
  <c r="K108" i="72" s="1"/>
  <c r="F108" i="72" s="1"/>
  <c r="J106" i="72"/>
  <c r="K106" i="72" s="1"/>
  <c r="F106" i="72" s="1"/>
  <c r="J125" i="72"/>
  <c r="K125" i="72" s="1"/>
  <c r="F125" i="72" s="1"/>
  <c r="J107" i="72"/>
  <c r="K107" i="72" s="1"/>
  <c r="F107" i="72" s="1"/>
  <c r="J146" i="72"/>
  <c r="K146" i="72" s="1"/>
  <c r="F146" i="72" s="1"/>
  <c r="J80" i="72"/>
  <c r="K80" i="72" s="1"/>
  <c r="F80" i="72" s="1"/>
  <c r="M109" i="72"/>
  <c r="M167" i="72"/>
  <c r="M102" i="72"/>
  <c r="M204" i="72"/>
  <c r="M129" i="72"/>
  <c r="M211" i="72"/>
  <c r="M159" i="72"/>
  <c r="M158" i="72"/>
  <c r="M157" i="72"/>
  <c r="M181" i="72"/>
  <c r="M119" i="72"/>
  <c r="M175" i="72"/>
  <c r="J124" i="72"/>
  <c r="K124" i="72" s="1"/>
  <c r="F124" i="72" s="1"/>
  <c r="M201" i="72"/>
  <c r="M150" i="72"/>
  <c r="M132" i="72"/>
  <c r="M154" i="72"/>
  <c r="J105" i="72"/>
  <c r="K105" i="72" s="1"/>
  <c r="F105" i="72" s="1"/>
  <c r="J147" i="72"/>
  <c r="K147" i="72" s="1"/>
  <c r="F147" i="72" s="1"/>
  <c r="J86" i="72"/>
  <c r="K86" i="72" s="1"/>
  <c r="F86" i="72" s="1"/>
  <c r="J102" i="72"/>
  <c r="K102" i="72" s="1"/>
  <c r="F102" i="72" s="1"/>
  <c r="J109" i="72"/>
  <c r="K109" i="72" s="1"/>
  <c r="F109" i="72" s="1"/>
  <c r="J134" i="72"/>
  <c r="K134" i="72" s="1"/>
  <c r="F134" i="72" s="1"/>
  <c r="J150" i="72"/>
  <c r="K150" i="72" s="1"/>
  <c r="F150" i="72" s="1"/>
  <c r="J136" i="72"/>
  <c r="K136" i="72" s="1"/>
  <c r="F136" i="72" s="1"/>
  <c r="J145" i="72"/>
  <c r="K145" i="72" s="1"/>
  <c r="F145" i="72" s="1"/>
  <c r="J72" i="72"/>
  <c r="K72" i="72" s="1"/>
  <c r="F72" i="72" s="1"/>
  <c r="M117" i="72"/>
  <c r="M209" i="72"/>
  <c r="M110" i="72"/>
  <c r="M155" i="72"/>
  <c r="M141" i="72"/>
  <c r="M98" i="72"/>
  <c r="M190" i="72"/>
  <c r="M120" i="72"/>
  <c r="M162" i="72"/>
  <c r="M106" i="72"/>
  <c r="M202" i="72"/>
  <c r="M99" i="72"/>
  <c r="M142" i="72"/>
  <c r="M174" i="72"/>
  <c r="M138" i="72"/>
  <c r="M165" i="72"/>
  <c r="J81" i="72"/>
  <c r="K81" i="72" s="1"/>
  <c r="F81" i="72" s="1"/>
  <c r="J141" i="72"/>
  <c r="K141" i="72" s="1"/>
  <c r="F141" i="72" s="1"/>
  <c r="J78" i="72"/>
  <c r="K78" i="72" s="1"/>
  <c r="F78" i="72" s="1"/>
  <c r="J98" i="72"/>
  <c r="K98" i="72" s="1"/>
  <c r="F98" i="72" s="1"/>
  <c r="J73" i="72"/>
  <c r="K73" i="72" s="1"/>
  <c r="F73" i="72" s="1"/>
  <c r="J126" i="72"/>
  <c r="K126" i="72" s="1"/>
  <c r="F126" i="72" s="1"/>
  <c r="J142" i="72"/>
  <c r="K142" i="72" s="1"/>
  <c r="F142" i="72" s="1"/>
  <c r="J128" i="72"/>
  <c r="K128" i="72" s="1"/>
  <c r="F128" i="72" s="1"/>
  <c r="J137" i="72"/>
  <c r="K137" i="72" s="1"/>
  <c r="F137" i="72" s="1"/>
  <c r="J148" i="72"/>
  <c r="K148" i="72" s="1"/>
  <c r="F148" i="72" s="1"/>
  <c r="M125" i="72"/>
  <c r="M198" i="72"/>
  <c r="M118" i="72"/>
  <c r="M197" i="72"/>
  <c r="M144" i="72"/>
  <c r="M111" i="72"/>
  <c r="M163" i="72"/>
  <c r="M151" i="72"/>
  <c r="M104" i="72"/>
  <c r="M128" i="72"/>
  <c r="M156" i="72"/>
  <c r="M145" i="72"/>
  <c r="M146" i="72"/>
  <c r="M137" i="72"/>
  <c r="M152" i="72"/>
  <c r="M191" i="72"/>
  <c r="J116" i="72"/>
  <c r="K116" i="72" s="1"/>
  <c r="F116" i="72" s="1"/>
  <c r="J94" i="72"/>
  <c r="K94" i="72" s="1"/>
  <c r="F94" i="72" s="1"/>
  <c r="J118" i="72"/>
  <c r="K118" i="72" s="1"/>
  <c r="F118" i="72" s="1"/>
  <c r="J120" i="72"/>
  <c r="K120" i="72" s="1"/>
  <c r="F120" i="72" s="1"/>
  <c r="J89" i="72"/>
  <c r="K89" i="72" s="1"/>
  <c r="F89" i="72" s="1"/>
  <c r="M133" i="72"/>
  <c r="M205" i="72"/>
  <c r="M126" i="72"/>
  <c r="M187" i="72"/>
  <c r="M177" i="72"/>
  <c r="M130" i="72"/>
  <c r="M122" i="72"/>
  <c r="M93" i="72"/>
  <c r="M115" i="72"/>
  <c r="M184" i="72"/>
  <c r="M203" i="72"/>
  <c r="M208" i="72"/>
  <c r="J130" i="72"/>
  <c r="K130" i="72" s="1"/>
  <c r="F130" i="72" s="1"/>
  <c r="J68" i="72"/>
  <c r="K68" i="72" s="1"/>
  <c r="F68" i="72" s="1"/>
  <c r="J114" i="72"/>
  <c r="K114" i="72" s="1"/>
  <c r="F114" i="72" s="1"/>
  <c r="J69" i="72"/>
  <c r="K69" i="72" s="1"/>
  <c r="F69" i="72" s="1"/>
  <c r="J90" i="72"/>
  <c r="K90" i="72" s="1"/>
  <c r="F90" i="72" s="1"/>
  <c r="D229" i="79"/>
  <c r="D239" i="79" s="1"/>
  <c r="D231" i="79" s="1"/>
  <c r="D234" i="79" s="1"/>
  <c r="D248" i="79" s="1"/>
  <c r="D271" i="79" s="1"/>
  <c r="J110" i="72"/>
  <c r="K110" i="72" s="1"/>
  <c r="F110" i="72" s="1"/>
  <c r="J135" i="72"/>
  <c r="K135" i="72" s="1"/>
  <c r="F135" i="72" s="1"/>
  <c r="J112" i="72"/>
  <c r="K112" i="72" s="1"/>
  <c r="F112" i="72" s="1"/>
  <c r="J88" i="72"/>
  <c r="K88" i="72" s="1"/>
  <c r="F88" i="72" s="1"/>
  <c r="J82" i="72"/>
  <c r="K82" i="72" s="1"/>
  <c r="F82" i="72" s="1"/>
  <c r="M143" i="72"/>
  <c r="M161" i="72"/>
  <c r="M134" i="72"/>
  <c r="M97" i="72"/>
  <c r="M210" i="72"/>
  <c r="M188" i="72"/>
  <c r="M176" i="72"/>
  <c r="M114" i="72"/>
  <c r="M179" i="72"/>
  <c r="M192" i="72"/>
  <c r="M185" i="72"/>
  <c r="M107" i="72"/>
  <c r="M173" i="72"/>
  <c r="M139" i="72"/>
  <c r="J97" i="72"/>
  <c r="K97" i="72" s="1"/>
  <c r="F97" i="72" s="1"/>
  <c r="J149" i="72"/>
  <c r="K149" i="72" s="1"/>
  <c r="F149" i="72" s="1"/>
  <c r="J70" i="72"/>
  <c r="K70" i="72" s="1"/>
  <c r="F70" i="72" s="1"/>
  <c r="J139" i="72"/>
  <c r="K139" i="72" s="1"/>
  <c r="F139" i="72" s="1"/>
  <c r="J140" i="72"/>
  <c r="K140" i="72" s="1"/>
  <c r="F140" i="72" s="1"/>
  <c r="M123" i="72"/>
  <c r="M199" i="72"/>
  <c r="M100" i="72"/>
  <c r="M160" i="72"/>
  <c r="B90" i="43"/>
  <c r="B100" i="43" s="1"/>
  <c r="B92" i="43" s="1"/>
  <c r="B95" i="43" s="1"/>
  <c r="B36" i="43" s="1"/>
  <c r="E36" i="43" s="1"/>
  <c r="J117" i="72"/>
  <c r="K117" i="72" s="1"/>
  <c r="F117" i="72" s="1"/>
  <c r="J133" i="72"/>
  <c r="K133" i="72" s="1"/>
  <c r="F133" i="72" s="1"/>
  <c r="J129" i="72"/>
  <c r="K129" i="72" s="1"/>
  <c r="F129" i="72" s="1"/>
  <c r="J85" i="72"/>
  <c r="K85" i="72" s="1"/>
  <c r="F85" i="72" s="1"/>
  <c r="J131" i="72"/>
  <c r="K131" i="72" s="1"/>
  <c r="F131" i="72" s="1"/>
  <c r="J103" i="72"/>
  <c r="K103" i="72" s="1"/>
  <c r="F103" i="72" s="1"/>
  <c r="J127" i="72"/>
  <c r="K127" i="72" s="1"/>
  <c r="F127" i="72" s="1"/>
  <c r="J104" i="72"/>
  <c r="K104" i="72" s="1"/>
  <c r="F104" i="72" s="1"/>
  <c r="J79" i="72"/>
  <c r="K79" i="72" s="1"/>
  <c r="F79" i="72" s="1"/>
  <c r="J74" i="72"/>
  <c r="K74" i="72" s="1"/>
  <c r="F74" i="72" s="1"/>
  <c r="M200" i="72"/>
  <c r="M166" i="72"/>
  <c r="M140" i="72"/>
  <c r="M105" i="72"/>
  <c r="M183" i="72"/>
  <c r="M112" i="72"/>
  <c r="M92" i="72"/>
  <c r="J92" i="72" s="1"/>
  <c r="K92" i="72" s="1"/>
  <c r="F92" i="72" s="1"/>
  <c r="M136" i="72"/>
  <c r="M171" i="72"/>
  <c r="M148" i="72"/>
  <c r="J87" i="72"/>
  <c r="K87" i="72" s="1"/>
  <c r="F87" i="72" s="1"/>
  <c r="M131" i="72"/>
  <c r="M170" i="72"/>
  <c r="M108" i="72"/>
  <c r="M193" i="72"/>
  <c r="J132" i="72"/>
  <c r="K132" i="72" s="1"/>
  <c r="F132" i="72" s="1"/>
  <c r="J93" i="72"/>
  <c r="K93" i="72" s="1"/>
  <c r="F93" i="72" s="1"/>
  <c r="J101" i="72"/>
  <c r="K101" i="72" s="1"/>
  <c r="F101" i="72" s="1"/>
  <c r="J122" i="72"/>
  <c r="K122" i="72" s="1"/>
  <c r="F122" i="72" s="1"/>
  <c r="J76" i="72"/>
  <c r="K76" i="72" s="1"/>
  <c r="F76" i="72" s="1"/>
  <c r="J123" i="72"/>
  <c r="K123" i="72" s="1"/>
  <c r="F123" i="72" s="1"/>
  <c r="J99" i="72"/>
  <c r="K99" i="72" s="1"/>
  <c r="F99" i="72" s="1"/>
  <c r="J119" i="72"/>
  <c r="K119" i="72" s="1"/>
  <c r="F119" i="72" s="1"/>
  <c r="J100" i="72"/>
  <c r="K100" i="72" s="1"/>
  <c r="F100" i="72" s="1"/>
  <c r="J71" i="72"/>
  <c r="K71" i="72" s="1"/>
  <c r="F71" i="72" s="1"/>
  <c r="J83" i="72"/>
  <c r="K83" i="72" s="1"/>
  <c r="F83" i="72" s="1"/>
  <c r="M182" i="72"/>
  <c r="M196" i="72"/>
  <c r="M153" i="72"/>
  <c r="M113" i="72"/>
  <c r="M172" i="72"/>
  <c r="M135" i="72"/>
  <c r="M206" i="72"/>
  <c r="M96" i="72"/>
  <c r="J96" i="72" s="1"/>
  <c r="K96" i="72" s="1"/>
  <c r="F96" i="72" s="1"/>
  <c r="M207" i="72"/>
  <c r="M180" i="72"/>
  <c r="G248" i="79" l="1"/>
  <c r="U120" i="72"/>
  <c r="I120" i="72" s="1"/>
  <c r="P120" i="72" s="1"/>
  <c r="U125" i="72"/>
  <c r="I125" i="72" s="1"/>
  <c r="P125" i="72" s="1"/>
  <c r="U72" i="72"/>
  <c r="I72" i="72" s="1"/>
  <c r="P72" i="72" s="1"/>
  <c r="U132" i="72"/>
  <c r="I132" i="72" s="1"/>
  <c r="P132" i="72" s="1"/>
  <c r="U147" i="72"/>
  <c r="I147" i="72" s="1"/>
  <c r="P147" i="72" s="1"/>
  <c r="U106" i="72"/>
  <c r="I106" i="72" s="1"/>
  <c r="P106" i="72" s="1"/>
  <c r="U91" i="72"/>
  <c r="I91" i="72" s="1"/>
  <c r="P91" i="72" s="1"/>
  <c r="U99" i="72"/>
  <c r="I99" i="72" s="1"/>
  <c r="P99" i="72" s="1"/>
  <c r="U133" i="72"/>
  <c r="I133" i="72" s="1"/>
  <c r="P133" i="72" s="1"/>
  <c r="U108" i="72"/>
  <c r="I108" i="72" s="1"/>
  <c r="P108" i="72" s="1"/>
  <c r="U145" i="72"/>
  <c r="I145" i="72" s="1"/>
  <c r="P145" i="72" s="1"/>
  <c r="U141" i="72"/>
  <c r="I141" i="72" s="1"/>
  <c r="P141" i="72" s="1"/>
  <c r="U105" i="72"/>
  <c r="I105" i="72" s="1"/>
  <c r="P105" i="72" s="1"/>
  <c r="U83" i="72"/>
  <c r="I83" i="72" s="1"/>
  <c r="P83" i="72" s="1"/>
  <c r="U130" i="72"/>
  <c r="I130" i="72" s="1"/>
  <c r="P130" i="72" s="1"/>
  <c r="U94" i="72"/>
  <c r="I94" i="72" s="1"/>
  <c r="P94" i="72" s="1"/>
  <c r="U150" i="72"/>
  <c r="I150" i="72" s="1"/>
  <c r="P150" i="72" s="1"/>
  <c r="U115" i="72"/>
  <c r="I115" i="72" s="1"/>
  <c r="P115" i="72" s="1"/>
  <c r="U78" i="72"/>
  <c r="I78" i="72" s="1"/>
  <c r="P78" i="72" s="1"/>
  <c r="U93" i="72"/>
  <c r="I93" i="72" s="1"/>
  <c r="P93" i="72" s="1"/>
  <c r="U74" i="72"/>
  <c r="I74" i="72" s="1"/>
  <c r="P74" i="72" s="1"/>
  <c r="U75" i="72"/>
  <c r="I75" i="72" s="1"/>
  <c r="P75" i="72" s="1"/>
  <c r="U107" i="72"/>
  <c r="I107" i="72" s="1"/>
  <c r="P107" i="72" s="1"/>
  <c r="U77" i="72"/>
  <c r="I77" i="72" s="1"/>
  <c r="P77" i="72" s="1"/>
  <c r="U142" i="72"/>
  <c r="I142" i="72" s="1"/>
  <c r="P142" i="72" s="1"/>
  <c r="U87" i="72"/>
  <c r="I87" i="72" s="1"/>
  <c r="P87" i="72" s="1"/>
  <c r="U103" i="72"/>
  <c r="I103" i="72" s="1"/>
  <c r="P103" i="72" s="1"/>
  <c r="U82" i="72"/>
  <c r="I82" i="72" s="1"/>
  <c r="P82" i="72" s="1"/>
  <c r="U97" i="72"/>
  <c r="I97" i="72" s="1"/>
  <c r="P97" i="72" s="1"/>
  <c r="U126" i="72"/>
  <c r="I126" i="72" s="1"/>
  <c r="P126" i="72" s="1"/>
  <c r="U122" i="72"/>
  <c r="I122" i="72" s="1"/>
  <c r="P122" i="72" s="1"/>
  <c r="U117" i="72"/>
  <c r="I117" i="72" s="1"/>
  <c r="P117" i="72" s="1"/>
  <c r="U89" i="72"/>
  <c r="I89" i="72" s="1"/>
  <c r="P89" i="72" s="1"/>
  <c r="U137" i="72"/>
  <c r="I137" i="72" s="1"/>
  <c r="P137" i="72" s="1"/>
  <c r="U86" i="72"/>
  <c r="I86" i="72" s="1"/>
  <c r="P86" i="72" s="1"/>
  <c r="U101" i="72"/>
  <c r="I101" i="72" s="1"/>
  <c r="P101" i="72" s="1"/>
  <c r="U88" i="72"/>
  <c r="I88" i="72" s="1"/>
  <c r="P88" i="72" s="1"/>
  <c r="U70" i="72"/>
  <c r="I70" i="72" s="1"/>
  <c r="P70" i="72" s="1"/>
  <c r="U114" i="72"/>
  <c r="I114" i="72" s="1"/>
  <c r="P114" i="72" s="1"/>
  <c r="U80" i="72"/>
  <c r="I80" i="72" s="1"/>
  <c r="P80" i="72" s="1"/>
  <c r="U134" i="72"/>
  <c r="I134" i="72" s="1"/>
  <c r="P134" i="72" s="1"/>
  <c r="U68" i="72"/>
  <c r="I68" i="72" s="1"/>
  <c r="P68" i="72" s="1"/>
  <c r="U146" i="72"/>
  <c r="I146" i="72" s="1"/>
  <c r="P146" i="72" s="1"/>
  <c r="U100" i="72"/>
  <c r="I100" i="72" s="1"/>
  <c r="P100" i="72" s="1"/>
  <c r="U104" i="72"/>
  <c r="I104" i="72" s="1"/>
  <c r="P104" i="72" s="1"/>
  <c r="U111" i="72"/>
  <c r="I111" i="72" s="1"/>
  <c r="P111" i="72" s="1"/>
  <c r="U113" i="72"/>
  <c r="I113" i="72" s="1"/>
  <c r="P113" i="72" s="1"/>
  <c r="U79" i="72"/>
  <c r="I79" i="72" s="1"/>
  <c r="P79" i="72" s="1"/>
  <c r="U127" i="72"/>
  <c r="I127" i="72" s="1"/>
  <c r="P127" i="72" s="1"/>
  <c r="U110" i="72"/>
  <c r="I110" i="72" s="1"/>
  <c r="P110" i="72" s="1"/>
  <c r="D272" i="79"/>
  <c r="D276" i="79" s="1"/>
  <c r="D279" i="79" s="1"/>
  <c r="D281" i="79" s="1"/>
  <c r="B28" i="2" s="1"/>
  <c r="U95" i="72"/>
  <c r="I95" i="72" s="1"/>
  <c r="P95" i="72" s="1"/>
  <c r="U143" i="72"/>
  <c r="I143" i="72" s="1"/>
  <c r="P143" i="72" s="1"/>
  <c r="U136" i="72"/>
  <c r="I136" i="72" s="1"/>
  <c r="P136" i="72" s="1"/>
  <c r="U102" i="72"/>
  <c r="I102" i="72" s="1"/>
  <c r="P102" i="72" s="1"/>
  <c r="U135" i="72"/>
  <c r="I135" i="72" s="1"/>
  <c r="P135" i="72" s="1"/>
  <c r="U138" i="72"/>
  <c r="I138" i="72" s="1"/>
  <c r="P138" i="72" s="1"/>
  <c r="U129" i="72"/>
  <c r="I129" i="72" s="1"/>
  <c r="P129" i="72" s="1"/>
  <c r="U71" i="72"/>
  <c r="I71" i="72" s="1"/>
  <c r="P71" i="72" s="1"/>
  <c r="U84" i="72"/>
  <c r="I84" i="72" s="1"/>
  <c r="P84" i="72" s="1"/>
  <c r="U76" i="72"/>
  <c r="I76" i="72" s="1"/>
  <c r="P76" i="72" s="1"/>
  <c r="U139" i="72"/>
  <c r="I139" i="72" s="1"/>
  <c r="P139" i="72" s="1"/>
  <c r="U149" i="72"/>
  <c r="I149" i="72" s="1"/>
  <c r="P149" i="72" s="1"/>
  <c r="U73" i="72"/>
  <c r="I73" i="72" s="1"/>
  <c r="P73" i="72" s="1"/>
  <c r="U81" i="72"/>
  <c r="I81" i="72" s="1"/>
  <c r="P81" i="72" s="1"/>
  <c r="U109" i="72"/>
  <c r="I109" i="72" s="1"/>
  <c r="P109" i="72" s="1"/>
  <c r="U123" i="72"/>
  <c r="I123" i="72" s="1"/>
  <c r="P123" i="72" s="1"/>
  <c r="U85" i="72"/>
  <c r="I85" i="72" s="1"/>
  <c r="P85" i="72" s="1"/>
  <c r="U69" i="72"/>
  <c r="I69" i="72" s="1"/>
  <c r="P69" i="72" s="1"/>
  <c r="C26" i="72"/>
  <c r="C27" i="72" s="1"/>
  <c r="U119" i="72"/>
  <c r="I119" i="72" s="1"/>
  <c r="P119" i="72" s="1"/>
  <c r="U131" i="72"/>
  <c r="I131" i="72" s="1"/>
  <c r="P131" i="72" s="1"/>
  <c r="U90" i="72"/>
  <c r="I90" i="72" s="1"/>
  <c r="P90" i="72" s="1"/>
  <c r="U92" i="72"/>
  <c r="I92" i="72" s="1"/>
  <c r="P92" i="72" s="1"/>
  <c r="U121" i="72"/>
  <c r="I121" i="72" s="1"/>
  <c r="P121" i="72" s="1"/>
  <c r="U140" i="72"/>
  <c r="I140" i="72" s="1"/>
  <c r="P140" i="72" s="1"/>
  <c r="U96" i="72"/>
  <c r="I96" i="72" s="1"/>
  <c r="P96" i="72" s="1"/>
  <c r="U144" i="72"/>
  <c r="I144" i="72" s="1"/>
  <c r="P144" i="72" s="1"/>
  <c r="U124" i="72"/>
  <c r="I124" i="72" s="1"/>
  <c r="P124" i="72" s="1"/>
  <c r="U112" i="72"/>
  <c r="I112" i="72" s="1"/>
  <c r="P112" i="72" s="1"/>
  <c r="U148" i="72"/>
  <c r="I148" i="72" s="1"/>
  <c r="P148" i="72" s="1"/>
  <c r="U118" i="72"/>
  <c r="I118" i="72" s="1"/>
  <c r="P118" i="72" s="1"/>
  <c r="U116" i="72"/>
  <c r="I116" i="72" s="1"/>
  <c r="P116" i="72" s="1"/>
  <c r="U128" i="72"/>
  <c r="I128" i="72" s="1"/>
  <c r="P128" i="72" s="1"/>
  <c r="U98" i="72"/>
  <c r="I98" i="72" s="1"/>
  <c r="P98" i="72" s="1"/>
  <c r="G116" i="72" l="1"/>
  <c r="H116" i="72" s="1"/>
  <c r="T116" i="72"/>
  <c r="G124" i="72"/>
  <c r="H124" i="72" s="1"/>
  <c r="T124" i="72"/>
  <c r="G121" i="72"/>
  <c r="H121" i="72" s="1"/>
  <c r="T121" i="72"/>
  <c r="G119" i="72"/>
  <c r="H119" i="72" s="1"/>
  <c r="T119" i="72"/>
  <c r="G123" i="72"/>
  <c r="H123" i="72" s="1"/>
  <c r="T123" i="72"/>
  <c r="G149" i="72"/>
  <c r="H149" i="72" s="1"/>
  <c r="T149" i="72"/>
  <c r="G71" i="72"/>
  <c r="H71" i="72" s="1"/>
  <c r="T71" i="72"/>
  <c r="G102" i="72"/>
  <c r="H102" i="72" s="1"/>
  <c r="T102" i="72"/>
  <c r="G113" i="72"/>
  <c r="H113" i="72" s="1"/>
  <c r="T113" i="72"/>
  <c r="G146" i="72"/>
  <c r="H146" i="72" s="1"/>
  <c r="T146" i="72"/>
  <c r="G114" i="72"/>
  <c r="H114" i="72" s="1"/>
  <c r="T114" i="72"/>
  <c r="G86" i="72"/>
  <c r="H86" i="72" s="1"/>
  <c r="T86" i="72"/>
  <c r="G122" i="72"/>
  <c r="H122" i="72" s="1"/>
  <c r="T122" i="72"/>
  <c r="G103" i="72"/>
  <c r="H103" i="72" s="1"/>
  <c r="T103" i="72"/>
  <c r="G107" i="72"/>
  <c r="H107" i="72" s="1"/>
  <c r="T107" i="72"/>
  <c r="G78" i="72"/>
  <c r="H78" i="72" s="1"/>
  <c r="T78" i="72"/>
  <c r="G130" i="72"/>
  <c r="H130" i="72" s="1"/>
  <c r="T130" i="72"/>
  <c r="G145" i="72"/>
  <c r="H145" i="72" s="1"/>
  <c r="T145" i="72"/>
  <c r="G91" i="72"/>
  <c r="H91" i="72" s="1"/>
  <c r="T91" i="72"/>
  <c r="G72" i="72"/>
  <c r="H72" i="72" s="1"/>
  <c r="T72" i="72"/>
  <c r="G118" i="72"/>
  <c r="H118" i="72" s="1"/>
  <c r="T118" i="72"/>
  <c r="G144" i="72"/>
  <c r="H144" i="72" s="1"/>
  <c r="T144" i="72"/>
  <c r="G92" i="72"/>
  <c r="H92" i="72" s="1"/>
  <c r="T92" i="72"/>
  <c r="G109" i="72"/>
  <c r="H109" i="72" s="1"/>
  <c r="T109" i="72"/>
  <c r="G139" i="72"/>
  <c r="H139" i="72" s="1"/>
  <c r="T139" i="72"/>
  <c r="G129" i="72"/>
  <c r="H129" i="72" s="1"/>
  <c r="T129" i="72"/>
  <c r="G136" i="72"/>
  <c r="H136" i="72" s="1"/>
  <c r="T136" i="72"/>
  <c r="G110" i="72"/>
  <c r="H110" i="72" s="1"/>
  <c r="T110" i="72"/>
  <c r="G111" i="72"/>
  <c r="H111" i="72" s="1"/>
  <c r="T111" i="72"/>
  <c r="G68" i="72"/>
  <c r="H68" i="72" s="1"/>
  <c r="T68" i="72"/>
  <c r="G70" i="72"/>
  <c r="H70" i="72" s="1"/>
  <c r="T70" i="72"/>
  <c r="G137" i="72"/>
  <c r="H137" i="72" s="1"/>
  <c r="T137" i="72"/>
  <c r="G126" i="72"/>
  <c r="H126" i="72" s="1"/>
  <c r="T126" i="72"/>
  <c r="G87" i="72"/>
  <c r="H87" i="72" s="1"/>
  <c r="T87" i="72"/>
  <c r="G75" i="72"/>
  <c r="H75" i="72" s="1"/>
  <c r="T75" i="72"/>
  <c r="G115" i="72"/>
  <c r="H115" i="72" s="1"/>
  <c r="T115" i="72"/>
  <c r="G83" i="72"/>
  <c r="H83" i="72" s="1"/>
  <c r="T83" i="72"/>
  <c r="G108" i="72"/>
  <c r="H108" i="72" s="1"/>
  <c r="T108" i="72"/>
  <c r="G106" i="72"/>
  <c r="H106" i="72" s="1"/>
  <c r="T106" i="72"/>
  <c r="G125" i="72"/>
  <c r="H125" i="72" s="1"/>
  <c r="T125" i="72"/>
  <c r="G98" i="72"/>
  <c r="H98" i="72" s="1"/>
  <c r="T98" i="72"/>
  <c r="G148" i="72"/>
  <c r="H148" i="72" s="1"/>
  <c r="T148" i="72"/>
  <c r="G96" i="72"/>
  <c r="H96" i="72" s="1"/>
  <c r="T96" i="72"/>
  <c r="G90" i="72"/>
  <c r="H90" i="72" s="1"/>
  <c r="T90" i="72"/>
  <c r="G69" i="72"/>
  <c r="H69" i="72" s="1"/>
  <c r="T69" i="72"/>
  <c r="G81" i="72"/>
  <c r="H81" i="72" s="1"/>
  <c r="T81" i="72"/>
  <c r="G76" i="72"/>
  <c r="H76" i="72" s="1"/>
  <c r="T76" i="72"/>
  <c r="G138" i="72"/>
  <c r="H138" i="72" s="1"/>
  <c r="T138" i="72"/>
  <c r="G143" i="72"/>
  <c r="H143" i="72" s="1"/>
  <c r="T143" i="72"/>
  <c r="G127" i="72"/>
  <c r="H127" i="72" s="1"/>
  <c r="T127" i="72"/>
  <c r="G104" i="72"/>
  <c r="H104" i="72" s="1"/>
  <c r="T104" i="72"/>
  <c r="G134" i="72"/>
  <c r="H134" i="72" s="1"/>
  <c r="T134" i="72"/>
  <c r="G88" i="72"/>
  <c r="H88" i="72" s="1"/>
  <c r="T88" i="72"/>
  <c r="G89" i="72"/>
  <c r="H89" i="72" s="1"/>
  <c r="T89" i="72"/>
  <c r="G97" i="72"/>
  <c r="H97" i="72" s="1"/>
  <c r="T97" i="72"/>
  <c r="G142" i="72"/>
  <c r="H142" i="72" s="1"/>
  <c r="T142" i="72"/>
  <c r="G74" i="72"/>
  <c r="H74" i="72" s="1"/>
  <c r="T74" i="72"/>
  <c r="G150" i="72"/>
  <c r="H150" i="72" s="1"/>
  <c r="T150" i="72"/>
  <c r="G105" i="72"/>
  <c r="H105" i="72" s="1"/>
  <c r="T105" i="72"/>
  <c r="G133" i="72"/>
  <c r="H133" i="72" s="1"/>
  <c r="T133" i="72"/>
  <c r="G147" i="72"/>
  <c r="H147" i="72" s="1"/>
  <c r="T147" i="72"/>
  <c r="G120" i="72"/>
  <c r="H120" i="72" s="1"/>
  <c r="T120" i="72"/>
  <c r="G128" i="72"/>
  <c r="H128" i="72" s="1"/>
  <c r="T128" i="72"/>
  <c r="G112" i="72"/>
  <c r="H112" i="72" s="1"/>
  <c r="T112" i="72"/>
  <c r="G140" i="72"/>
  <c r="H140" i="72" s="1"/>
  <c r="T140" i="72"/>
  <c r="G131" i="72"/>
  <c r="H131" i="72" s="1"/>
  <c r="T131" i="72"/>
  <c r="G85" i="72"/>
  <c r="H85" i="72" s="1"/>
  <c r="T85" i="72"/>
  <c r="G73" i="72"/>
  <c r="H73" i="72" s="1"/>
  <c r="T73" i="72"/>
  <c r="G84" i="72"/>
  <c r="H84" i="72" s="1"/>
  <c r="T84" i="72"/>
  <c r="G135" i="72"/>
  <c r="H135" i="72" s="1"/>
  <c r="T135" i="72"/>
  <c r="G95" i="72"/>
  <c r="H95" i="72" s="1"/>
  <c r="T95" i="72"/>
  <c r="G79" i="72"/>
  <c r="H79" i="72" s="1"/>
  <c r="T79" i="72"/>
  <c r="G100" i="72"/>
  <c r="H100" i="72" s="1"/>
  <c r="T100" i="72"/>
  <c r="G80" i="72"/>
  <c r="H80" i="72" s="1"/>
  <c r="T80" i="72"/>
  <c r="G101" i="72"/>
  <c r="H101" i="72" s="1"/>
  <c r="T101" i="72"/>
  <c r="G117" i="72"/>
  <c r="H117" i="72" s="1"/>
  <c r="T117" i="72"/>
  <c r="G82" i="72"/>
  <c r="T82" i="72"/>
  <c r="G77" i="72"/>
  <c r="H77" i="72" s="1"/>
  <c r="T77" i="72"/>
  <c r="G93" i="72"/>
  <c r="H93" i="72" s="1"/>
  <c r="T93" i="72"/>
  <c r="G94" i="72"/>
  <c r="H94" i="72" s="1"/>
  <c r="T94" i="72"/>
  <c r="G141" i="72"/>
  <c r="H141" i="72" s="1"/>
  <c r="T141" i="72"/>
  <c r="G99" i="72"/>
  <c r="H99" i="72" s="1"/>
  <c r="T99" i="72"/>
  <c r="G132" i="72"/>
  <c r="H132" i="72" s="1"/>
  <c r="T132" i="72"/>
  <c r="B20" i="2"/>
  <c r="D274" i="79"/>
  <c r="C28" i="2" s="1"/>
  <c r="C20" i="2" s="1"/>
  <c r="B26" i="72" l="1"/>
  <c r="F26" i="72" s="1"/>
  <c r="H82" i="72"/>
  <c r="D535" i="79"/>
  <c r="B50" i="2" s="1"/>
  <c r="D481" i="79"/>
  <c r="B34" i="2" s="1"/>
  <c r="B35" i="2" s="1"/>
  <c r="B8" i="65"/>
  <c r="B7" i="66"/>
  <c r="B10" i="66" s="1"/>
  <c r="K9" i="82"/>
  <c r="J9" i="83"/>
  <c r="K9" i="83" s="1"/>
  <c r="C35" i="2"/>
  <c r="B27" i="72" l="1"/>
  <c r="B64" i="2" s="1"/>
  <c r="B34" i="12" s="1"/>
  <c r="B28" i="72"/>
  <c r="B65" i="2"/>
  <c r="D65" i="2" s="1"/>
  <c r="B55" i="2"/>
  <c r="B10" i="64"/>
  <c r="B28" i="12"/>
  <c r="B52" i="2"/>
  <c r="B53" i="2" s="1"/>
  <c r="D527" i="79"/>
  <c r="B72" i="2"/>
  <c r="B67" i="12" s="1"/>
  <c r="C52" i="2"/>
  <c r="C53" i="2" s="1"/>
  <c r="C55" i="2"/>
  <c r="C65" i="2"/>
  <c r="B7" i="31"/>
  <c r="B10" i="31" s="1"/>
  <c r="B11" i="31" s="1"/>
  <c r="B74" i="2"/>
  <c r="D563" i="79"/>
  <c r="D565" i="79" s="1"/>
  <c r="B77" i="2"/>
  <c r="B71" i="12" s="1"/>
  <c r="B76" i="2"/>
  <c r="B33" i="12"/>
  <c r="D553" i="79"/>
  <c r="D555" i="79" s="1"/>
  <c r="B75" i="2"/>
  <c r="D458" i="79"/>
  <c r="D460" i="79" s="1"/>
  <c r="D468" i="79"/>
  <c r="D470" i="79" s="1"/>
  <c r="B73" i="2" l="1"/>
  <c r="B68" i="12" s="1"/>
  <c r="B7" i="32"/>
  <c r="B10" i="32" s="1"/>
  <c r="B11" i="32" s="1"/>
  <c r="B7" i="70"/>
  <c r="B10" i="70" s="1"/>
  <c r="B11" i="70" s="1"/>
  <c r="B7" i="71"/>
  <c r="B10" i="71" s="1"/>
  <c r="B11" i="71" s="1"/>
  <c r="B59" i="2"/>
  <c r="B89" i="2" s="1"/>
  <c r="B60" i="2"/>
  <c r="B32" i="12" s="1"/>
  <c r="B69" i="12"/>
  <c r="B39" i="12"/>
  <c r="B72" i="12"/>
  <c r="B40" i="12"/>
  <c r="B70" i="12"/>
  <c r="B38" i="12"/>
  <c r="B37" i="12"/>
  <c r="B30" i="12" l="1"/>
  <c r="B79" i="2"/>
  <c r="B42" i="12" s="1"/>
  <c r="B70" i="2"/>
  <c r="B35" i="12" s="1"/>
  <c r="B78" i="2"/>
  <c r="B73" i="12" s="1"/>
  <c r="B41" i="12" l="1"/>
  <c r="B36" i="12" s="1"/>
  <c r="C42" i="12" s="1"/>
  <c r="B81" i="2"/>
  <c r="B74" i="12"/>
  <c r="B66" i="12" s="1"/>
  <c r="C74" i="12" s="1"/>
  <c r="C68" i="12" l="1"/>
  <c r="C71" i="12"/>
  <c r="C67" i="12"/>
  <c r="C70" i="12"/>
  <c r="C72" i="12"/>
  <c r="C69" i="12"/>
  <c r="C73" i="12"/>
  <c r="C39" i="12"/>
  <c r="C37" i="12"/>
  <c r="C40" i="12"/>
  <c r="C38" i="12"/>
  <c r="C41" i="12"/>
</calcChain>
</file>

<file path=xl/comments1.xml><?xml version="1.0" encoding="utf-8"?>
<comments xmlns="http://schemas.openxmlformats.org/spreadsheetml/2006/main">
  <authors>
    <author>NREL</author>
    <author>mhand</author>
  </authors>
  <commentList>
    <comment ref="B4" authorId="0">
      <text>
        <r>
          <rPr>
            <b/>
            <sz val="10"/>
            <color indexed="81"/>
            <rFont val="Tahoma"/>
            <family val="2"/>
          </rPr>
          <t>Enter 1 for Land Based
Enter 2 for Shallow Offshore &lt; 30 meters
Enter 3 for Transitional Offshore &gt; 30, &gt;60 meters
Enter 4 for Deep Offshore &gt; 60 meters</t>
        </r>
      </text>
    </comment>
    <comment ref="J6" authorId="1">
      <text>
        <r>
          <rPr>
            <b/>
            <sz val="8"/>
            <color indexed="81"/>
            <rFont val="Tahoma"/>
            <family val="2"/>
          </rPr>
          <t>For the time being, the text for the dropdown boxes is located here.  When we get the text settled better, it could be moved to another page if needed.</t>
        </r>
      </text>
    </comment>
    <comment ref="C8" authorId="0">
      <text>
        <r>
          <rPr>
            <sz val="10"/>
            <color indexed="81"/>
            <rFont val="Tahoma"/>
            <family val="2"/>
          </rPr>
          <t xml:space="preserve">Use drop-down box to select blade technology type.
</t>
        </r>
        <r>
          <rPr>
            <b/>
            <sz val="10"/>
            <color indexed="81"/>
            <rFont val="Tahoma"/>
            <family val="2"/>
          </rPr>
          <t>Note:</t>
        </r>
        <r>
          <rPr>
            <sz val="10"/>
            <color indexed="81"/>
            <rFont val="Tahoma"/>
            <family val="2"/>
          </rPr>
          <t xml:space="preserve"> Advanced blade technology should not be used for rotor diameters &lt; 100 meters
</t>
        </r>
      </text>
    </comment>
    <comment ref="C9" authorId="0">
      <text>
        <r>
          <rPr>
            <sz val="10"/>
            <color indexed="81"/>
            <rFont val="Tahoma"/>
            <family val="2"/>
          </rPr>
          <t>Use drop-down box to select tower technology type.</t>
        </r>
      </text>
    </comment>
    <comment ref="B18" authorId="0">
      <text>
        <r>
          <rPr>
            <b/>
            <sz val="10"/>
            <color indexed="81"/>
            <rFont val="Tahoma"/>
            <family val="2"/>
          </rPr>
          <t>Rotor Tip Speed and RPM are limited by a subroutine for calculating power in Region 2 1/2.</t>
        </r>
      </text>
    </comment>
    <comment ref="C18" authorId="0">
      <text>
        <r>
          <rPr>
            <b/>
            <sz val="10"/>
            <color indexed="81"/>
            <rFont val="Tahoma"/>
            <family val="2"/>
          </rPr>
          <t>On Error; Either Rotor Diameter is too Small, Tip Speed is too High, or TSR is too Low</t>
        </r>
      </text>
    </comment>
    <comment ref="B24" authorId="0">
      <text>
        <r>
          <rPr>
            <sz val="10"/>
            <color indexed="81"/>
            <rFont val="Tahoma"/>
            <family val="2"/>
          </rPr>
          <t xml:space="preserve">1= 3 stage planetary
2= Single stage, low speed generator
3= Multi-Generator
4= Direct Drive
</t>
        </r>
      </text>
    </comment>
    <comment ref="B25" authorId="0">
      <text>
        <r>
          <rPr>
            <b/>
            <sz val="10"/>
            <color indexed="81"/>
            <rFont val="Tahoma"/>
            <family val="2"/>
          </rPr>
          <t>1 = Yes
2= No
Will be Included in Mainframe Cost and Mass.  Should be Included for All Offshore Turbines</t>
        </r>
      </text>
    </comment>
  </commentList>
</comments>
</file>

<file path=xl/comments10.xml><?xml version="1.0" encoding="utf-8"?>
<comments xmlns="http://schemas.openxmlformats.org/spreadsheetml/2006/main">
  <authors>
    <author>BMaples</author>
  </authors>
  <commentList>
    <comment ref="A55" authorId="0">
      <text>
        <r>
          <rPr>
            <b/>
            <sz val="8"/>
            <color indexed="81"/>
            <rFont val="Tahoma"/>
            <family val="2"/>
          </rPr>
          <t>BMaples:</t>
        </r>
        <r>
          <rPr>
            <sz val="8"/>
            <color indexed="81"/>
            <rFont val="Tahoma"/>
            <family val="2"/>
          </rPr>
          <t xml:space="preserve">
Calculations adapted from the University of Sunderland's "Cost Modelling of Horizontal Axis Wind Turbines" 1994
</t>
        </r>
      </text>
    </comment>
  </commentList>
</comments>
</file>

<file path=xl/comments11.xml><?xml version="1.0" encoding="utf-8"?>
<comments xmlns="http://schemas.openxmlformats.org/spreadsheetml/2006/main">
  <authors>
    <author>NREL</author>
  </authors>
  <commentList>
    <comment ref="B10" authorId="0">
      <text>
        <r>
          <rPr>
            <b/>
            <sz val="8"/>
            <color indexed="81"/>
            <rFont val="Tahoma"/>
            <family val="2"/>
          </rPr>
          <t>Assumes Rear Bearing is located in gear box, for Planetary design (Design Type 1).  Housing mass is equal to bearing mass.  All other design types assume all bearings are part of gearbox or generator structure.</t>
        </r>
      </text>
    </comment>
    <comment ref="B11" authorId="0">
      <text>
        <r>
          <rPr>
            <b/>
            <sz val="8"/>
            <color indexed="81"/>
            <rFont val="Tahoma"/>
            <family val="2"/>
          </rPr>
          <t>Assumes Rear Bearing is located in gear box, for Planetary design (Design Type 1).  Housing mass is equal to bearing mass.  All other design types assume all bearings are part of gearbox or generator structure.</t>
        </r>
      </text>
    </comment>
  </commentList>
</comments>
</file>

<file path=xl/comments12.xml><?xml version="1.0" encoding="utf-8"?>
<comments xmlns="http://schemas.openxmlformats.org/spreadsheetml/2006/main">
  <authors>
    <author>NREL</author>
  </authors>
  <commentList>
    <comment ref="B22" authorId="0">
      <text>
        <r>
          <rPr>
            <sz val="8"/>
            <color indexed="81"/>
            <rFont val="Tahoma"/>
            <family val="2"/>
          </rPr>
          <t>The Cost Factor for 3 stage planetary gearboxes (Design Option 1) was developed by plotting cost versus machine rating from the WindPACT Rotor Design Study.  This provided a power law equation based on rating.</t>
        </r>
      </text>
    </comment>
    <comment ref="C22" authorId="0">
      <text>
        <r>
          <rPr>
            <sz val="8"/>
            <color indexed="81"/>
            <rFont val="Tahoma"/>
            <family val="2"/>
          </rPr>
          <t xml:space="preserve">The Cost Factor for single stage gearboxes with medium speed generators (Design Option 2) was developed by plotting cost versus machine rating from the WindPACT GEC Drive Train Design Report, which provided cost estimates for three designs at different ratings.  This provided a power law equation based on rating.  From Curve Plotted Below  
</t>
        </r>
      </text>
    </comment>
    <comment ref="D22" authorId="0">
      <text>
        <r>
          <rPr>
            <sz val="8"/>
            <color indexed="81"/>
            <rFont val="Tahoma"/>
            <family val="2"/>
          </rPr>
          <t xml:space="preserve">The Cost Factor for a multi stage gearboxes with high speed generators (Design Option 3) was developed by assuming the curve had the same shape (power) as the 3 stage planetary but a different multiplier.  A new multiplier was developed by ratioing a multi drive gearbox to a 3 stage planetary of the same size.  This ratio was taken once the two design had been converted to 2002 $.  This provided a power law equation based on rating. </t>
        </r>
      </text>
    </comment>
    <comment ref="E22" authorId="0">
      <text>
        <r>
          <rPr>
            <sz val="8"/>
            <color indexed="81"/>
            <rFont val="Tahoma"/>
            <family val="2"/>
          </rPr>
          <t>No Gear box is used for the direct drive generator, so multipliers and power have been set to zero.</t>
        </r>
        <r>
          <rPr>
            <sz val="10"/>
            <color indexed="81"/>
            <rFont val="Tahoma"/>
            <family val="2"/>
          </rPr>
          <t xml:space="preserve">
</t>
        </r>
      </text>
    </comment>
    <comment ref="B27" authorId="0">
      <text>
        <r>
          <rPr>
            <sz val="10"/>
            <color indexed="81"/>
            <rFont val="Tahoma"/>
            <family val="2"/>
          </rPr>
          <t>Gearbox mass calculations for 3 stage planetary designs (Design Option 1) were developed by calculating torque for each of 4 different size designs from the WindPACT rotor study and plotting the torques against gearbox mass.  This provided a power law curve based on torque.</t>
        </r>
      </text>
    </comment>
    <comment ref="C27" authorId="0">
      <text>
        <r>
          <rPr>
            <sz val="8"/>
            <color indexed="81"/>
            <rFont val="Tahoma"/>
            <family val="2"/>
          </rPr>
          <t>Gearbox mass calculations for single stage designs with a medium speed generator (Design Option 2) were developed assuming the gearbox would also scale by torque with the same shape as the 3 stage planetary (thus using the same power).  The multiplier was developed by ratioing the GEC single stage gearbox mass to the 3 stage planetary of the same rating.  The Mainshaft and Main Bearings are incorporated into this design, where in option 1, they are separate.</t>
        </r>
      </text>
    </comment>
    <comment ref="D27" authorId="0">
      <text>
        <r>
          <rPr>
            <sz val="8"/>
            <color indexed="81"/>
            <rFont val="Tahoma"/>
            <family val="2"/>
          </rPr>
          <t>Gearbox mass calculations for multi stage designs with multiple generators (Design Option 3) were developed assuming the gearbox would also scale by torque with the same shape as the 3 stage planetary (thus using the same power).  The multiplier was developed by ratioing the Multi stage gearbox mass to the 3 stage planetary of the same rating.  The Mainshaft and Main Bearings are incorporated into this design, where in option 1, they are separate.</t>
        </r>
      </text>
    </comment>
    <comment ref="E27" authorId="0">
      <text>
        <r>
          <rPr>
            <sz val="8"/>
            <color indexed="81"/>
            <rFont val="Tahoma"/>
            <family val="2"/>
          </rPr>
          <t>No Gear box is used for the direct drive generator, so multipliers and power have been set to zero.</t>
        </r>
        <r>
          <rPr>
            <sz val="10"/>
            <color indexed="81"/>
            <rFont val="Tahoma"/>
            <family val="2"/>
          </rPr>
          <t xml:space="preserve">
</t>
        </r>
      </text>
    </comment>
    <comment ref="G38" authorId="0">
      <text>
        <r>
          <rPr>
            <b/>
            <sz val="8"/>
            <color indexed="81"/>
            <rFont val="Tahoma"/>
            <family val="2"/>
          </rPr>
          <t>From Clipper Data.  Includes, Mainshaft, main bearings and lubrications system.</t>
        </r>
      </text>
    </comment>
    <comment ref="J72" authorId="0">
      <text>
        <r>
          <rPr>
            <b/>
            <sz val="8"/>
            <color indexed="81"/>
            <rFont val="Tahoma"/>
            <family val="2"/>
          </rPr>
          <t>(1) Clipper = 36318 kgs (79900 lbs) - Based on Clipper Shipping Documents</t>
        </r>
        <r>
          <rPr>
            <sz val="10"/>
            <color indexed="81"/>
            <rFont val="Tahoma"/>
            <family val="2"/>
          </rPr>
          <t xml:space="preserve">
</t>
        </r>
      </text>
    </comment>
    <comment ref="A76" authorId="0">
      <text>
        <r>
          <rPr>
            <b/>
            <sz val="10"/>
            <color indexed="81"/>
            <rFont val="Tahoma"/>
            <family val="2"/>
          </rPr>
          <t>Mod 5 ASEA Stal Gearbox</t>
        </r>
      </text>
    </comment>
    <comment ref="C76" authorId="0">
      <text>
        <r>
          <rPr>
            <b/>
            <sz val="10"/>
            <color indexed="81"/>
            <rFont val="Tahoma"/>
            <family val="2"/>
          </rPr>
          <t>Number here is calculated torque based on rated rpm of ASEA Stal.  Rated Torque on name plates if 1900 kNm</t>
        </r>
      </text>
    </comment>
    <comment ref="L76" authorId="0">
      <text>
        <r>
          <rPr>
            <b/>
            <sz val="10"/>
            <color indexed="81"/>
            <rFont val="Tahoma"/>
            <family val="2"/>
          </rPr>
          <t>Mod 5 ASEA Stal Gearbox</t>
        </r>
      </text>
    </comment>
  </commentList>
</comments>
</file>

<file path=xl/comments13.xml><?xml version="1.0" encoding="utf-8"?>
<comments xmlns="http://schemas.openxmlformats.org/spreadsheetml/2006/main">
  <authors>
    <author>NREL</author>
  </authors>
  <commentList>
    <comment ref="B12" authorId="0">
      <text>
        <r>
          <rPr>
            <b/>
            <sz val="10"/>
            <color indexed="81"/>
            <rFont val="Tahoma"/>
            <family val="2"/>
          </rPr>
          <t>Calculated Based on Cost Vs Machine Rating Curve Below.</t>
        </r>
        <r>
          <rPr>
            <sz val="10"/>
            <color indexed="81"/>
            <rFont val="Tahoma"/>
            <family val="2"/>
          </rPr>
          <t xml:space="preserve">
</t>
        </r>
      </text>
    </comment>
  </commentList>
</comments>
</file>

<file path=xl/comments14.xml><?xml version="1.0" encoding="utf-8"?>
<comments xmlns="http://schemas.openxmlformats.org/spreadsheetml/2006/main">
  <authors>
    <author>NREL</author>
    <author>bmaples</author>
  </authors>
  <commentList>
    <comment ref="C22" authorId="0">
      <text>
        <r>
          <rPr>
            <sz val="8"/>
            <color indexed="81"/>
            <rFont val="Tahoma"/>
            <family val="2"/>
          </rPr>
          <t>The Cost Factor for generators for 3 stage planetary drives (Design Option 1) was taken from the WindPACT Rotor Design Study.  This multiplier assumes generators scale at at set $ amount per kW of rating.  This formula was adjusted from 2002 $ to 2005$ using the PPI indexes for Generators.</t>
        </r>
        <r>
          <rPr>
            <sz val="10"/>
            <color indexed="81"/>
            <rFont val="Tahoma"/>
            <family val="2"/>
          </rPr>
          <t xml:space="preserve">
</t>
        </r>
      </text>
    </comment>
    <comment ref="D22" authorId="0">
      <text>
        <r>
          <rPr>
            <sz val="8"/>
            <color indexed="81"/>
            <rFont val="Tahoma"/>
            <family val="2"/>
          </rPr>
          <t>The Cost Factor for generators for single stage drives with medium speed generators (Design Option 2) scales much the same as generators for planetary drives, on a $ per kW basis.  This multiplier was developed as a ratio between the WindPACT medium speed generator and the WindPACT baseline planetary generators.  This formula was adjusted from 2002 $ to 2005$ using the PPI indexes for Generators.</t>
        </r>
        <r>
          <rPr>
            <sz val="10"/>
            <color indexed="81"/>
            <rFont val="Tahoma"/>
            <family val="2"/>
          </rPr>
          <t xml:space="preserve">
</t>
        </r>
      </text>
    </comment>
    <comment ref="E22" authorId="0">
      <text>
        <r>
          <rPr>
            <sz val="8"/>
            <color indexed="81"/>
            <rFont val="Tahoma"/>
            <family val="2"/>
          </rPr>
          <t>The Cost Factor for generators for multi generator drives (Design Option 3) scales the same as generators for planetary drives, on a $ per kW basis.  This multiplier was developed as a ratio between the multi generator costs and the baseline planetary generators.  This formula was adjusted from 2002 $ to 2005$ using the PPI indexes for Generators.</t>
        </r>
        <r>
          <rPr>
            <sz val="10"/>
            <color indexed="81"/>
            <rFont val="Tahoma"/>
            <family val="2"/>
          </rPr>
          <t xml:space="preserve">
</t>
        </r>
      </text>
    </comment>
    <comment ref="F22" authorId="0">
      <text>
        <r>
          <rPr>
            <sz val="8"/>
            <color indexed="81"/>
            <rFont val="Tahoma"/>
            <family val="2"/>
          </rPr>
          <t>The Cost Factor for direct drive generators (Design Option 4) scales the same as generators for planetary drives, on a $ per kW basis.  This multiplier was developed as a ratio between the WindPACT direct drive generator and the WindPACT baseline planetary generators.  This formula was adjusted from 2002 $ to 2005$ using the PPI indexes for Generators.</t>
        </r>
      </text>
    </comment>
    <comment ref="C26" authorId="0">
      <text>
        <r>
          <rPr>
            <b/>
            <sz val="8"/>
            <color indexed="81"/>
            <rFont val="Tahoma"/>
            <family val="2"/>
          </rPr>
          <t>Rotor Study:
Generator Mass = 3.3*Rating(kw) + 471</t>
        </r>
      </text>
    </comment>
    <comment ref="D26" authorId="0">
      <text>
        <r>
          <rPr>
            <b/>
            <sz val="8"/>
            <color indexed="81"/>
            <rFont val="Tahoma"/>
            <family val="2"/>
          </rPr>
          <t>Curve multiplier is based on ratio between GEC Mass and WindPACT planetary mass, with same shape exponent</t>
        </r>
      </text>
    </comment>
    <comment ref="E26" authorId="0">
      <text>
        <r>
          <rPr>
            <b/>
            <sz val="8"/>
            <color indexed="81"/>
            <rFont val="Tahoma"/>
            <family val="2"/>
          </rPr>
          <t>Curve multiplier is based on ratio between a MultiGenerator Mass and planetary mass, with same shape exponent</t>
        </r>
      </text>
    </comment>
    <comment ref="F26" authorId="0">
      <text>
        <r>
          <rPr>
            <b/>
            <sz val="8"/>
            <color indexed="81"/>
            <rFont val="Tahoma"/>
            <family val="2"/>
          </rPr>
          <t>Curve multiplier and exponent is based on torque vs mass calculated in section below</t>
        </r>
      </text>
    </comment>
    <comment ref="D34" authorId="0">
      <text>
        <r>
          <rPr>
            <b/>
            <sz val="10"/>
            <color indexed="81"/>
            <rFont val="Tahoma"/>
            <family val="2"/>
          </rPr>
          <t>Scaling Curve Assumes Plots are Linear through GEC Single Stage Drive, like Planetary Generator Curve</t>
        </r>
      </text>
    </comment>
    <comment ref="E34" authorId="0">
      <text>
        <r>
          <rPr>
            <b/>
            <sz val="10"/>
            <color indexed="81"/>
            <rFont val="Tahoma"/>
            <family val="2"/>
          </rPr>
          <t>Scaling Curve Assumes Plots are Linear through Clipper Multi-Generator Designs, like Planetary Generator Curve</t>
        </r>
        <r>
          <rPr>
            <sz val="10"/>
            <color indexed="81"/>
            <rFont val="Tahoma"/>
            <family val="2"/>
          </rPr>
          <t xml:space="preserve">
</t>
        </r>
      </text>
    </comment>
    <comment ref="F34" authorId="0">
      <text>
        <r>
          <rPr>
            <b/>
            <sz val="10"/>
            <color indexed="81"/>
            <rFont val="Tahoma"/>
            <family val="2"/>
          </rPr>
          <t>Scaling Curve Assumes Plots are Linear through NPS Direct Drive, like Planetary Generator Curve</t>
        </r>
      </text>
    </comment>
    <comment ref="H34" authorId="0">
      <text>
        <r>
          <rPr>
            <b/>
            <sz val="8"/>
            <color indexed="81"/>
            <rFont val="Tahoma"/>
            <family val="2"/>
          </rPr>
          <t>Cost from GEC WindPACT Drive Train Report</t>
        </r>
      </text>
    </comment>
    <comment ref="I34" authorId="0">
      <text>
        <r>
          <rPr>
            <b/>
            <sz val="10"/>
            <color indexed="10"/>
            <rFont val="Tahoma"/>
            <family val="2"/>
          </rPr>
          <t>CONFIDENTIAL DATA</t>
        </r>
        <r>
          <rPr>
            <b/>
            <sz val="10"/>
            <color indexed="81"/>
            <rFont val="Tahoma"/>
            <family val="2"/>
          </rPr>
          <t>:  From Clipper Costing Documents</t>
        </r>
      </text>
    </comment>
    <comment ref="J34" authorId="0">
      <text>
        <r>
          <rPr>
            <b/>
            <sz val="8"/>
            <color indexed="81"/>
            <rFont val="Tahoma"/>
            <family val="2"/>
          </rPr>
          <t>Data from NPS WindPACT Drive Train Report</t>
        </r>
      </text>
    </comment>
    <comment ref="I37" authorId="0">
      <text>
        <r>
          <rPr>
            <b/>
            <sz val="10"/>
            <color indexed="81"/>
            <rFont val="Tahoma"/>
            <family val="2"/>
          </rPr>
          <t>Cost in $2002</t>
        </r>
      </text>
    </comment>
    <comment ref="C63" authorId="0">
      <text>
        <r>
          <rPr>
            <b/>
            <sz val="8"/>
            <color indexed="81"/>
            <rFont val="Tahoma"/>
            <family val="2"/>
          </rPr>
          <t>Check Calculation of Curve vs WindPACT rotor report data on right</t>
        </r>
      </text>
    </comment>
    <comment ref="D63" authorId="0">
      <text>
        <r>
          <rPr>
            <b/>
            <sz val="8"/>
            <color indexed="81"/>
            <rFont val="Tahoma"/>
            <family val="2"/>
          </rPr>
          <t>Curve multiplier is based on ratio between GEC Mass and WindPACT planetary mass, with same shape exponent</t>
        </r>
      </text>
    </comment>
    <comment ref="E63" authorId="0">
      <text>
        <r>
          <rPr>
            <b/>
            <sz val="8"/>
            <color indexed="81"/>
            <rFont val="Tahoma"/>
            <family val="2"/>
          </rPr>
          <t>Curve multiplier is based on ratio between Clipper Generator Mass and WindPACT planetary mass, with same shape exponent</t>
        </r>
      </text>
    </comment>
    <comment ref="F63" authorId="1">
      <text>
        <r>
          <rPr>
            <b/>
            <sz val="8"/>
            <color indexed="81"/>
            <rFont val="Tahoma"/>
            <family val="2"/>
          </rPr>
          <t>bmaples:</t>
        </r>
        <r>
          <rPr>
            <sz val="8"/>
            <color indexed="81"/>
            <rFont val="Tahoma"/>
            <family val="2"/>
          </rPr>
          <t xml:space="preserve">
Direct drive generator calculation are calculated seperately to the right.</t>
        </r>
      </text>
    </comment>
    <comment ref="G63" authorId="0">
      <text>
        <r>
          <rPr>
            <b/>
            <sz val="8"/>
            <color indexed="81"/>
            <rFont val="Tahoma"/>
            <family val="2"/>
          </rPr>
          <t>Model taken from WindPACT Rotor Study:  Generator Mass = 3.3*Rating(kw) + 471</t>
        </r>
        <r>
          <rPr>
            <sz val="10"/>
            <color indexed="81"/>
            <rFont val="Tahoma"/>
            <family val="2"/>
          </rPr>
          <t xml:space="preserve">
</t>
        </r>
      </text>
    </comment>
    <comment ref="H63" authorId="0">
      <text>
        <r>
          <rPr>
            <b/>
            <sz val="8"/>
            <color indexed="81"/>
            <rFont val="Tahoma"/>
            <family val="2"/>
          </rPr>
          <t>From GEC Shipping Documents</t>
        </r>
      </text>
    </comment>
    <comment ref="I63" authorId="0">
      <text>
        <r>
          <rPr>
            <b/>
            <sz val="8"/>
            <color indexed="81"/>
            <rFont val="Tahoma"/>
            <family val="2"/>
          </rPr>
          <t>Clipper Generators @ 4000lbs each x 4 Generators:  Converted to kgs</t>
        </r>
      </text>
    </comment>
  </commentList>
</comments>
</file>

<file path=xl/comments15.xml><?xml version="1.0" encoding="utf-8"?>
<comments xmlns="http://schemas.openxmlformats.org/spreadsheetml/2006/main">
  <authors>
    <author>NREL</author>
  </authors>
  <commentList>
    <comment ref="B10" authorId="0">
      <text>
        <r>
          <rPr>
            <b/>
            <sz val="10"/>
            <color indexed="81"/>
            <rFont val="Tahoma"/>
            <family val="2"/>
          </rPr>
          <t>Rating Time PE Cost Below.  Based on Back to Back PWM Converters.</t>
        </r>
      </text>
    </comment>
    <comment ref="B14" authorId="0">
      <text>
        <r>
          <rPr>
            <b/>
            <sz val="8"/>
            <color indexed="81"/>
            <rFont val="Tahoma"/>
            <family val="2"/>
          </rPr>
          <t>Based on Wind Turbine Rating.  From GEC WindPACT Drive Train Study.  Based on Full power conversion, using back to back PWM modulated IGBT systems, as described in Appendix F "1.5 MW IGBT-IGBT Drive Pricing Estimate", page F.4-4.</t>
        </r>
      </text>
    </comment>
  </commentList>
</comments>
</file>

<file path=xl/comments16.xml><?xml version="1.0" encoding="utf-8"?>
<comments xmlns="http://schemas.openxmlformats.org/spreadsheetml/2006/main">
  <authors>
    <author>NREL</author>
  </authors>
  <commentList>
    <comment ref="B10" authorId="0">
      <text>
        <r>
          <rPr>
            <b/>
            <sz val="10"/>
            <color indexed="81"/>
            <rFont val="Tahoma"/>
            <family val="2"/>
          </rPr>
          <t>From Avon Bearing Mass Data Equation Below.</t>
        </r>
      </text>
    </comment>
    <comment ref="B11" authorId="0">
      <text>
        <r>
          <rPr>
            <b/>
            <sz val="8"/>
            <color indexed="81"/>
            <rFont val="Tahoma"/>
            <family val="2"/>
          </rPr>
          <t>Total Yaw System Mass (Bearings, Drives &amp; Brakes) is 1.6 time Bearing Mass.  Based on LWST Detailed Turbine Data.</t>
        </r>
      </text>
    </comment>
    <comment ref="B12" authorId="0">
      <text>
        <r>
          <rPr>
            <b/>
            <sz val="8"/>
            <color indexed="81"/>
            <rFont val="Tahoma"/>
            <family val="2"/>
          </rPr>
          <t>From Bearing Cost vs Rotor Diameter Plot below, based on Avon Bearing Data from GEC WindPACT Rotor Study.  Bearing Cost are multiplied times 2, to cover Yaw Drive and Yaw Brakes (consistent with WindPACT assumptions).</t>
        </r>
      </text>
    </comment>
    <comment ref="B27" authorId="0">
      <text>
        <r>
          <rPr>
            <b/>
            <sz val="10"/>
            <color indexed="81"/>
            <rFont val="Tahoma"/>
            <family val="2"/>
          </rPr>
          <t>From Actual Avon Bearing Data quoted in WindPACT Rotor Study Appendix</t>
        </r>
      </text>
    </comment>
    <comment ref="C27" authorId="0">
      <text>
        <r>
          <rPr>
            <b/>
            <sz val="10"/>
            <color indexed="81"/>
            <rFont val="Tahoma"/>
            <family val="2"/>
          </rPr>
          <t>From Actual Avon Bearing Cost in WindPACT Rotor Study Appendix</t>
        </r>
      </text>
    </comment>
    <comment ref="D27" authorId="0">
      <text>
        <r>
          <rPr>
            <b/>
            <sz val="8"/>
            <color indexed="81"/>
            <rFont val="Tahoma"/>
            <family val="2"/>
          </rPr>
          <t>System Cost is Estimated as Two Times Bearing Cost to Cover Yaw Drive, and Yaw Brakes.  Multiplier of 2 is Based on WindPACT Rotor Study Assumptions.</t>
        </r>
      </text>
    </comment>
  </commentList>
</comments>
</file>

<file path=xl/comments17.xml><?xml version="1.0" encoding="utf-8"?>
<comments xmlns="http://schemas.openxmlformats.org/spreadsheetml/2006/main">
  <authors>
    <author>NREL</author>
    <author>BMaples</author>
  </authors>
  <commentList>
    <comment ref="B15" authorId="0">
      <text>
        <r>
          <rPr>
            <b/>
            <sz val="8"/>
            <color indexed="81"/>
            <rFont val="Tahoma"/>
            <family val="2"/>
          </rPr>
          <t>Calculated Using Lookup Table below, based on type of design.</t>
        </r>
      </text>
    </comment>
    <comment ref="B16" authorId="0">
      <text>
        <r>
          <rPr>
            <b/>
            <sz val="10"/>
            <color indexed="81"/>
            <rFont val="Tahoma"/>
            <family val="2"/>
          </rPr>
          <t>Based on an LWST Report, Nacelle Platforms are 12.5% of the Mainframe Mass</t>
        </r>
      </text>
    </comment>
    <comment ref="B17" authorId="0">
      <text>
        <r>
          <rPr>
            <b/>
            <sz val="10"/>
            <color indexed="81"/>
            <rFont val="Tahoma"/>
            <family val="2"/>
          </rPr>
          <t>Based on an LWST Report Service Crane is Roughly 3000 kgs</t>
        </r>
      </text>
    </comment>
    <comment ref="B20" authorId="0">
      <text>
        <r>
          <rPr>
            <b/>
            <sz val="8"/>
            <color indexed="81"/>
            <rFont val="Tahoma"/>
            <family val="2"/>
          </rPr>
          <t>Based on LWST Subcontract Data, Plaforms are $8.7 kg.</t>
        </r>
      </text>
    </comment>
    <comment ref="B21" authorId="0">
      <text>
        <r>
          <rPr>
            <b/>
            <sz val="8"/>
            <color indexed="81"/>
            <rFont val="Tahoma"/>
            <family val="2"/>
          </rPr>
          <t>Based on LWST Cost onboard Service Crane is Approximately $12,000.  (Clipper - Wind Technology Protected Data)</t>
        </r>
      </text>
    </comment>
    <comment ref="B22" authorId="0">
      <text>
        <r>
          <rPr>
            <b/>
            <sz val="8"/>
            <color indexed="81"/>
            <rFont val="Tahoma"/>
            <family val="2"/>
          </rPr>
          <t>Miscellaneous Hardware for Mainframe Assembly, Attachments and Supports.  =70% of Mainframe Cost.</t>
        </r>
      </text>
    </comment>
    <comment ref="B28" authorId="0">
      <text>
        <r>
          <rPr>
            <b/>
            <sz val="8"/>
            <color indexed="81"/>
            <rFont val="Tahoma"/>
            <family val="2"/>
          </rPr>
          <t>Design Option 1, Standard 3 stage Gearbox.  Based on Mainframe vs Diameter Type 1 plot below.</t>
        </r>
      </text>
    </comment>
    <comment ref="C28" authorId="0">
      <text>
        <r>
          <rPr>
            <b/>
            <sz val="8"/>
            <color indexed="81"/>
            <rFont val="Tahoma"/>
            <family val="2"/>
          </rPr>
          <t>Drive Trian Type 2, (Single Stage Drive Medium Speed Generator), is Generally self supporting and requires no Mainframe.  However additional costs are associated with supports for ancilliary equipment in the Nacelle.  Multiplier and Power law developed from Type 2 Plot below.  Based on data from Drive train reports.</t>
        </r>
      </text>
    </comment>
    <comment ref="D28" authorId="0">
      <text>
        <r>
          <rPr>
            <b/>
            <sz val="8"/>
            <color indexed="81"/>
            <rFont val="Tahoma"/>
            <family val="2"/>
          </rPr>
          <t>Drive Trian Type 3, (Multi Generator), requires a limited mainframe.  Plot follows Type 3 Plot below.  Based Drive Train Studies (GEC) and actual Clipper data.</t>
        </r>
      </text>
    </comment>
    <comment ref="E28" authorId="0">
      <text>
        <r>
          <rPr>
            <b/>
            <sz val="8"/>
            <color indexed="81"/>
            <rFont val="Tahoma"/>
            <family val="2"/>
          </rPr>
          <t>Drive Trian Type 4, (Direct Drive), is Generally self supporting but still requires a limited bedplate.  Based on NPS Drive Train Report Data and Curve Below.</t>
        </r>
      </text>
    </comment>
    <comment ref="B33" authorId="0">
      <text>
        <r>
          <rPr>
            <b/>
            <sz val="8"/>
            <color indexed="81"/>
            <rFont val="Tahoma"/>
            <family val="2"/>
          </rPr>
          <t>Design Option 1, 3 stage gearbox.  
Calculations adapted from the University of Sunderland's "Cost Modelling of Horizontal Axis Wind Turbines" 1994</t>
        </r>
      </text>
    </comment>
    <comment ref="C33" authorId="0">
      <text>
        <r>
          <rPr>
            <b/>
            <sz val="8"/>
            <color indexed="81"/>
            <rFont val="Tahoma"/>
            <family val="2"/>
          </rPr>
          <t>Drive Trian Type 2, (Single Stage Drive Medium Speed Generator), is Generally self supporting and requires no Mainframe.  However additional mass is associated with supports for ancilliary equipment in the Nacelle.  Based on Comparison of Type 2 to Type 1 design in GEC Drive Train Study, Single Stage will be .58 of the Baseline (Page 13 - cost of Single PM Support Structure/Baseline Support Structure).  Using the same factor (since cost and mass are a simple product relationship in WindPACT Rotor Study), then multiplier is therefore .58x2.2326=1.2949.  Will still follow a roughly square Power law.</t>
        </r>
      </text>
    </comment>
    <comment ref="D33" authorId="0">
      <text>
        <r>
          <rPr>
            <b/>
            <sz val="8"/>
            <color indexed="81"/>
            <rFont val="Tahoma"/>
            <family val="2"/>
          </rPr>
          <t>Drive Trian Type 3, (Multi Generator), requires a limited mainframe.  It is assumed to be a roughly cubic relationship like the Baseline.  But multipliers are calculated from the ratio of the Clipper Data (below) to the baseline mass and cost.</t>
        </r>
      </text>
    </comment>
    <comment ref="E33" authorId="0">
      <text>
        <r>
          <rPr>
            <b/>
            <sz val="8"/>
            <color indexed="81"/>
            <rFont val="Tahoma"/>
            <family val="2"/>
          </rPr>
          <t xml:space="preserve">Drive Trian Type 4, (Direct Drive), is Generally self supporting but still requires a limited bedplate.  Based on Comparison of Type 4 to Type 1 design in NPS Drive Train Study, DD bedplate will be .55 of the Baseline (Page 9-1 - cost of DD 4 m/Baseline Bedplate).  This assumes there is a direct linear relationship between cost and masss.  </t>
        </r>
      </text>
    </comment>
    <comment ref="E41" authorId="0">
      <text>
        <r>
          <rPr>
            <b/>
            <sz val="10"/>
            <color indexed="81"/>
            <rFont val="Tahoma"/>
            <family val="2"/>
          </rPr>
          <t>Contains Wind Technology Protected Data</t>
        </r>
      </text>
    </comment>
    <comment ref="B42" authorId="0">
      <text>
        <r>
          <rPr>
            <b/>
            <sz val="10"/>
            <color indexed="81"/>
            <rFont val="Tahoma"/>
            <family val="2"/>
          </rPr>
          <t>All Costs in 2002 $</t>
        </r>
      </text>
    </comment>
    <comment ref="C42" authorId="0">
      <text>
        <r>
          <rPr>
            <b/>
            <sz val="10"/>
            <color indexed="81"/>
            <rFont val="Tahoma"/>
            <family val="2"/>
          </rPr>
          <t>Back calculated from Cost using $4.25 kg for castings, from WindPACT Rotor Study</t>
        </r>
      </text>
    </comment>
    <comment ref="D43" authorId="0">
      <text>
        <r>
          <rPr>
            <b/>
            <sz val="8"/>
            <color indexed="81"/>
            <rFont val="Tahoma"/>
            <family val="2"/>
          </rPr>
          <t>From GEC WindPACT Drive Train Study</t>
        </r>
      </text>
    </comment>
    <comment ref="E43" authorId="0">
      <text>
        <r>
          <rPr>
            <b/>
            <sz val="8"/>
            <color indexed="81"/>
            <rFont val="Tahoma"/>
            <family val="2"/>
          </rPr>
          <t>From GEC WindPACT Drive Train Study</t>
        </r>
      </text>
    </comment>
    <comment ref="B44" authorId="0">
      <text>
        <r>
          <rPr>
            <b/>
            <sz val="8"/>
            <color indexed="81"/>
            <rFont val="Tahoma"/>
            <family val="2"/>
          </rPr>
          <t>From GEC WindPACT Drive Train Study</t>
        </r>
      </text>
    </comment>
    <comment ref="D45" authorId="0">
      <text>
        <r>
          <rPr>
            <b/>
            <sz val="8"/>
            <color indexed="81"/>
            <rFont val="Tahoma"/>
            <family val="2"/>
          </rPr>
          <t>From GEC WindPACT Drive Train Study</t>
        </r>
      </text>
    </comment>
    <comment ref="E45" authorId="0">
      <text>
        <r>
          <rPr>
            <b/>
            <sz val="8"/>
            <color indexed="81"/>
            <rFont val="Tahoma"/>
            <family val="2"/>
          </rPr>
          <t>From GEC WindPACT Drive Train Study</t>
        </r>
      </text>
    </comment>
    <comment ref="B46" authorId="0">
      <text>
        <r>
          <rPr>
            <b/>
            <sz val="8"/>
            <color indexed="81"/>
            <rFont val="Tahoma"/>
            <family val="2"/>
          </rPr>
          <t>From GEC WindPACT Drive Train Study</t>
        </r>
      </text>
    </comment>
    <comment ref="D46" authorId="0">
      <text>
        <r>
          <rPr>
            <b/>
            <sz val="8"/>
            <color indexed="81"/>
            <rFont val="Tahoma"/>
            <family val="2"/>
          </rPr>
          <t>From NPS WindPACT Drive Train STudy</t>
        </r>
      </text>
    </comment>
    <comment ref="G46" authorId="0">
      <text>
        <r>
          <rPr>
            <b/>
            <sz val="10"/>
            <color indexed="81"/>
            <rFont val="Tahoma"/>
            <family val="2"/>
          </rPr>
          <t>From NPS WindPACT Drive Train Study</t>
        </r>
      </text>
    </comment>
    <comment ref="B47" authorId="0">
      <text>
        <r>
          <rPr>
            <b/>
            <sz val="8"/>
            <color indexed="81"/>
            <rFont val="Tahoma"/>
            <family val="2"/>
          </rPr>
          <t>From NPS WindPACT Drive Train Study</t>
        </r>
      </text>
    </comment>
    <comment ref="C48" authorId="0">
      <text>
        <r>
          <rPr>
            <b/>
            <sz val="10"/>
            <color indexed="81"/>
            <rFont val="Tahoma"/>
            <family val="2"/>
          </rPr>
          <t>Calculated from Look up Table Above, for Type 1 Design.  Used for Comparison to Type 3 Design.</t>
        </r>
      </text>
    </comment>
    <comment ref="E48" authorId="0">
      <text>
        <r>
          <rPr>
            <b/>
            <sz val="8"/>
            <color indexed="81"/>
            <rFont val="Tahoma"/>
            <family val="2"/>
          </rPr>
          <t>Clipper cost in 2005$, converted to 2002 $ using PPI Calcs (Original Value $47,000/1.0915)</t>
        </r>
      </text>
    </comment>
    <comment ref="F48" authorId="0">
      <text>
        <r>
          <rPr>
            <b/>
            <sz val="8"/>
            <color indexed="81"/>
            <rFont val="Tahoma"/>
            <family val="2"/>
          </rPr>
          <t>From Clipper, Wind Technology Protected Data</t>
        </r>
      </text>
    </comment>
    <comment ref="D49" authorId="0">
      <text>
        <r>
          <rPr>
            <b/>
            <sz val="8"/>
            <color indexed="81"/>
            <rFont val="Tahoma"/>
            <family val="2"/>
          </rPr>
          <t>From GEC WindPACT Drive Train Study</t>
        </r>
      </text>
    </comment>
    <comment ref="E49" authorId="0">
      <text>
        <r>
          <rPr>
            <b/>
            <sz val="8"/>
            <color indexed="81"/>
            <rFont val="Tahoma"/>
            <family val="2"/>
          </rPr>
          <t>From GEC WindPACT Drive Train Study</t>
        </r>
      </text>
    </comment>
    <comment ref="G49" authorId="0">
      <text>
        <r>
          <rPr>
            <b/>
            <sz val="8"/>
            <color indexed="81"/>
            <rFont val="Tahoma"/>
            <family val="2"/>
          </rPr>
          <t>From NPS WindPACT Drive Train Study</t>
        </r>
      </text>
    </comment>
    <comment ref="B50" authorId="0">
      <text>
        <r>
          <rPr>
            <b/>
            <sz val="8"/>
            <color indexed="81"/>
            <rFont val="Tahoma"/>
            <family val="2"/>
          </rPr>
          <t>From GEC WindPACT Drive Train Study</t>
        </r>
      </text>
    </comment>
    <comment ref="D50" authorId="0">
      <text>
        <r>
          <rPr>
            <b/>
            <sz val="8"/>
            <color indexed="81"/>
            <rFont val="Tahoma"/>
            <family val="2"/>
          </rPr>
          <t>From NPS WindPACT Drive Train Study</t>
        </r>
      </text>
    </comment>
    <comment ref="B51" authorId="0">
      <text>
        <r>
          <rPr>
            <b/>
            <sz val="8"/>
            <color indexed="81"/>
            <rFont val="Tahoma"/>
            <family val="2"/>
          </rPr>
          <t>From NPS WindPACT Drive Train Study</t>
        </r>
      </text>
    </comment>
    <comment ref="A86" authorId="1">
      <text>
        <r>
          <rPr>
            <b/>
            <sz val="8"/>
            <color indexed="81"/>
            <rFont val="Tahoma"/>
            <family val="2"/>
          </rPr>
          <t>BMaples:</t>
        </r>
        <r>
          <rPr>
            <sz val="8"/>
            <color indexed="81"/>
            <rFont val="Tahoma"/>
            <family val="2"/>
          </rPr>
          <t xml:space="preserve">
Calculations adapted from the University of Sunderland's "Cost Modelling of Horizontal Axis Wind Turbines" 1994</t>
        </r>
      </text>
    </comment>
    <comment ref="B96" authorId="1">
      <text>
        <r>
          <rPr>
            <b/>
            <sz val="8"/>
            <color indexed="81"/>
            <rFont val="Tahoma"/>
            <family val="2"/>
          </rPr>
          <t>BMaples:</t>
        </r>
        <r>
          <rPr>
            <sz val="8"/>
            <color indexed="81"/>
            <rFont val="Tahoma"/>
            <family val="2"/>
          </rPr>
          <t xml:space="preserve">
Modular= 2.86  Modular-advanced= 2.4  Integral= 0.71</t>
        </r>
      </text>
    </comment>
    <comment ref="B97" authorId="1">
      <text>
        <r>
          <rPr>
            <b/>
            <sz val="8"/>
            <color indexed="81"/>
            <rFont val="Tahoma"/>
            <family val="2"/>
          </rPr>
          <t>BMaples:</t>
        </r>
        <r>
          <rPr>
            <sz val="8"/>
            <color indexed="81"/>
            <rFont val="Tahoma"/>
            <family val="2"/>
          </rPr>
          <t xml:space="preserve">
For Rotor Diameter:     
0m&lt;D&lt;15m=0.3      15m&lt;D&lt;60m=0.07042*D-.715     60m&lt;D=.01229*D+2.648</t>
        </r>
      </text>
    </comment>
    <comment ref="B100" authorId="1">
      <text>
        <r>
          <rPr>
            <b/>
            <sz val="8"/>
            <color indexed="81"/>
            <rFont val="Tahoma"/>
            <family val="2"/>
          </rPr>
          <t>BMaples:</t>
        </r>
        <r>
          <rPr>
            <sz val="8"/>
            <color indexed="81"/>
            <rFont val="Tahoma"/>
            <family val="2"/>
          </rPr>
          <t xml:space="preserve">
Need more info on aerodynamic drag and thrust factors (see pg.35 of Sunderland report)</t>
        </r>
      </text>
    </comment>
    <comment ref="B101" authorId="1">
      <text>
        <r>
          <rPr>
            <b/>
            <sz val="8"/>
            <color indexed="81"/>
            <rFont val="Tahoma"/>
            <family val="2"/>
          </rPr>
          <t>BMaples:</t>
        </r>
        <r>
          <rPr>
            <sz val="8"/>
            <color indexed="81"/>
            <rFont val="Tahoma"/>
            <family val="2"/>
          </rPr>
          <t xml:space="preserve">
Sources found with coefficients ranging from .1 to 1</t>
        </r>
      </text>
    </comment>
  </commentList>
</comments>
</file>

<file path=xl/comments18.xml><?xml version="1.0" encoding="utf-8"?>
<comments xmlns="http://schemas.openxmlformats.org/spreadsheetml/2006/main">
  <authors>
    <author>NREL</author>
  </authors>
  <commentList>
    <comment ref="B10" authorId="0">
      <text>
        <r>
          <rPr>
            <b/>
            <sz val="8"/>
            <color indexed="81"/>
            <rFont val="Tahoma"/>
            <family val="2"/>
          </rPr>
          <t>Based on WindPACT Rotor Study Cost of $40/kW</t>
        </r>
      </text>
    </comment>
  </commentList>
</comments>
</file>

<file path=xl/comments19.xml><?xml version="1.0" encoding="utf-8"?>
<comments xmlns="http://schemas.openxmlformats.org/spreadsheetml/2006/main">
  <authors>
    <author>NREL</author>
  </authors>
  <commentList>
    <comment ref="B10" authorId="0">
      <text>
        <r>
          <rPr>
            <b/>
            <sz val="10"/>
            <color indexed="81"/>
            <rFont val="Tahoma"/>
            <family val="2"/>
          </rPr>
          <t>Based on LWST Report, Mass = .08kgs/kW of Rating.</t>
        </r>
      </text>
    </comment>
    <comment ref="B11" authorId="0">
      <text>
        <r>
          <rPr>
            <b/>
            <sz val="8"/>
            <color indexed="81"/>
            <rFont val="Tahoma"/>
            <family val="2"/>
          </rPr>
          <t>Based on LWST Clipper Report (Wind Technology Protected Data).  Hydraulic and Cooling System $12 kW.  Cover Brakes, and Cooling System for Generator or Other Critical Components.</t>
        </r>
      </text>
    </comment>
  </commentList>
</comments>
</file>

<file path=xl/comments2.xml><?xml version="1.0" encoding="utf-8"?>
<comments xmlns="http://schemas.openxmlformats.org/spreadsheetml/2006/main">
  <authors>
    <author>NREL</author>
  </authors>
  <commentList>
    <comment ref="B59" authorId="0">
      <text>
        <r>
          <rPr>
            <b/>
            <sz val="8"/>
            <color indexed="81"/>
            <rFont val="Tahoma"/>
            <family val="2"/>
          </rPr>
          <t>Because O&amp;M is tax deductible, the final O&amp;M value in the COE calculation is multiplied by 60% (1-40%, where 40% is the combined federal-state tax rate.)</t>
        </r>
      </text>
    </comment>
  </commentList>
</comments>
</file>

<file path=xl/comments20.xml><?xml version="1.0" encoding="utf-8"?>
<comments xmlns="http://schemas.openxmlformats.org/spreadsheetml/2006/main">
  <authors>
    <author>NREL</author>
  </authors>
  <commentList>
    <comment ref="B10" authorId="0">
      <text>
        <r>
          <rPr>
            <b/>
            <sz val="8"/>
            <color indexed="81"/>
            <rFont val="Tahoma"/>
            <family val="2"/>
          </rPr>
          <t>Based on estimate of $9/kg, fabricated cost of cover, in $2002</t>
        </r>
      </text>
    </comment>
    <comment ref="B11" authorId="0">
      <text>
        <r>
          <rPr>
            <b/>
            <sz val="8"/>
            <color indexed="81"/>
            <rFont val="Tahoma"/>
            <family val="2"/>
          </rPr>
          <t>Based on Cost vs Rating Curve Below</t>
        </r>
      </text>
    </comment>
    <comment ref="C20" authorId="0">
      <text>
        <r>
          <rPr>
            <b/>
            <sz val="8"/>
            <color indexed="81"/>
            <rFont val="Tahoma"/>
            <family val="2"/>
          </rPr>
          <t>From GEC Rotor Study Report</t>
        </r>
      </text>
    </comment>
    <comment ref="C21" authorId="0">
      <text>
        <r>
          <rPr>
            <b/>
            <sz val="8"/>
            <color indexed="81"/>
            <rFont val="Tahoma"/>
            <family val="2"/>
          </rPr>
          <t>From GEC Drive Train Report</t>
        </r>
      </text>
    </comment>
    <comment ref="C22" authorId="0">
      <text>
        <r>
          <rPr>
            <b/>
            <sz val="8"/>
            <color indexed="81"/>
            <rFont val="Tahoma"/>
            <family val="2"/>
          </rPr>
          <t>From GEC Rotor Study Report</t>
        </r>
      </text>
    </comment>
    <comment ref="C23" authorId="0">
      <text>
        <r>
          <rPr>
            <b/>
            <sz val="8"/>
            <color indexed="81"/>
            <rFont val="Tahoma"/>
            <family val="2"/>
          </rPr>
          <t>From NPS Drive Train Report</t>
        </r>
      </text>
    </comment>
    <comment ref="C24" authorId="0">
      <text>
        <r>
          <rPr>
            <b/>
            <sz val="8"/>
            <color indexed="81"/>
            <rFont val="Tahoma"/>
            <family val="2"/>
          </rPr>
          <t>From NPS Drive Train Report</t>
        </r>
      </text>
    </comment>
    <comment ref="C25" authorId="0">
      <text>
        <r>
          <rPr>
            <b/>
            <sz val="8"/>
            <color indexed="81"/>
            <rFont val="Tahoma"/>
            <family val="2"/>
          </rPr>
          <t>From GEC Drive Train Report</t>
        </r>
      </text>
    </comment>
    <comment ref="C26" authorId="0">
      <text>
        <r>
          <rPr>
            <b/>
            <sz val="8"/>
            <color indexed="81"/>
            <rFont val="Tahoma"/>
            <family val="2"/>
          </rPr>
          <t>Clipper Actual, Includes Roll up Rear Door, in $2002 to Match other Data</t>
        </r>
      </text>
    </comment>
    <comment ref="C27" authorId="0">
      <text>
        <r>
          <rPr>
            <b/>
            <sz val="8"/>
            <color indexed="81"/>
            <rFont val="Tahoma"/>
            <family val="2"/>
          </rPr>
          <t>From GEC Rotor Study Report</t>
        </r>
      </text>
    </comment>
    <comment ref="C28" authorId="0">
      <text>
        <r>
          <rPr>
            <b/>
            <sz val="8"/>
            <color indexed="81"/>
            <rFont val="Tahoma"/>
            <family val="2"/>
          </rPr>
          <t>From NPS Drive Train Report</t>
        </r>
      </text>
    </comment>
    <comment ref="C29" authorId="0">
      <text>
        <r>
          <rPr>
            <b/>
            <sz val="8"/>
            <color indexed="81"/>
            <rFont val="Tahoma"/>
            <family val="2"/>
          </rPr>
          <t>From NPS Drive Train Report</t>
        </r>
      </text>
    </comment>
    <comment ref="C30" authorId="0">
      <text>
        <r>
          <rPr>
            <b/>
            <sz val="8"/>
            <color indexed="81"/>
            <rFont val="Tahoma"/>
            <family val="2"/>
          </rPr>
          <t>From NPS Drive Train Report</t>
        </r>
      </text>
    </comment>
    <comment ref="C31" authorId="0">
      <text>
        <r>
          <rPr>
            <b/>
            <sz val="8"/>
            <color indexed="81"/>
            <rFont val="Tahoma"/>
            <family val="2"/>
          </rPr>
          <t>From GEC Drive Train Report</t>
        </r>
      </text>
    </comment>
  </commentList>
</comments>
</file>

<file path=xl/comments21.xml><?xml version="1.0" encoding="utf-8"?>
<comments xmlns="http://schemas.openxmlformats.org/spreadsheetml/2006/main">
  <authors>
    <author>NREL</author>
  </authors>
  <commentList>
    <comment ref="B7" authorId="0">
      <text>
        <r>
          <rPr>
            <b/>
            <sz val="10"/>
            <color indexed="81"/>
            <rFont val="Tahoma"/>
            <family val="2"/>
          </rPr>
          <t xml:space="preserve">Based on LWST Report:  L-B Control System is Flat Amount Regardless of Machine Size or Rating ($35,000 in $2002).  </t>
        </r>
      </text>
    </comment>
  </commentList>
</comments>
</file>

<file path=xl/comments22.xml><?xml version="1.0" encoding="utf-8"?>
<comments xmlns="http://schemas.openxmlformats.org/spreadsheetml/2006/main">
  <authors>
    <author>mhand</author>
  </authors>
  <commentList>
    <comment ref="A6" authorId="0">
      <text>
        <r>
          <rPr>
            <b/>
            <sz val="8"/>
            <color indexed="81"/>
            <rFont val="Tahoma"/>
            <family val="2"/>
          </rPr>
          <t>mhand:</t>
        </r>
        <r>
          <rPr>
            <sz val="8"/>
            <color indexed="81"/>
            <rFont val="Tahoma"/>
            <family val="2"/>
          </rPr>
          <t xml:space="preserve">
Given any turbine diameter, hub height, and tower mass, a comparison can be made between steel tubular towers.  The initial WindPACT scaling studies provide the most crude estimate of tower mass based on the most extreme base moment.  Other turbines are designed for trade-offs between buckling and overturning moment for a more precise set of load conditions.  Fatigue loads are also estimated.  The WindPACT baseline design uses conventional technology circa 2002 and scales it up.  The WindPACT final design uses advanced technologies including tower feedback in the control system, flap-twist coupling in the blade, and reduced blade solidity in conjunction with higher tip speeds.  These final designs show the trends for future design.
For comparison, commerical turbines are placed on the chart.  These assume that that the different rotors have similar thrust coefficients.  The tower mass, provided by the manufacturers, is based on a design for the variety of design conditions and tradeoffs for turbines with different rotors and hub heights.  Note that this commercial data should not be disclosed outside NREL.  
For initial SeaCon studies, the WindPACT baseline trend line seems most conservative for a baseline.
No consideration has been made for base diameters exceeding transportation system restrictions.  Perhaps this contributes to the Vestas designs' high slope compared to the WindPACT studies which were not restricted for transportation.
WindPACT cost of steel was $1.50/kg in 2002 dollars; escalation factor of 1.38 from 2002 to 2005 dollars yield price of steel in 2005 to be $2.07/kg.</t>
        </r>
      </text>
    </comment>
  </commentList>
</comments>
</file>

<file path=xl/comments23.xml><?xml version="1.0" encoding="utf-8"?>
<comments xmlns="http://schemas.openxmlformats.org/spreadsheetml/2006/main">
  <authors>
    <author>NREL</author>
  </authors>
  <commentList>
    <comment ref="B13" authorId="0">
      <text>
        <r>
          <rPr>
            <b/>
            <sz val="10"/>
            <color indexed="81"/>
            <rFont val="Tahoma"/>
            <family val="2"/>
          </rPr>
          <t>Based on WindPACT Rotor Study:  Cost of Foundation vs Hub Height * Swept Area (Proportional to Overturning Moment).  From Equation/Curve Below</t>
        </r>
      </text>
    </comment>
    <comment ref="F22" authorId="0">
      <text>
        <r>
          <rPr>
            <b/>
            <sz val="10"/>
            <color indexed="81"/>
            <rFont val="Tahoma"/>
            <family val="2"/>
          </rPr>
          <t>All Data from WindPACT Rotor Study</t>
        </r>
      </text>
    </comment>
  </commentList>
</comments>
</file>

<file path=xl/comments24.xml><?xml version="1.0" encoding="utf-8"?>
<comments xmlns="http://schemas.openxmlformats.org/spreadsheetml/2006/main">
  <authors>
    <author>mhand</author>
    <author>NREL</author>
  </authors>
  <commentList>
    <comment ref="A19" authorId="0">
      <text>
        <r>
          <rPr>
            <b/>
            <sz val="8"/>
            <color indexed="81"/>
            <rFont val="Tahoma"/>
            <family val="2"/>
          </rPr>
          <t>WindPACT Rotor Study (Malcolm &amp; Hanson 2002) p. 14.  Used for both Land Based and Offshore Transportation.</t>
        </r>
      </text>
    </comment>
    <comment ref="B24" authorId="1">
      <text>
        <r>
          <rPr>
            <b/>
            <sz val="10"/>
            <color indexed="81"/>
            <rFont val="Tahoma"/>
            <family val="2"/>
          </rPr>
          <t>From Table 4-4 WindPACT Rotor Study</t>
        </r>
      </text>
    </comment>
    <comment ref="C24" authorId="1">
      <text>
        <r>
          <rPr>
            <b/>
            <sz val="10"/>
            <color indexed="81"/>
            <rFont val="Tahoma"/>
            <family val="2"/>
          </rPr>
          <t>Calculation Based on Scaling Formula in Table 3-1 of WindPACT Rotor Study</t>
        </r>
      </text>
    </comment>
  </commentList>
</comments>
</file>

<file path=xl/comments25.xml><?xml version="1.0" encoding="utf-8"?>
<comments xmlns="http://schemas.openxmlformats.org/spreadsheetml/2006/main">
  <authors>
    <author>mhand</author>
    <author>NREL</author>
  </authors>
  <commentList>
    <comment ref="A17" authorId="0">
      <text>
        <r>
          <rPr>
            <b/>
            <sz val="8"/>
            <color indexed="81"/>
            <rFont val="Tahoma"/>
            <family val="2"/>
          </rPr>
          <t>WindPACT Rotor Study (Malcolm &amp; Hanson 2002) p. 14.</t>
        </r>
      </text>
    </comment>
    <comment ref="B21" authorId="1">
      <text>
        <r>
          <rPr>
            <b/>
            <sz val="10"/>
            <color indexed="81"/>
            <rFont val="Tahoma"/>
            <family val="2"/>
          </rPr>
          <t>From WindPACT Rotor Study Table 4-4.</t>
        </r>
      </text>
    </comment>
    <comment ref="C21" authorId="1">
      <text>
        <r>
          <rPr>
            <b/>
            <sz val="10"/>
            <color indexed="81"/>
            <rFont val="Tahoma"/>
            <family val="2"/>
          </rPr>
          <t>From WindPACT Rotor Study Table 3-1 Scaling Formulas</t>
        </r>
      </text>
    </comment>
  </commentList>
</comments>
</file>

<file path=xl/comments26.xml><?xml version="1.0" encoding="utf-8"?>
<comments xmlns="http://schemas.openxmlformats.org/spreadsheetml/2006/main">
  <authors>
    <author>NREL</author>
  </authors>
  <commentList>
    <comment ref="B12" authorId="0">
      <text>
        <r>
          <rPr>
            <b/>
            <sz val="10"/>
            <color indexed="81"/>
            <rFont val="Tahoma"/>
            <family val="2"/>
          </rPr>
          <t xml:space="preserve">Based on WindPACT Rotor Study Tables 4-3 and 4-4 Cost as a Function of Hub Height * Rotor Diameter
</t>
        </r>
      </text>
    </comment>
    <comment ref="A21" authorId="0">
      <text>
        <r>
          <rPr>
            <b/>
            <sz val="10"/>
            <color indexed="81"/>
            <rFont val="Tahoma"/>
            <family val="2"/>
          </rPr>
          <t>All Data from WindPACT Rotor Study Table 4-3 and 4-4</t>
        </r>
      </text>
    </comment>
  </commentList>
</comments>
</file>

<file path=xl/comments27.xml><?xml version="1.0" encoding="utf-8"?>
<comments xmlns="http://schemas.openxmlformats.org/spreadsheetml/2006/main">
  <authors>
    <author>mhand</author>
    <author>NREL</author>
  </authors>
  <commentList>
    <comment ref="A17" authorId="0">
      <text>
        <r>
          <rPr>
            <b/>
            <sz val="8"/>
            <color indexed="81"/>
            <rFont val="Tahoma"/>
            <family val="2"/>
          </rPr>
          <t>WindPACT Rotor Study (Malcolm &amp; Hanson 2002) p. 14.</t>
        </r>
      </text>
    </comment>
    <comment ref="B22" authorId="1">
      <text>
        <r>
          <rPr>
            <b/>
            <sz val="10"/>
            <color indexed="81"/>
            <rFont val="Tahoma"/>
            <family val="2"/>
          </rPr>
          <t>From WindPACT Rotor Study Table 4-4</t>
        </r>
      </text>
    </comment>
    <comment ref="C22" authorId="1">
      <text>
        <r>
          <rPr>
            <b/>
            <sz val="10"/>
            <color indexed="81"/>
            <rFont val="Tahoma"/>
            <family val="2"/>
          </rPr>
          <t>From WindPACT Rotor Study Table 3-1</t>
        </r>
      </text>
    </comment>
  </commentList>
</comments>
</file>

<file path=xl/comments28.xml><?xml version="1.0" encoding="utf-8"?>
<comments xmlns="http://schemas.openxmlformats.org/spreadsheetml/2006/main">
  <authors>
    <author>mhand</author>
    <author>NREL</author>
  </authors>
  <commentList>
    <comment ref="A16" authorId="0">
      <text>
        <r>
          <rPr>
            <b/>
            <sz val="8"/>
            <color indexed="81"/>
            <rFont val="Tahoma"/>
            <family val="2"/>
          </rPr>
          <t>WindPACT Rotor Study (Malcolm &amp; Hanson 2002) p. 14.</t>
        </r>
      </text>
    </comment>
    <comment ref="B18" authorId="1">
      <text>
        <r>
          <rPr>
            <b/>
            <sz val="10"/>
            <color indexed="81"/>
            <rFont val="Tahoma"/>
            <family val="2"/>
          </rPr>
          <t>From WindPACT Rotor Study Table 4-4</t>
        </r>
      </text>
    </comment>
    <comment ref="C18" authorId="1">
      <text>
        <r>
          <rPr>
            <b/>
            <sz val="10"/>
            <color indexed="81"/>
            <rFont val="Tahoma"/>
            <family val="2"/>
          </rPr>
          <t>From WindPACT Rotor Study Table 3-1</t>
        </r>
      </text>
    </comment>
  </commentList>
</comments>
</file>

<file path=xl/comments29.xml><?xml version="1.0" encoding="utf-8"?>
<comments xmlns="http://schemas.openxmlformats.org/spreadsheetml/2006/main">
  <authors>
    <author>NREL</author>
  </authors>
  <commentList>
    <comment ref="B14" authorId="0">
      <text>
        <r>
          <rPr>
            <b/>
            <sz val="10"/>
            <color indexed="81"/>
            <rFont val="Tahoma"/>
            <family val="2"/>
          </rPr>
          <t>Fixed for LWST Baseline Turbine in $ 2002</t>
        </r>
      </text>
    </comment>
  </commentList>
</comments>
</file>

<file path=xl/comments3.xml><?xml version="1.0" encoding="utf-8"?>
<comments xmlns="http://schemas.openxmlformats.org/spreadsheetml/2006/main">
  <authors>
    <author>mhand</author>
    <author>NREL</author>
    <author>Ben Maples</author>
    <author>BMaples</author>
  </authors>
  <commentList>
    <comment ref="D28" authorId="0">
      <text>
        <r>
          <rPr>
            <b/>
            <sz val="8"/>
            <color indexed="81"/>
            <rFont val="Tahoma"/>
            <family val="2"/>
          </rPr>
          <t>Baseline = WindPACT, Advanced = LM</t>
        </r>
      </text>
    </comment>
    <comment ref="D130" authorId="1">
      <text>
        <r>
          <rPr>
            <b/>
            <sz val="8"/>
            <color indexed="81"/>
            <rFont val="Tahoma"/>
            <family val="2"/>
          </rPr>
          <t>Assumes Rear Bearing is located in gear box, for Planetary design (Design Type 1).  Housing mass is equal to bearing mass.  All other design types assume all bearings are part of gearbox or generator structure.</t>
        </r>
      </text>
    </comment>
    <comment ref="D131" authorId="1">
      <text>
        <r>
          <rPr>
            <b/>
            <sz val="8"/>
            <color indexed="81"/>
            <rFont val="Tahoma"/>
            <family val="2"/>
          </rPr>
          <t>Assumes Rear Bearing is located in gear box, for Planetary design (Design Type 1).  Housing mass is equal to bearing mass.  All other design types assume all bearings are part of gearbox or generator structure.</t>
        </r>
      </text>
    </comment>
    <comment ref="L141" authorId="2">
      <text>
        <r>
          <rPr>
            <b/>
            <sz val="8"/>
            <color indexed="81"/>
            <rFont val="Tahoma"/>
            <family val="2"/>
          </rPr>
          <t>Ben Maples:</t>
        </r>
        <r>
          <rPr>
            <sz val="8"/>
            <color indexed="81"/>
            <rFont val="Tahoma"/>
            <family val="2"/>
          </rPr>
          <t xml:space="preserve">
These values used for the Idealized Turbine in the AEP Input Output sheet.</t>
        </r>
      </text>
    </comment>
    <comment ref="O141" authorId="2">
      <text>
        <r>
          <rPr>
            <b/>
            <sz val="8"/>
            <color indexed="81"/>
            <rFont val="Tahoma"/>
            <family val="2"/>
          </rPr>
          <t>Ben Maples:</t>
        </r>
        <r>
          <rPr>
            <sz val="8"/>
            <color indexed="81"/>
            <rFont val="Tahoma"/>
            <family val="2"/>
          </rPr>
          <t xml:space="preserve">
Based on a 6 generator drive train</t>
        </r>
      </text>
    </comment>
    <comment ref="D142" authorId="1">
      <text>
        <r>
          <rPr>
            <sz val="10"/>
            <color indexed="81"/>
            <rFont val="Tahoma"/>
            <family val="2"/>
          </rPr>
          <t>Gearbox mass calculations for 3 stage planetary designs (Design Option 1) were developed by calculating torque for each of 4 different size designs from the WindPACT rotor study and plotting the torques against gearbox mass.  This provided a power law curve based on torque.</t>
        </r>
      </text>
    </comment>
    <comment ref="E142" authorId="1">
      <text>
        <r>
          <rPr>
            <sz val="8"/>
            <color indexed="81"/>
            <rFont val="Tahoma"/>
            <family val="2"/>
          </rPr>
          <t>Gearbox mass calculations for single stage designs with a medium speed generator (Design Option 2) were developed assuming the gearbox would also scale by torque with the same shape as the 3 stage planetary (thus using the same power).  The multiplier was developed by ratioing the GEC single stage gearbox mass to the 3 stage planetary of the same rating.  The Mainshaft and Main Bearings are incorporated into this design, where in option 1, they are separate.</t>
        </r>
      </text>
    </comment>
    <comment ref="F142" authorId="1">
      <text>
        <r>
          <rPr>
            <sz val="8"/>
            <color indexed="81"/>
            <rFont val="Tahoma"/>
            <family val="2"/>
          </rPr>
          <t>Gearbox mass calculations for multi stage designs with multiple generators (Design Option 3) were developed assuming the gearbox would also scale by torque with the same shape as the 3 stage planetary (thus using the same power).  The multiplier was developed by ratioing the Multi stage gearbox mass to the 3 stage planetary of the same rating.  The Mainshaft and Main Bearings are incorporated into this design, where in option 1, they are separate.</t>
        </r>
      </text>
    </comment>
    <comment ref="G142" authorId="1">
      <text>
        <r>
          <rPr>
            <sz val="8"/>
            <color indexed="81"/>
            <rFont val="Tahoma"/>
            <family val="2"/>
          </rPr>
          <t>No Gear box is used for the direct drive generator, so multipliers and power have been set to zero.</t>
        </r>
        <r>
          <rPr>
            <sz val="10"/>
            <color indexed="81"/>
            <rFont val="Tahoma"/>
            <family val="2"/>
          </rPr>
          <t xml:space="preserve">
</t>
        </r>
      </text>
    </comment>
    <comment ref="D147" authorId="1">
      <text>
        <r>
          <rPr>
            <sz val="8"/>
            <color indexed="81"/>
            <rFont val="Tahoma"/>
            <family val="2"/>
          </rPr>
          <t>The Cost Factor for 3 stage planetary gearboxes (Design Option 1) was developed by plotting cost versus machine rating from the WindPACT Rotor Design Study.  This provided a power law equation based on rating.</t>
        </r>
      </text>
    </comment>
    <comment ref="E147" authorId="1">
      <text>
        <r>
          <rPr>
            <sz val="8"/>
            <color indexed="81"/>
            <rFont val="Tahoma"/>
            <family val="2"/>
          </rPr>
          <t xml:space="preserve">The Cost Factor for single stage gearboxes with medium speed generators (Design Option 2) was developed by plotting cost versus machine rating from the WindPACT GEC Drive Train Design Report, which provided cost estimates for three designs at different ratings.  This provided a power law equation based on rating.  From Curve Plotted Below  
</t>
        </r>
      </text>
    </comment>
    <comment ref="F147" authorId="1">
      <text>
        <r>
          <rPr>
            <sz val="8"/>
            <color indexed="81"/>
            <rFont val="Tahoma"/>
            <family val="2"/>
          </rPr>
          <t xml:space="preserve">The Cost Factor for a multi stage gearboxes with high speed generators (Design Option 3) was developed by assuming the curve had the same shape (power) as the 3 stage planetary but a different multiplier.  A new multiplier was developed by ratioing a multi drive gearbox to a 3 stage planetary of the same size.  This ratio was taken once the two design had been converted to 2002 $.  This provided a power law equation based on rating. </t>
        </r>
      </text>
    </comment>
    <comment ref="G147" authorId="1">
      <text>
        <r>
          <rPr>
            <sz val="8"/>
            <color indexed="81"/>
            <rFont val="Tahoma"/>
            <family val="2"/>
          </rPr>
          <t>No Gear box is used for the direct drive generator, so multipliers and power have been set to zero.</t>
        </r>
        <r>
          <rPr>
            <sz val="10"/>
            <color indexed="81"/>
            <rFont val="Tahoma"/>
            <family val="2"/>
          </rPr>
          <t xml:space="preserve">
</t>
        </r>
      </text>
    </comment>
    <comment ref="D178" authorId="1">
      <text>
        <r>
          <rPr>
            <b/>
            <sz val="8"/>
            <color indexed="81"/>
            <rFont val="Tahoma"/>
            <family val="2"/>
          </rPr>
          <t>Rotor Study:
Generator Mass = 3.3*Rating(kw) + 471</t>
        </r>
      </text>
    </comment>
    <comment ref="E178" authorId="1">
      <text>
        <r>
          <rPr>
            <b/>
            <sz val="8"/>
            <color indexed="81"/>
            <rFont val="Tahoma"/>
            <family val="2"/>
          </rPr>
          <t>Curve multiplier is based on ratio between GEC Mass and WindPACT planetary mass, with same shape exponent</t>
        </r>
      </text>
    </comment>
    <comment ref="F178" authorId="1">
      <text>
        <r>
          <rPr>
            <b/>
            <sz val="8"/>
            <color indexed="81"/>
            <rFont val="Tahoma"/>
            <family val="2"/>
          </rPr>
          <t>Curve multiplier is based on ratio between a multi generator mass and planetary mass, with same shape exponent</t>
        </r>
      </text>
    </comment>
    <comment ref="G178" authorId="1">
      <text>
        <r>
          <rPr>
            <b/>
            <sz val="8"/>
            <color indexed="81"/>
            <rFont val="Tahoma"/>
            <family val="2"/>
          </rPr>
          <t>Curve multiplier and exponent is based on torque vs mass calculated in section below</t>
        </r>
      </text>
    </comment>
    <comment ref="D183" authorId="1">
      <text>
        <r>
          <rPr>
            <sz val="8"/>
            <color indexed="81"/>
            <rFont val="Tahoma"/>
            <family val="2"/>
          </rPr>
          <t>The Cost Factor for generators for 3 stage planetary drives (Design Option 1) was taken from the WindPACT Rotor Design Study.  This multiplier assumes generators scale at at set $ amount per kW of rating.  This formula was adjusted from 2002 $ to 2005$ using the PPI indexes for Generators.</t>
        </r>
        <r>
          <rPr>
            <sz val="10"/>
            <color indexed="81"/>
            <rFont val="Tahoma"/>
            <family val="2"/>
          </rPr>
          <t xml:space="preserve">
</t>
        </r>
      </text>
    </comment>
    <comment ref="E183" authorId="1">
      <text>
        <r>
          <rPr>
            <sz val="8"/>
            <color indexed="81"/>
            <rFont val="Tahoma"/>
            <family val="2"/>
          </rPr>
          <t>The Cost Factor for generators for single stage drives with medium speed generators (Design Option 2) scales much the same as generators for planetary drives, on a $ per kW basis.  This multiplier was developed as a ratio between the WindPACT medium speed generator and the WindPACT baseline planetary generators.  This formula was adjusted from 2002 $ to 2005$ using the PPI indexes for Generators.</t>
        </r>
        <r>
          <rPr>
            <sz val="10"/>
            <color indexed="81"/>
            <rFont val="Tahoma"/>
            <family val="2"/>
          </rPr>
          <t xml:space="preserve">
</t>
        </r>
      </text>
    </comment>
    <comment ref="F183" authorId="1">
      <text>
        <r>
          <rPr>
            <sz val="8"/>
            <color indexed="81"/>
            <rFont val="Tahoma"/>
            <family val="2"/>
          </rPr>
          <t>The Cost Factor for generators for multi generator drives (Design Option 3) scales the same as generators for planetary drives, on a $ per kW basis.  This multiplier was developed as a ratio between the multi generator costs and the baseline planetary generators.  This formula was adjusted from 2002 $ to 2005$ using the PPI indexes for Generators.</t>
        </r>
        <r>
          <rPr>
            <sz val="10"/>
            <color indexed="81"/>
            <rFont val="Tahoma"/>
            <family val="2"/>
          </rPr>
          <t xml:space="preserve">
</t>
        </r>
      </text>
    </comment>
    <comment ref="G183" authorId="1">
      <text>
        <r>
          <rPr>
            <sz val="8"/>
            <color indexed="81"/>
            <rFont val="Tahoma"/>
            <family val="2"/>
          </rPr>
          <t>The Cost Factor for direct drive generators (Design Option 4) scales the same as generators for planetary drives, on a $ per kW basis.  This multiplier was developed as a ratio between the WindPACT direct drive generator and the WindPACT baseline planetary generators.  This formula was adjusted from 2002 $ to 2005$ using the PPI indexes for Generators.</t>
        </r>
      </text>
    </comment>
    <comment ref="D201" authorId="1">
      <text>
        <r>
          <rPr>
            <b/>
            <sz val="8"/>
            <color indexed="81"/>
            <rFont val="Tahoma"/>
            <family val="2"/>
          </rPr>
          <t>Based on Wind Turbine Rating.  From GEC WindPACT Drive Train Study.  Based on Full power conversion, using back to back PWM modulated IGBT systems, as described in Appendix F "1.5 MW IGBT-IGBT Drive Pricing Estimate", page F.4-4.</t>
        </r>
      </text>
    </comment>
    <comment ref="D235" authorId="3">
      <text>
        <r>
          <rPr>
            <b/>
            <sz val="8"/>
            <color indexed="81"/>
            <rFont val="Tahoma"/>
            <family val="2"/>
          </rPr>
          <t>BMaples:</t>
        </r>
        <r>
          <rPr>
            <sz val="8"/>
            <color indexed="81"/>
            <rFont val="Tahoma"/>
            <family val="2"/>
          </rPr>
          <t xml:space="preserve">
Modular= 2.86  Modular-advanced= 2.4  Integral= 0.71</t>
        </r>
      </text>
    </comment>
    <comment ref="D236" authorId="3">
      <text>
        <r>
          <rPr>
            <b/>
            <sz val="8"/>
            <color indexed="81"/>
            <rFont val="Tahoma"/>
            <family val="2"/>
          </rPr>
          <t>BMaples:</t>
        </r>
        <r>
          <rPr>
            <sz val="8"/>
            <color indexed="81"/>
            <rFont val="Tahoma"/>
            <family val="2"/>
          </rPr>
          <t xml:space="preserve">
For Rotor Diameter:     
0m&lt;D&lt;15m=0.3      15m&lt;D&lt;60m=0.07042*D-.715     60m&lt;D=.01229*D+2.648</t>
        </r>
      </text>
    </comment>
    <comment ref="D239" authorId="3">
      <text>
        <r>
          <rPr>
            <b/>
            <sz val="8"/>
            <color indexed="81"/>
            <rFont val="Tahoma"/>
            <family val="2"/>
          </rPr>
          <t>BMaples:</t>
        </r>
        <r>
          <rPr>
            <sz val="8"/>
            <color indexed="81"/>
            <rFont val="Tahoma"/>
            <family val="2"/>
          </rPr>
          <t xml:space="preserve">
Need more info on aerodynamic drag and thrust factors (see pg.35 of Sunderland report)</t>
        </r>
      </text>
    </comment>
    <comment ref="D240" authorId="3">
      <text>
        <r>
          <rPr>
            <b/>
            <sz val="8"/>
            <color indexed="81"/>
            <rFont val="Tahoma"/>
            <family val="2"/>
          </rPr>
          <t>BMaples:</t>
        </r>
        <r>
          <rPr>
            <sz val="8"/>
            <color indexed="81"/>
            <rFont val="Tahoma"/>
            <family val="2"/>
          </rPr>
          <t xml:space="preserve">
Sources found with coefficients ranging from .1 to 1</t>
        </r>
      </text>
    </comment>
    <comment ref="D247" authorId="1">
      <text>
        <r>
          <rPr>
            <b/>
            <sz val="8"/>
            <color indexed="81"/>
            <rFont val="Tahoma"/>
            <family val="2"/>
          </rPr>
          <t>Design Option 1, 3 stage gearbox.  Data from above calculations, derived from the University of Sunderland's "Cost Modelling of Horizontal Axis Wind Turbines" 1994</t>
        </r>
      </text>
    </comment>
    <comment ref="E247" authorId="1">
      <text>
        <r>
          <rPr>
            <b/>
            <sz val="8"/>
            <color indexed="81"/>
            <rFont val="Tahoma"/>
            <family val="2"/>
          </rPr>
          <t>Drive Trian Type 2, (Single Stage Drive Medium Speed Generator), is Generally self supporting and requires no Mainframe.  However additional mass is associated with supports for ancilliary equipment in the Nacelle.  Based on Comparison of Type 2 to Type 1 design in GEC Drive Train Study, Single Stage will be .58 of the Baseline (Page 13 - cost of Single PM Support Structure/Baseline Support Structure).  Using the same factor (since cost and mass are a simple product relationship in WindPACT Rotor Study), then multiplier is therefore .58x.02=.00116.  Will still follow a roughly cubic Power law.</t>
        </r>
      </text>
    </comment>
    <comment ref="F247" authorId="1">
      <text>
        <r>
          <rPr>
            <b/>
            <sz val="8"/>
            <color indexed="81"/>
            <rFont val="Tahoma"/>
            <family val="2"/>
          </rPr>
          <t>Drive Trian Type 3, (Multi Generator), requires a limited mainframe.  It is assumed to be a roughly cubic relationship like the Baseline.  But multipliers are calculated from the ratio of the multiple generator drive to the baseline mass and cost.</t>
        </r>
      </text>
    </comment>
    <comment ref="G247" authorId="1">
      <text>
        <r>
          <rPr>
            <b/>
            <sz val="8"/>
            <color indexed="81"/>
            <rFont val="Tahoma"/>
            <family val="2"/>
          </rPr>
          <t xml:space="preserve">Drive Trian Type 4, (Direct Drive), is Generally self supporting but still requires a limited bedplate.  Based on Comparison of Type 4 to Type 1 design in NPS Drive Train Study, DD bedplate will be .55 of the Baseline (Page 9-1 - cost of DD 4 m/Baseline Bedplate).  This assumes there is a direct linear relationship between cost and masss. </t>
        </r>
      </text>
    </comment>
    <comment ref="D252" authorId="1">
      <text>
        <r>
          <rPr>
            <b/>
            <sz val="8"/>
            <color indexed="81"/>
            <rFont val="Tahoma"/>
            <family val="2"/>
          </rPr>
          <t>Design Option 1, Standard 3 stage Gearbox.  Based on Mainframe vs Diameter Type 1</t>
        </r>
      </text>
    </comment>
    <comment ref="E252" authorId="1">
      <text>
        <r>
          <rPr>
            <b/>
            <sz val="8"/>
            <color indexed="81"/>
            <rFont val="Tahoma"/>
            <family val="2"/>
          </rPr>
          <t>Drive Trian Type 2, (Single Stage Drive Medium Speed Generator), is Generally self supporting and requires no Mainframe.  However additional costs are associated with supports for ancilliary equipment in the Nacelle.  Multiplier and Power law developed from Type 2 Plot.  Based on data from Drive train reports.</t>
        </r>
      </text>
    </comment>
    <comment ref="F252" authorId="1">
      <text>
        <r>
          <rPr>
            <b/>
            <sz val="8"/>
            <color indexed="81"/>
            <rFont val="Tahoma"/>
            <family val="2"/>
          </rPr>
          <t xml:space="preserve">Drive Trian Type 3, (Multi Generator), requires a limited mainframe.  Plot follows Type 3 Plot. </t>
        </r>
      </text>
    </comment>
    <comment ref="G252" authorId="1">
      <text>
        <r>
          <rPr>
            <b/>
            <sz val="8"/>
            <color indexed="81"/>
            <rFont val="Tahoma"/>
            <family val="2"/>
          </rPr>
          <t>Drive Trian Type 4, (Direct Drive), is Generally self supporting but still requires a limited bedplate.  Based on NPS Drive Train Report Data and Curve.</t>
        </r>
      </text>
    </comment>
    <comment ref="B264" authorId="1">
      <text>
        <r>
          <rPr>
            <b/>
            <sz val="10"/>
            <color indexed="81"/>
            <rFont val="Tahoma"/>
            <family val="2"/>
          </rPr>
          <t>(Covers Miscellaneous brackets, bolts, fittings, supports, ladders etc.)</t>
        </r>
        <r>
          <rPr>
            <sz val="10"/>
            <color indexed="81"/>
            <rFont val="Tahoma"/>
            <family val="2"/>
          </rPr>
          <t xml:space="preserve">
</t>
        </r>
      </text>
    </comment>
    <comment ref="D271" authorId="1">
      <text>
        <r>
          <rPr>
            <b/>
            <sz val="8"/>
            <color indexed="81"/>
            <rFont val="Tahoma"/>
            <family val="2"/>
          </rPr>
          <t>Calculated Using Lookup Table below, based on type of design.</t>
        </r>
      </text>
    </comment>
    <comment ref="D273" authorId="1">
      <text>
        <r>
          <rPr>
            <b/>
            <sz val="10"/>
            <color indexed="81"/>
            <rFont val="Tahoma"/>
            <family val="2"/>
          </rPr>
          <t>Based on an LWST Report Service Crane is Roughly 3000 kgs</t>
        </r>
      </text>
    </comment>
    <comment ref="D277" authorId="1">
      <text>
        <r>
          <rPr>
            <b/>
            <sz val="8"/>
            <color indexed="81"/>
            <rFont val="Tahoma"/>
            <family val="2"/>
          </rPr>
          <t>Based on LWST Cost onboard Service Crane is Approximately $12,000.  (Clipper - Wind Technology Protected Data)</t>
        </r>
      </text>
    </comment>
    <comment ref="B384" authorId="0">
      <text>
        <r>
          <rPr>
            <b/>
            <sz val="8"/>
            <color indexed="81"/>
            <rFont val="Tahoma"/>
            <family val="2"/>
          </rPr>
          <t>WindPACT Rotor Study (Malcolm &amp; Hanson 2002) p. 14.  Used for both Land Based and Offshore Transportation.</t>
        </r>
      </text>
    </comment>
    <comment ref="B398" authorId="0">
      <text>
        <r>
          <rPr>
            <b/>
            <sz val="8"/>
            <color indexed="81"/>
            <rFont val="Tahoma"/>
            <family val="2"/>
          </rPr>
          <t>WindPACT Rotor Study (Malcolm &amp; Hanson 2002) p. 14.</t>
        </r>
      </text>
    </comment>
    <comment ref="B423" authorId="0">
      <text>
        <r>
          <rPr>
            <b/>
            <sz val="8"/>
            <color indexed="81"/>
            <rFont val="Tahoma"/>
            <family val="2"/>
          </rPr>
          <t>WindPACT Rotor Study (Malcolm &amp; Hanson 2002) p. 14.</t>
        </r>
      </text>
    </comment>
    <comment ref="B436" authorId="0">
      <text>
        <r>
          <rPr>
            <b/>
            <sz val="8"/>
            <color indexed="81"/>
            <rFont val="Tahoma"/>
            <family val="2"/>
          </rPr>
          <t>WindPACT Rotor Study (Malcolm &amp; Hanson 2002) p. 14.</t>
        </r>
      </text>
    </comment>
    <comment ref="B593" authorId="0">
      <text>
        <r>
          <rPr>
            <b/>
            <sz val="8"/>
            <color indexed="81"/>
            <rFont val="Tahoma"/>
            <family val="2"/>
          </rPr>
          <t>WindPACT Rotor Study (Malcolm &amp; Hanson 2002) p. 14.  Used for both Land Based and Offshore Transportation.</t>
        </r>
      </text>
    </comment>
  </commentList>
</comments>
</file>

<file path=xl/comments30.xml><?xml version="1.0" encoding="utf-8"?>
<comments xmlns="http://schemas.openxmlformats.org/spreadsheetml/2006/main">
  <authors>
    <author>NREL</author>
  </authors>
  <commentList>
    <comment ref="B14" authorId="0">
      <text>
        <r>
          <rPr>
            <b/>
            <sz val="10"/>
            <color indexed="81"/>
            <rFont val="Tahoma"/>
            <family val="2"/>
          </rPr>
          <t>Fixed for LWST Baseline Turbine in $ 2002</t>
        </r>
      </text>
    </comment>
  </commentList>
</comments>
</file>

<file path=xl/comments31.xml><?xml version="1.0" encoding="utf-8"?>
<comments xmlns="http://schemas.openxmlformats.org/spreadsheetml/2006/main">
  <authors>
    <author>NREL</author>
  </authors>
  <commentList>
    <comment ref="B14" authorId="0">
      <text>
        <r>
          <rPr>
            <b/>
            <sz val="10"/>
            <color indexed="81"/>
            <rFont val="Tahoma"/>
            <family val="2"/>
          </rPr>
          <t>Fixed for LWST Baseline Turbine in $ 2002</t>
        </r>
      </text>
    </comment>
  </commentList>
</comments>
</file>

<file path=xl/comments32.xml><?xml version="1.0" encoding="utf-8"?>
<comments xmlns="http://schemas.openxmlformats.org/spreadsheetml/2006/main">
  <authors>
    <author>NREL</author>
  </authors>
  <commentList>
    <comment ref="B7" authorId="0">
      <text>
        <r>
          <rPr>
            <b/>
            <sz val="10"/>
            <color indexed="81"/>
            <rFont val="Tahoma"/>
            <family val="2"/>
          </rPr>
          <t>Based on LWST Report:  Control System is Flat Amount Regardless of Machine Size or Rating ($35,000 in $2002).  Offshore System Includes Considerably More Conditioning Monitoring Equipment, than onshore systems.</t>
        </r>
      </text>
    </comment>
  </commentList>
</comments>
</file>

<file path=xl/comments33.xml><?xml version="1.0" encoding="utf-8"?>
<comments xmlns="http://schemas.openxmlformats.org/spreadsheetml/2006/main">
  <authors>
    <author>NREL</author>
  </authors>
  <commentList>
    <comment ref="B13" authorId="0">
      <text>
        <r>
          <rPr>
            <b/>
            <sz val="10"/>
            <color indexed="81"/>
            <rFont val="Tahoma"/>
            <family val="2"/>
          </rPr>
          <t>Estimate Based on European Experience</t>
        </r>
      </text>
    </comment>
  </commentList>
</comments>
</file>

<file path=xl/comments34.xml><?xml version="1.0" encoding="utf-8"?>
<comments xmlns="http://schemas.openxmlformats.org/spreadsheetml/2006/main">
  <authors>
    <author>NREL</author>
  </authors>
  <commentList>
    <comment ref="B15" authorId="0">
      <text>
        <r>
          <rPr>
            <b/>
            <sz val="8"/>
            <color indexed="81"/>
            <rFont val="Tahoma"/>
            <family val="2"/>
          </rPr>
          <t>Based on December 21, 2005 COE Analysis (Musial) for FY 07 Planning $100,000 per turbine (5MW -100 unit farm) converted to $ kW.  From Private Industry Communications.</t>
        </r>
      </text>
    </comment>
  </commentList>
</comments>
</file>

<file path=xl/comments35.xml><?xml version="1.0" encoding="utf-8"?>
<comments xmlns="http://schemas.openxmlformats.org/spreadsheetml/2006/main">
  <authors>
    <author>NREL</author>
  </authors>
  <commentList>
    <comment ref="B14" authorId="0">
      <text>
        <r>
          <rPr>
            <b/>
            <sz val="8"/>
            <color indexed="81"/>
            <rFont val="Tahoma"/>
            <family val="2"/>
          </rPr>
          <t>Based on December 21, 2005 COE Analysis (Musial) for FY 07 Planning Design &amp; PM + Pre-construction Site Assessment = $185,000 per turbine (5MW -100 unit farm).  Converted to $37.00 kW in 2003.  Based on Private Industry Communications.</t>
        </r>
      </text>
    </comment>
  </commentList>
</comments>
</file>

<file path=xl/comments36.xml><?xml version="1.0" encoding="utf-8"?>
<comments xmlns="http://schemas.openxmlformats.org/spreadsheetml/2006/main">
  <authors>
    <author>NREL</author>
  </authors>
  <commentList>
    <comment ref="B12" authorId="0">
      <text>
        <r>
          <rPr>
            <b/>
            <sz val="8"/>
            <color indexed="81"/>
            <rFont val="Tahoma"/>
            <family val="2"/>
          </rPr>
          <t>Based on December 21, 2005 COE Analysis (Musial) for FY 07 Planning $60,000 per turbine regardless of size, in $2003.  Escalated to 2005 $ Using PPI Calcs (GDP)</t>
        </r>
      </text>
    </comment>
  </commentList>
</comments>
</file>

<file path=xl/comments37.xml><?xml version="1.0" encoding="utf-8"?>
<comments xmlns="http://schemas.openxmlformats.org/spreadsheetml/2006/main">
  <authors>
    <author>NREL</author>
  </authors>
  <commentList>
    <comment ref="B14" authorId="0">
      <text>
        <r>
          <rPr>
            <b/>
            <sz val="8"/>
            <color indexed="81"/>
            <rFont val="Tahoma"/>
            <family val="2"/>
          </rPr>
          <t>Based on December 21, 2005 COE Analysis (Musial) for FY 07 Planning $275,000 per turbine (5MW -100 unit farm), in $2003.  Converted to $ kW = $55.00.</t>
        </r>
      </text>
    </comment>
  </commentList>
</comments>
</file>

<file path=xl/comments38.xml><?xml version="1.0" encoding="utf-8"?>
<comments xmlns="http://schemas.openxmlformats.org/spreadsheetml/2006/main">
  <authors>
    <author>NREL</author>
  </authors>
  <commentList>
    <comment ref="B13" authorId="0">
      <text>
        <r>
          <rPr>
            <b/>
            <sz val="10"/>
            <color indexed="81"/>
            <rFont val="Tahoma"/>
            <family val="2"/>
          </rPr>
          <t>3% of ICC less Warranty Cost</t>
        </r>
      </text>
    </comment>
  </commentList>
</comments>
</file>

<file path=xl/comments39.xml><?xml version="1.0" encoding="utf-8"?>
<comments xmlns="http://schemas.openxmlformats.org/spreadsheetml/2006/main">
  <authors>
    <author>NREL</author>
  </authors>
  <commentList>
    <comment ref="B11" authorId="0">
      <text>
        <r>
          <rPr>
            <b/>
            <sz val="10"/>
            <color indexed="81"/>
            <rFont val="Tahoma"/>
            <family val="2"/>
          </rPr>
          <t>Fixed Percentage of Turbine and Tower Systems</t>
        </r>
      </text>
    </comment>
  </commentList>
</comments>
</file>

<file path=xl/comments4.xml><?xml version="1.0" encoding="utf-8"?>
<comments xmlns="http://schemas.openxmlformats.org/spreadsheetml/2006/main">
  <authors>
    <author>mhand</author>
    <author>jjonkman</author>
  </authors>
  <commentList>
    <comment ref="A5" authorId="0">
      <text>
        <r>
          <rPr>
            <b/>
            <sz val="8"/>
            <color indexed="81"/>
            <rFont val="Tahoma"/>
            <family val="2"/>
          </rPr>
          <t>mhand:
Blade Mass Relationship</t>
        </r>
        <r>
          <rPr>
            <sz val="8"/>
            <color indexed="81"/>
            <rFont val="Tahoma"/>
            <family val="2"/>
          </rPr>
          <t xml:space="preserve">
The blade mass relationships were developed using WindPACT scaling study designs.  The WindPACT static load design was also used by TPI in their blade cost scaling study.  The static load design used IEC Class I wind conditions while the WindPACT baseline designs used IEC Class II wind conditions.  Industry data is shown for comparison.  It appears that typical, 2002 technology blades follow the WindPACT baseline design.  LM Glasfiber has a new line of blades that take advantage of a lower weight root design.  Carbon is included in the 61.5 m blade, but apparently it is not included in the other two, lower-weight blades.  TPI performed an innovative blade design study which used several technology improvement to reduce blade weight.  These designs were based on an IEC Class III wind condition, and the resulting weight is slightly lower than the commercially available LM blade of comparable length.  The TPI study produced two blade designs using flat back airfoils:  one was all fiberglass, the other included a carbon fiber spar.  The study also developed two root designs:  one used 120 studs, the other used 60 T-bolts.  The four permutations of blade shell and root design result in blades of similar mass and cost.  The use of carbon has not been isolated from other blade improvements, such as root design and airfoil selection.  At this time, only one "advanced" blade curve seems appropriate, and this curve represent combinations of technology enhancements that may or may not include carbon.  However, at some blade length, these improvements must include carbon to provide the necessary stiffness to avoid extreme blade deflection.  This length is not yet identified.  Also, the advanced blade technology should probably not be used for rotors less than 100 m.  The baseline blade mass relationship was selected to follow the WindPACT baseline design curve; the advanced blade mass relationship was selected to follow the LM Glasfiber design curve.
</t>
        </r>
        <r>
          <rPr>
            <b/>
            <sz val="8"/>
            <color indexed="81"/>
            <rFont val="Tahoma"/>
            <family val="2"/>
          </rPr>
          <t xml:space="preserve">Blade Cost Relationship
</t>
        </r>
        <r>
          <rPr>
            <sz val="8"/>
            <color indexed="81"/>
            <rFont val="Tahoma"/>
            <family val="2"/>
          </rPr>
          <t xml:space="preserve">The blade costs were developed using the TPI blade cost scaling report (SAND2003-1428).  This study investigated the scaling effects of materials, labor, profit &amp; overhead, other costs such as tooling, and transportation.  Because this cost model does not include transportation of the blades in the turbine capital cost, the transportation portion of blade cost was excluded.  It was assumed that the profit, overhead, and other costs were a percentage of the material and labor costs.  On average this amounted to 28% over all blade lengths studied.  The blade cost was then computed as the sum of the material costs and labor costs divided by (1-0.28) such that the other costs were maintained at 28% of the total blade cost.  It was assumed that the labor costs would scale the same for the baseline blade and for the advanced blade. Two cost curves were created for the blade materials representing the baseline design and the advanced design.  Using a power law relationship introduced significant deviation from a curve fit of the total cost so a linear relationship between cost and R^3 was developed for the baseline blade material cost.  It was assumed that the advanced blade cost would scale with the baseline cost.  Although the mass curves scale differently between the baseline and advanced blades, this simplifying assumption was made because the baseline cost did not scale exactly the same as the mass.  The cost estimate for the advanced blade consists of the average of the four cost estimate for the four different blade designs from the TPI innovative study.  Due the lack of cost data associated with the advanced blade designs, the scaling was assumed to follow the baseline blade material cost.  Note that the advanced blade cost is not in any way related to the advanced blade mass based on LM blades.
</t>
        </r>
        <r>
          <rPr>
            <b/>
            <sz val="8"/>
            <color indexed="81"/>
            <rFont val="Tahoma"/>
            <family val="2"/>
          </rPr>
          <t xml:space="preserve">Cost escalation to 2005 dollars
</t>
        </r>
        <r>
          <rPr>
            <sz val="8"/>
            <color indexed="81"/>
            <rFont val="Tahoma"/>
            <family val="2"/>
          </rPr>
          <t xml:space="preserve">The TPI cost scaling study was done using 2002 dollars.  The blade material components were specifically presented for the three blade lengths studied.  The average composition was determined, and grouped into fiberglass, resin &amp; adhesive, core, and studs.  These four components were related to NAICS data, and the costs were escalated using the methodology developed for LWST.  The TPI innovative blade design study used costs in 2003 dollars.  The blade composition was also presented for the four blade designs, but for the escalation only the two fiberglass blades were examined.  The average of the two blade compositions was determined and grouped into the four categories for the baseline blade design.  The four blade costs were escalated with the same composite escalator and averaged together to provide the single advanced blade cost estimate.  Although the two blade designs that used carbon fiber spars would not escalate similarly to the fiberglass blades, this assumption was made to keep the relative difference between them.  Again, the scarcity of cost data for the advanced blade design introduces significant uncertainty in the cost scaling estimate, but this provides an initial comparision. 
Once better data is available to distinguish between blade technology improvements, the advanced blade model should be expanded into several models representing these different technologies.  </t>
        </r>
      </text>
    </comment>
    <comment ref="B12" authorId="0">
      <text>
        <r>
          <rPr>
            <b/>
            <sz val="8"/>
            <color indexed="81"/>
            <rFont val="Tahoma"/>
            <family val="2"/>
          </rPr>
          <t>Baseline = WindPACT, advanced = LM</t>
        </r>
      </text>
    </comment>
    <comment ref="A55" authorId="0">
      <text>
        <r>
          <rPr>
            <b/>
            <sz val="8"/>
            <color indexed="81"/>
            <rFont val="Tahoma"/>
            <family val="2"/>
          </rPr>
          <t>mhand:</t>
        </r>
        <r>
          <rPr>
            <sz val="8"/>
            <color indexed="81"/>
            <rFont val="Tahoma"/>
            <family val="2"/>
          </rPr>
          <t xml:space="preserve">
This study designed blades for IEC Class I, manufacturing plants using SCRIMP technology, and included transportation, development costs, profit, and overhead.  A primary conclusion was that blade costs could best be reduced by reducing material costs and labor costs.  The total blade cost was determined using the component percentages from Table 5.1 and the blade material cost from Table 2.9.  All baseline technology costs are in 200 dollars</t>
        </r>
      </text>
    </comment>
    <comment ref="A56" authorId="0">
      <text>
        <r>
          <rPr>
            <b/>
            <sz val="8"/>
            <color indexed="81"/>
            <rFont val="Tahoma"/>
            <family val="2"/>
          </rPr>
          <t>mhand:</t>
        </r>
        <r>
          <rPr>
            <sz val="8"/>
            <color indexed="81"/>
            <rFont val="Tahoma"/>
            <family val="2"/>
          </rPr>
          <t xml:space="preserve">
* do we have a relationship for hub diameter as a function of blade length?</t>
        </r>
      </text>
    </comment>
    <comment ref="A62" authorId="0">
      <text>
        <r>
          <rPr>
            <b/>
            <sz val="8"/>
            <color indexed="81"/>
            <rFont val="Tahoma"/>
            <family val="2"/>
          </rPr>
          <t>mhand:</t>
        </r>
        <r>
          <rPr>
            <sz val="8"/>
            <color indexed="81"/>
            <rFont val="Tahoma"/>
            <family val="2"/>
          </rPr>
          <t xml:space="preserve">
The material cost, labor cost, profit, other and transportation costs are computed using the percentages from Table 5.1 and the total blade cost computed above.  Transportation is not included in this blade cost estimate.  The overhead (profit and other, excluding transportation) as a percentage of total blade cost (excluding transportation) is computed.  It is assumed that the overhead proportion is the same for baseline and advanced blade technology.
</t>
        </r>
      </text>
    </comment>
    <comment ref="G70" authorId="0">
      <text>
        <r>
          <rPr>
            <b/>
            <sz val="8"/>
            <color indexed="81"/>
            <rFont val="Tahoma"/>
            <family val="2"/>
          </rPr>
          <t>mhand:</t>
        </r>
        <r>
          <rPr>
            <sz val="8"/>
            <color indexed="81"/>
            <rFont val="Tahoma"/>
            <family val="2"/>
          </rPr>
          <t xml:space="preserve">
This baseline blade cost is escalated directly from the costs in this table.</t>
        </r>
      </text>
    </comment>
    <comment ref="I70" authorId="0">
      <text>
        <r>
          <rPr>
            <b/>
            <sz val="8"/>
            <color indexed="81"/>
            <rFont val="Tahoma"/>
            <family val="2"/>
          </rPr>
          <t>mhand:</t>
        </r>
        <r>
          <rPr>
            <sz val="8"/>
            <color indexed="81"/>
            <rFont val="Tahoma"/>
            <family val="2"/>
          </rPr>
          <t xml:space="preserve">
This cost is determined using the curve fits shown below and in the plots.  The curve fits are developed using escalated costs.  The linear fit to the material cost provides a better duplication of the total blade cost than using power law fits.</t>
        </r>
      </text>
    </comment>
    <comment ref="N70" authorId="0">
      <text>
        <r>
          <rPr>
            <b/>
            <sz val="8"/>
            <color indexed="81"/>
            <rFont val="Tahoma"/>
            <family val="2"/>
          </rPr>
          <t>mhand:</t>
        </r>
        <r>
          <rPr>
            <sz val="8"/>
            <color indexed="81"/>
            <rFont val="Tahoma"/>
            <family val="2"/>
          </rPr>
          <t xml:space="preserve">
The advanced blade material costs are computed using the escalated average of the four TPI innovative blade costs.  It is assumed that the material cost scales similarly to the baseline material cost so the slope is identical.</t>
        </r>
      </text>
    </comment>
    <comment ref="R96" authorId="1">
      <text>
        <r>
          <rPr>
            <b/>
            <sz val="10"/>
            <color indexed="81"/>
            <rFont val="Tahoma"/>
            <family val="2"/>
          </rPr>
          <t>jjonkman:</t>
        </r>
        <r>
          <rPr>
            <sz val="10"/>
            <color indexed="81"/>
            <rFont val="Tahoma"/>
            <family val="2"/>
          </rPr>
          <t xml:space="preserve">
This is the rotor diameter assuming no precone</t>
        </r>
      </text>
    </comment>
    <comment ref="R97" authorId="1">
      <text>
        <r>
          <rPr>
            <b/>
            <sz val="10"/>
            <color indexed="81"/>
            <rFont val="Tahoma"/>
            <family val="2"/>
          </rPr>
          <t>jjonkman:</t>
        </r>
        <r>
          <rPr>
            <sz val="10"/>
            <color indexed="81"/>
            <rFont val="Tahoma"/>
            <family val="2"/>
          </rPr>
          <t xml:space="preserve">
From: http://www.multibrid.com/download/Datenblatt_M5000_eng.pdf</t>
        </r>
      </text>
    </comment>
    <comment ref="T97" authorId="1">
      <text>
        <r>
          <rPr>
            <b/>
            <sz val="10"/>
            <color indexed="81"/>
            <rFont val="Tahoma"/>
            <family val="2"/>
          </rPr>
          <t>jjonkman:</t>
        </r>
        <r>
          <rPr>
            <sz val="10"/>
            <color indexed="81"/>
            <rFont val="Tahoma"/>
            <family val="2"/>
          </rPr>
          <t xml:space="preserve">
From: http://www.multibrid.com/download/Datenblatt_M5000_eng.pdf</t>
        </r>
      </text>
    </comment>
    <comment ref="U97" authorId="1">
      <text>
        <r>
          <rPr>
            <b/>
            <sz val="10"/>
            <color indexed="81"/>
            <rFont val="Tahoma"/>
            <family val="2"/>
          </rPr>
          <t>jjonkman:</t>
        </r>
        <r>
          <rPr>
            <sz val="10"/>
            <color indexed="81"/>
            <rFont val="Tahoma"/>
            <family val="2"/>
          </rPr>
          <t xml:space="preserve">
From: http://www.multibrid.com/download/Datenblatt_M5000_eng.pdf</t>
        </r>
      </text>
    </comment>
    <comment ref="R98" authorId="1">
      <text>
        <r>
          <rPr>
            <b/>
            <sz val="10"/>
            <color indexed="81"/>
            <rFont val="Tahoma"/>
            <family val="2"/>
          </rPr>
          <t>jjonkman:</t>
        </r>
        <r>
          <rPr>
            <sz val="10"/>
            <color indexed="81"/>
            <rFont val="Tahoma"/>
            <family val="2"/>
          </rPr>
          <t xml:space="preserve">
From: http://www.repower.de/typo3/fileadmin/download/produkte/5m_uk.pdf (this is the rotor diameter assuming no precone)</t>
        </r>
      </text>
    </comment>
    <comment ref="T98" authorId="1">
      <text>
        <r>
          <rPr>
            <b/>
            <sz val="10"/>
            <color indexed="81"/>
            <rFont val="Tahoma"/>
            <family val="2"/>
          </rPr>
          <t>jjonkman:</t>
        </r>
        <r>
          <rPr>
            <sz val="10"/>
            <color indexed="81"/>
            <rFont val="Tahoma"/>
            <family val="2"/>
          </rPr>
          <t xml:space="preserve">
From: http://www.repower.de/typo3/fileadmin/download/produkte/5m_uk.pdf</t>
        </r>
      </text>
    </comment>
    <comment ref="U98" authorId="1">
      <text>
        <r>
          <rPr>
            <b/>
            <sz val="10"/>
            <color indexed="81"/>
            <rFont val="Tahoma"/>
            <family val="2"/>
          </rPr>
          <t>jjonkman:</t>
        </r>
        <r>
          <rPr>
            <sz val="10"/>
            <color indexed="81"/>
            <rFont val="Tahoma"/>
            <family val="2"/>
          </rPr>
          <t xml:space="preserve">
From: http://www.lmglasfiber.dk/UK/Products/Wings/ProductOverView/50000kw.htm</t>
        </r>
      </text>
    </comment>
  </commentList>
</comments>
</file>

<file path=xl/comments40.xml><?xml version="1.0" encoding="utf-8"?>
<comments xmlns="http://schemas.openxmlformats.org/spreadsheetml/2006/main">
  <authors>
    <author>NREL</author>
  </authors>
  <commentList>
    <comment ref="B14" authorId="0">
      <text>
        <r>
          <rPr>
            <b/>
            <sz val="10"/>
            <color indexed="81"/>
            <rFont val="Tahoma"/>
            <family val="2"/>
          </rPr>
          <t>Fixed from Musial Cost Estimate of 2005.  $51,000 for 3 MW turbine.  $17.00 per kW.</t>
        </r>
      </text>
    </comment>
  </commentList>
</comments>
</file>

<file path=xl/comments41.xml><?xml version="1.0" encoding="utf-8"?>
<comments xmlns="http://schemas.openxmlformats.org/spreadsheetml/2006/main">
  <authors>
    <author>NREL</author>
  </authors>
  <commentList>
    <comment ref="B14" authorId="0">
      <text>
        <r>
          <rPr>
            <b/>
            <sz val="10"/>
            <color indexed="81"/>
            <rFont val="Tahoma"/>
            <family val="2"/>
          </rPr>
          <t>Based on Preliminary SeaCon Studies $20 MWhr.  In $2003.</t>
        </r>
      </text>
    </comment>
  </commentList>
</comments>
</file>

<file path=xl/comments42.xml><?xml version="1.0" encoding="utf-8"?>
<comments xmlns="http://schemas.openxmlformats.org/spreadsheetml/2006/main">
  <authors>
    <author>NREL</author>
  </authors>
  <commentList>
    <comment ref="B14" authorId="0">
      <text>
        <r>
          <rPr>
            <b/>
            <sz val="10"/>
            <color indexed="81"/>
            <rFont val="Tahoma"/>
            <family val="2"/>
          </rPr>
          <t>Fixed for LWST Baseline Turbine in $ 2002</t>
        </r>
      </text>
    </comment>
  </commentList>
</comments>
</file>

<file path=xl/comments43.xml><?xml version="1.0" encoding="utf-8"?>
<comments xmlns="http://schemas.openxmlformats.org/spreadsheetml/2006/main">
  <authors>
    <author>NREL</author>
  </authors>
  <commentList>
    <comment ref="A14" authorId="0">
      <text>
        <r>
          <rPr>
            <b/>
            <sz val="8"/>
            <color indexed="81"/>
            <rFont val="Tahoma"/>
            <family val="2"/>
          </rPr>
          <t>Based on December 21, 2005 COE Analysis (Musial) for FY 07 Planning $1,500,000 per turbine (5MW -100 unit farm) converted to $ kW based $300.00 Per kW Rating in 2003$.  Based on Private Industry Communications</t>
        </r>
      </text>
    </comment>
  </commentList>
</comments>
</file>

<file path=xl/comments44.xml><?xml version="1.0" encoding="utf-8"?>
<comments xmlns="http://schemas.openxmlformats.org/spreadsheetml/2006/main">
  <authors>
    <author>NREL</author>
  </authors>
  <commentList>
    <comment ref="B14" authorId="0">
      <text>
        <r>
          <rPr>
            <b/>
            <sz val="8"/>
            <color indexed="81"/>
            <rFont val="Tahoma"/>
            <family val="2"/>
          </rPr>
          <t xml:space="preserve">Based on December 21, 2005 COE Analysis (Musial) for FY 07 Planning $500,000 per turbine.  $100.00 kW in $2003.  Based on Private Industry Communications
</t>
        </r>
      </text>
    </comment>
  </commentList>
</comments>
</file>

<file path=xl/comments45.xml><?xml version="1.0" encoding="utf-8"?>
<comments xmlns="http://schemas.openxmlformats.org/spreadsheetml/2006/main">
  <authors>
    <author>mhand</author>
    <author>NREL</author>
  </authors>
  <commentList>
    <comment ref="A19" authorId="0">
      <text>
        <r>
          <rPr>
            <b/>
            <sz val="8"/>
            <color indexed="81"/>
            <rFont val="Tahoma"/>
            <family val="2"/>
          </rPr>
          <t>WindPACT Rotor Study (Malcolm &amp; Hanson 2002) p. 14.  Used for both Land Based and Offshore Transportation.</t>
        </r>
      </text>
    </comment>
    <comment ref="B24" authorId="1">
      <text>
        <r>
          <rPr>
            <b/>
            <sz val="10"/>
            <color indexed="81"/>
            <rFont val="Tahoma"/>
            <family val="2"/>
          </rPr>
          <t>From Table 4-4 WindPACT Rotor Study</t>
        </r>
      </text>
    </comment>
    <comment ref="C24" authorId="1">
      <text>
        <r>
          <rPr>
            <b/>
            <sz val="10"/>
            <color indexed="81"/>
            <rFont val="Tahoma"/>
            <family val="2"/>
          </rPr>
          <t>Calculation Based on Scaling Formula in Table 3-1 of WindPACT Rotor Study</t>
        </r>
      </text>
    </comment>
  </commentList>
</comments>
</file>

<file path=xl/comments46.xml><?xml version="1.0" encoding="utf-8"?>
<comments xmlns="http://schemas.openxmlformats.org/spreadsheetml/2006/main">
  <authors>
    <author>NREL</author>
  </authors>
  <commentList>
    <comment ref="B14" authorId="0">
      <text>
        <r>
          <rPr>
            <b/>
            <sz val="8"/>
            <color indexed="81"/>
            <rFont val="Tahoma"/>
            <family val="2"/>
          </rPr>
          <t xml:space="preserve">Based on NREL Electrical Study from 2002 White Paper.  $260.00 per kW.
</t>
        </r>
      </text>
    </comment>
  </commentList>
</comments>
</file>

<file path=xl/comments47.xml><?xml version="1.0" encoding="utf-8"?>
<comments xmlns="http://schemas.openxmlformats.org/spreadsheetml/2006/main">
  <authors>
    <author>NREL</author>
  </authors>
  <commentList>
    <comment ref="B14" authorId="0">
      <text>
        <r>
          <rPr>
            <b/>
            <sz val="8"/>
            <color indexed="81"/>
            <rFont val="Tahoma"/>
            <family val="2"/>
          </rPr>
          <t xml:space="preserve">Based on September, 2005 Rough Estimate of Support Structure Cost by AMEC Paragon
</t>
        </r>
      </text>
    </comment>
  </commentList>
</comments>
</file>

<file path=xl/comments48.xml><?xml version="1.0" encoding="utf-8"?>
<comments xmlns="http://schemas.openxmlformats.org/spreadsheetml/2006/main">
  <authors>
    <author>NREL</author>
  </authors>
  <commentList>
    <comment ref="B14" authorId="0">
      <text>
        <r>
          <rPr>
            <b/>
            <sz val="8"/>
            <color indexed="81"/>
            <rFont val="Tahoma"/>
            <family val="2"/>
          </rPr>
          <t xml:space="preserve">Based on September, 2005 Rough Estimate of Support Structure Cost by AMEC Paragon
</t>
        </r>
      </text>
    </comment>
  </commentList>
</comments>
</file>

<file path=xl/comments49.xml><?xml version="1.0" encoding="utf-8"?>
<comments xmlns="http://schemas.openxmlformats.org/spreadsheetml/2006/main">
  <authors>
    <author>NREL</author>
  </authors>
  <commentList>
    <comment ref="B14" authorId="0">
      <text>
        <r>
          <rPr>
            <b/>
            <sz val="10"/>
            <color indexed="81"/>
            <rFont val="Tahoma"/>
            <family val="2"/>
          </rPr>
          <t>Based on September, 2005 Rough Estimate of Support Structure Cost by AMEC Paragon</t>
        </r>
        <r>
          <rPr>
            <sz val="10"/>
            <color indexed="81"/>
            <rFont val="Tahoma"/>
            <family val="2"/>
          </rPr>
          <t xml:space="preserve">
</t>
        </r>
      </text>
    </comment>
  </commentList>
</comments>
</file>

<file path=xl/comments5.xml><?xml version="1.0" encoding="utf-8"?>
<comments xmlns="http://schemas.openxmlformats.org/spreadsheetml/2006/main">
  <authors>
    <author>mhand</author>
    <author>NREL</author>
    <author>BMaples</author>
  </authors>
  <commentList>
    <comment ref="A4" authorId="0">
      <text>
        <r>
          <rPr>
            <b/>
            <sz val="8"/>
            <color indexed="81"/>
            <rFont val="Tahoma"/>
            <family val="2"/>
          </rPr>
          <t>The WindPACT rotor study scaled the hub mass according to the membrane stress due to the static analysis peak blade root moment at the opening as a function of sphere diameter, opening diameter, and shell thickness.  A scale factor of 2.5 was used initially but was revised to 1.92 during the study.  All data presented in the Rotor Study report (Malcolm and Hansen 2002) used 1.92.  
In this cost model, the relationship between blade mass and hub mass was determined.  Using the WindPACT study, this relationship produced hub masses that exceed those obtained from industry partners under protected circumstances.  
Most manufacturers offer a range of turbine diameters on presumably the same hub.  The relationship developed here uses the blade mass as calculated using the baseline relationship from the Blade Mass and Cost sheet for those blades for which actual data was not provided.  The manufacturer data show much less sensitivity between hub mass and blade mass compared to the WindPACT study.  Although the fit is poor, it is currently used to compute the hub mass as a function of blade mass.</t>
        </r>
      </text>
    </comment>
    <comment ref="C11" authorId="1">
      <text>
        <r>
          <rPr>
            <b/>
            <sz val="10"/>
            <color indexed="81"/>
            <rFont val="Tahoma"/>
            <family val="2"/>
          </rPr>
          <t>Mass developed using blade mass to hub mass equation below.  Adjusted to Clipper actual data by factoring calculated hub mass for Clipper to actual Clipper Hub Mass.  See Equation on Chart Below.</t>
        </r>
      </text>
    </comment>
    <comment ref="C12" authorId="1">
      <text>
        <r>
          <rPr>
            <b/>
            <sz val="10"/>
            <color indexed="81"/>
            <rFont val="Tahoma"/>
            <family val="2"/>
          </rPr>
          <t>2002 Cost of $4.25 kg, based on WindPACT Rotor Study</t>
        </r>
        <r>
          <rPr>
            <sz val="10"/>
            <color indexed="81"/>
            <rFont val="Tahoma"/>
            <family val="2"/>
          </rPr>
          <t xml:space="preserve">
</t>
        </r>
      </text>
    </comment>
    <comment ref="E17" authorId="0">
      <text>
        <r>
          <rPr>
            <b/>
            <sz val="8"/>
            <color indexed="81"/>
            <rFont val="Tahoma"/>
            <family val="2"/>
          </rPr>
          <t>Mass of CART-3 hub from Z46 turbine.</t>
        </r>
      </text>
    </comment>
    <comment ref="C18" authorId="0">
      <text>
        <r>
          <rPr>
            <b/>
            <sz val="8"/>
            <color indexed="81"/>
            <rFont val="Tahoma"/>
            <family val="2"/>
          </rPr>
          <t>Mass obtained during Lamar Field Test experiment.  It falls on baseline blade mass / blade radius curve.  Protected data.</t>
        </r>
      </text>
    </comment>
    <comment ref="E18" authorId="0">
      <text>
        <r>
          <rPr>
            <b/>
            <sz val="8"/>
            <color indexed="81"/>
            <rFont val="Tahoma"/>
            <family val="2"/>
          </rPr>
          <t>Average of hub mass values obtained during Lamar Field Test Experiment.  Protected data.</t>
        </r>
      </text>
    </comment>
    <comment ref="C19" authorId="0">
      <text>
        <r>
          <rPr>
            <b/>
            <sz val="8"/>
            <color indexed="81"/>
            <rFont val="Tahoma"/>
            <family val="2"/>
          </rPr>
          <t>Mass computed using baseline blade mass / blade radius relationship.</t>
        </r>
      </text>
    </comment>
    <comment ref="E19" authorId="0">
      <text>
        <r>
          <rPr>
            <b/>
            <sz val="8"/>
            <color indexed="81"/>
            <rFont val="Tahoma"/>
            <family val="2"/>
          </rPr>
          <t>Assume same hub for larger diameter turbine.  Protected data.</t>
        </r>
      </text>
    </comment>
    <comment ref="C20" authorId="1">
      <text>
        <r>
          <rPr>
            <b/>
            <sz val="8"/>
            <color indexed="81"/>
            <rFont val="Tahoma"/>
            <family val="2"/>
          </rPr>
          <t>From Protected Clipper Data</t>
        </r>
      </text>
    </comment>
    <comment ref="E20" authorId="1">
      <text>
        <r>
          <rPr>
            <b/>
            <sz val="8"/>
            <color indexed="81"/>
            <rFont val="Tahoma"/>
            <family val="2"/>
          </rPr>
          <t>From protected Clipper data.</t>
        </r>
      </text>
    </comment>
    <comment ref="C21" authorId="0">
      <text>
        <r>
          <rPr>
            <b/>
            <sz val="8"/>
            <color indexed="81"/>
            <rFont val="Tahoma"/>
            <family val="2"/>
          </rPr>
          <t>Mass computed using baseline blade mass/blade radius relationship</t>
        </r>
      </text>
    </comment>
    <comment ref="E21" authorId="0">
      <text>
        <r>
          <rPr>
            <b/>
            <sz val="8"/>
            <color indexed="81"/>
            <rFont val="Tahoma"/>
            <family val="2"/>
          </rPr>
          <t>Assuming same hub for larger diameter turbine.  From Protected Clipper data.</t>
        </r>
      </text>
    </comment>
    <comment ref="A22" authorId="0">
      <text>
        <r>
          <rPr>
            <b/>
            <sz val="8"/>
            <color indexed="81"/>
            <rFont val="Tahoma"/>
            <family val="2"/>
          </rPr>
          <t>WindPACT Task #5 Final design values.</t>
        </r>
      </text>
    </comment>
    <comment ref="A25" authorId="0">
      <text>
        <r>
          <rPr>
            <b/>
            <sz val="8"/>
            <color indexed="81"/>
            <rFont val="Tahoma"/>
            <family val="2"/>
          </rPr>
          <t>WindPACT Baseline design values</t>
        </r>
      </text>
    </comment>
    <comment ref="S40" authorId="0">
      <text>
        <r>
          <rPr>
            <b/>
            <sz val="8"/>
            <color indexed="81"/>
            <rFont val="Tahoma"/>
            <family val="2"/>
          </rPr>
          <t>mhand:</t>
        </r>
        <r>
          <rPr>
            <sz val="8"/>
            <color indexed="81"/>
            <rFont val="Tahoma"/>
            <family val="2"/>
          </rPr>
          <t xml:space="preserve">
Offshore</t>
        </r>
      </text>
    </comment>
    <comment ref="V40" authorId="0">
      <text>
        <r>
          <rPr>
            <b/>
            <sz val="8"/>
            <color indexed="81"/>
            <rFont val="Tahoma"/>
            <family val="2"/>
          </rPr>
          <t>mhand:</t>
        </r>
        <r>
          <rPr>
            <sz val="8"/>
            <color indexed="81"/>
            <rFont val="Tahoma"/>
            <family val="2"/>
          </rPr>
          <t xml:space="preserve">
Offshore</t>
        </r>
      </text>
    </comment>
    <comment ref="AD53" authorId="0">
      <text>
        <r>
          <rPr>
            <b/>
            <sz val="8"/>
            <color indexed="81"/>
            <rFont val="Tahoma"/>
            <family val="2"/>
          </rPr>
          <t>mhand:</t>
        </r>
        <r>
          <rPr>
            <sz val="8"/>
            <color indexed="81"/>
            <rFont val="Tahoma"/>
            <family val="2"/>
          </rPr>
          <t xml:space="preserve">
Site specific design so no IEC class listed.</t>
        </r>
      </text>
    </comment>
    <comment ref="U101" authorId="2">
      <text>
        <r>
          <rPr>
            <b/>
            <sz val="8"/>
            <color indexed="81"/>
            <rFont val="Tahoma"/>
            <family val="2"/>
          </rPr>
          <t>BMaples:</t>
        </r>
        <r>
          <rPr>
            <sz val="8"/>
            <color indexed="81"/>
            <rFont val="Tahoma"/>
            <family val="2"/>
          </rPr>
          <t xml:space="preserve">
Source:
http://www.eow2007proceedings.info/allfiles2/18_Eow2007fullpaper.pdf</t>
        </r>
      </text>
    </comment>
  </commentList>
</comments>
</file>

<file path=xl/comments50.xml><?xml version="1.0" encoding="utf-8"?>
<comments xmlns="http://schemas.openxmlformats.org/spreadsheetml/2006/main">
  <authors>
    <author>NREL</author>
  </authors>
  <commentList>
    <comment ref="B14" authorId="0">
      <text>
        <r>
          <rPr>
            <b/>
            <sz val="8"/>
            <color indexed="81"/>
            <rFont val="Tahoma"/>
            <family val="2"/>
          </rPr>
          <t xml:space="preserve">Based on September, 2005 Rough Estimate of Support Structure Cost by AMEC Paragon
</t>
        </r>
      </text>
    </comment>
  </commentList>
</comments>
</file>

<file path=xl/comments51.xml><?xml version="1.0" encoding="utf-8"?>
<comments xmlns="http://schemas.openxmlformats.org/spreadsheetml/2006/main">
  <authors>
    <author>NREL</author>
  </authors>
  <commentList>
    <comment ref="B14" authorId="0">
      <text>
        <r>
          <rPr>
            <b/>
            <sz val="8"/>
            <color indexed="81"/>
            <rFont val="Tahoma"/>
            <family val="2"/>
          </rPr>
          <t xml:space="preserve">Based on December 21, 2005 COE Analysis (Musial) for FY 07 Planning $500,000 per turbine.  $100.00 kW in $2003.  Based on Private Industry Communications
</t>
        </r>
      </text>
    </comment>
  </commentList>
</comments>
</file>

<file path=xl/comments52.xml><?xml version="1.0" encoding="utf-8"?>
<comments xmlns="http://schemas.openxmlformats.org/spreadsheetml/2006/main">
  <authors>
    <author>NREL</author>
  </authors>
  <commentList>
    <comment ref="B14" authorId="0">
      <text>
        <r>
          <rPr>
            <b/>
            <sz val="8"/>
            <color indexed="81"/>
            <rFont val="Tahoma"/>
            <family val="2"/>
          </rPr>
          <t xml:space="preserve">Based on NREL 2002 Study White Paper Calculations  $290.00 per kW.
</t>
        </r>
      </text>
    </comment>
  </commentList>
</comments>
</file>

<file path=xl/comments53.xml><?xml version="1.0" encoding="utf-8"?>
<comments xmlns="http://schemas.openxmlformats.org/spreadsheetml/2006/main">
  <authors>
    <author>Ben Maples</author>
  </authors>
  <commentList>
    <comment ref="C3" authorId="0">
      <text>
        <r>
          <rPr>
            <b/>
            <sz val="8"/>
            <color indexed="81"/>
            <rFont val="Tahoma"/>
            <family val="2"/>
          </rPr>
          <t>Ben Maples:</t>
        </r>
        <r>
          <rPr>
            <sz val="8"/>
            <color indexed="81"/>
            <rFont val="Tahoma"/>
            <family val="2"/>
          </rPr>
          <t xml:space="preserve">
Calculated using Excel's Solver tool to minimize total variation between the model and WindPACT data.</t>
        </r>
      </text>
    </comment>
    <comment ref="D3" authorId="0">
      <text>
        <r>
          <rPr>
            <b/>
            <sz val="8"/>
            <color indexed="81"/>
            <rFont val="Tahoma"/>
            <family val="2"/>
          </rPr>
          <t>Ben Maples:</t>
        </r>
        <r>
          <rPr>
            <sz val="8"/>
            <color indexed="81"/>
            <rFont val="Tahoma"/>
            <family val="2"/>
          </rPr>
          <t xml:space="preserve">
Calculated using Excel's Solver tool to minimize total variation between the model and WindPACT data.</t>
        </r>
      </text>
    </comment>
    <comment ref="E3" authorId="0">
      <text>
        <r>
          <rPr>
            <b/>
            <sz val="8"/>
            <color indexed="81"/>
            <rFont val="Tahoma"/>
            <family val="2"/>
          </rPr>
          <t>Ben Maples:</t>
        </r>
        <r>
          <rPr>
            <sz val="8"/>
            <color indexed="81"/>
            <rFont val="Tahoma"/>
            <family val="2"/>
          </rPr>
          <t xml:space="preserve">
Calculated using Excel's Solver tool to minimize total variation between the model and WindPACT data.</t>
        </r>
      </text>
    </comment>
    <comment ref="F3" authorId="0">
      <text>
        <r>
          <rPr>
            <b/>
            <sz val="8"/>
            <color indexed="81"/>
            <rFont val="Tahoma"/>
            <family val="2"/>
          </rPr>
          <t>Ben Maples:</t>
        </r>
        <r>
          <rPr>
            <sz val="8"/>
            <color indexed="81"/>
            <rFont val="Tahoma"/>
            <family val="2"/>
          </rPr>
          <t xml:space="preserve">
Calculated using Excel's Solver tool to minimize total variation between the model and WindPACT data.</t>
        </r>
      </text>
    </comment>
    <comment ref="I3" authorId="0">
      <text>
        <r>
          <rPr>
            <b/>
            <sz val="8"/>
            <color indexed="81"/>
            <rFont val="Tahoma"/>
            <family val="2"/>
          </rPr>
          <t>Ben Maples:</t>
        </r>
        <r>
          <rPr>
            <sz val="8"/>
            <color indexed="81"/>
            <rFont val="Tahoma"/>
            <family val="2"/>
          </rPr>
          <t xml:space="preserve">
Values from:
Northern Power Systems
WindPACT Drive Train
Alternative Design Study Report. Figure 8-6
NREL/SR-500-35524</t>
        </r>
      </text>
    </comment>
    <comment ref="L3" authorId="0">
      <text>
        <r>
          <rPr>
            <b/>
            <sz val="8"/>
            <color indexed="81"/>
            <rFont val="Tahoma"/>
            <family val="2"/>
          </rPr>
          <t>Ben Maples:</t>
        </r>
        <r>
          <rPr>
            <sz val="8"/>
            <color indexed="81"/>
            <rFont val="Tahoma"/>
            <family val="2"/>
          </rPr>
          <t xml:space="preserve">
Values from:
Northern Power Systems
WindPACT Drive Train
Alternative Design Study Report. Figure 8-6
NREL/SR-500-35524</t>
        </r>
      </text>
    </comment>
    <comment ref="O3" authorId="0">
      <text>
        <r>
          <rPr>
            <b/>
            <sz val="8"/>
            <color indexed="81"/>
            <rFont val="Tahoma"/>
            <family val="2"/>
          </rPr>
          <t>Ben Maples:</t>
        </r>
        <r>
          <rPr>
            <sz val="8"/>
            <color indexed="81"/>
            <rFont val="Tahoma"/>
            <family val="2"/>
          </rPr>
          <t xml:space="preserve">
Values from:
Northern Power Systems
WindPACT Drive Train
Alternative Design Study Report. Figure 8-6
NREL/SR-500-35524</t>
        </r>
      </text>
    </comment>
    <comment ref="R3" authorId="0">
      <text>
        <r>
          <rPr>
            <b/>
            <sz val="8"/>
            <color indexed="81"/>
            <rFont val="Tahoma"/>
            <family val="2"/>
          </rPr>
          <t>Ben Maples:</t>
        </r>
        <r>
          <rPr>
            <sz val="8"/>
            <color indexed="81"/>
            <rFont val="Tahoma"/>
            <family val="2"/>
          </rPr>
          <t xml:space="preserve">
Values from:
Northern Power Systems
WindPACT Drive Train
Alternative Design Study Report. Figure 8-6
NREL/SR-500-35524</t>
        </r>
      </text>
    </comment>
  </commentList>
</comments>
</file>

<file path=xl/comments54.xml><?xml version="1.0" encoding="utf-8"?>
<comments xmlns="http://schemas.openxmlformats.org/spreadsheetml/2006/main">
  <authors>
    <author>NREL</author>
    <author>ljfinger</author>
    <author>Lee Jay Fingersh</author>
    <author>mhand</author>
    <author>BMaples</author>
  </authors>
  <commentList>
    <comment ref="C14" authorId="0">
      <text>
        <r>
          <rPr>
            <b/>
            <sz val="10"/>
            <color indexed="81"/>
            <rFont val="Tahoma"/>
            <family val="2"/>
          </rPr>
          <t>On Error; Either Rotor Diameter Too Small, Tip Speed Too High, or TSR too Low</t>
        </r>
      </text>
    </comment>
    <comment ref="B18" authorId="1">
      <text>
        <r>
          <rPr>
            <b/>
            <sz val="8"/>
            <color indexed="81"/>
            <rFont val="Tahoma"/>
            <family val="2"/>
          </rPr>
          <t>Lee Jay Fingersh:</t>
        </r>
        <r>
          <rPr>
            <sz val="8"/>
            <color indexed="81"/>
            <rFont val="Tahoma"/>
            <family val="2"/>
          </rPr>
          <t xml:space="preserve">
2/3 of the distance from where the end of region 2 would be at rated power to where a linear extrapolation of the slope at the end of region 2 would be at rated power.
Since we don't have the Cp-TSR curve or any way to derive it, an estimate of the performance in region 2 1/2 is required.  A linear power vs. windspeed characteristic is assumed and this "2/3" approximation of the location of the windspeed at rated power has been derived from BEM models of large machines.
</t>
        </r>
      </text>
    </comment>
    <comment ref="B19" authorId="2">
      <text>
        <r>
          <rPr>
            <b/>
            <sz val="10"/>
            <color indexed="81"/>
            <rFont val="Tahoma"/>
            <family val="2"/>
          </rPr>
          <t>Lee Jay Fingersh:</t>
        </r>
        <r>
          <rPr>
            <sz val="10"/>
            <color indexed="81"/>
            <rFont val="Tahoma"/>
            <family val="2"/>
          </rPr>
          <t xml:space="preserve">
0.02 matches GEC original model</t>
        </r>
      </text>
    </comment>
    <comment ref="C19" authorId="2">
      <text>
        <r>
          <rPr>
            <b/>
            <sz val="10"/>
            <color indexed="81"/>
            <rFont val="Tahoma"/>
            <family val="2"/>
          </rPr>
          <t>Lee Jay Fingersh:</t>
        </r>
        <r>
          <rPr>
            <sz val="10"/>
            <color indexed="81"/>
            <rFont val="Tahoma"/>
            <family val="2"/>
          </rPr>
          <t xml:space="preserve">
Losses that are constant with varying power (hotel loads, for example)
</t>
        </r>
      </text>
    </comment>
    <comment ref="E19" authorId="2">
      <text>
        <r>
          <rPr>
            <b/>
            <sz val="10"/>
            <color indexed="81"/>
            <rFont val="Tahoma"/>
            <family val="2"/>
          </rPr>
          <t>Lee Jay Fingersh:</t>
        </r>
        <r>
          <rPr>
            <sz val="10"/>
            <color indexed="81"/>
            <rFont val="Tahoma"/>
            <family val="2"/>
          </rPr>
          <t xml:space="preserve">
0.02 matches GEC original model</t>
        </r>
      </text>
    </comment>
    <comment ref="B20" authorId="2">
      <text>
        <r>
          <rPr>
            <b/>
            <sz val="10"/>
            <color indexed="81"/>
            <rFont val="Tahoma"/>
            <family val="2"/>
          </rPr>
          <t>Lee Jay Fingersh:</t>
        </r>
        <r>
          <rPr>
            <sz val="10"/>
            <color indexed="81"/>
            <rFont val="Tahoma"/>
            <family val="2"/>
          </rPr>
          <t xml:space="preserve">
0.055 matches GEC original model</t>
        </r>
      </text>
    </comment>
    <comment ref="C20" authorId="2">
      <text>
        <r>
          <rPr>
            <b/>
            <sz val="10"/>
            <color indexed="81"/>
            <rFont val="Tahoma"/>
            <family val="2"/>
          </rPr>
          <t>Lee Jay Fingersh:</t>
        </r>
        <r>
          <rPr>
            <sz val="10"/>
            <color indexed="81"/>
            <rFont val="Tahoma"/>
            <family val="2"/>
          </rPr>
          <t xml:space="preserve">
Losses that are linear with varying power (switching losses, for example)</t>
        </r>
      </text>
    </comment>
    <comment ref="E20" authorId="2">
      <text>
        <r>
          <rPr>
            <b/>
            <sz val="10"/>
            <color indexed="81"/>
            <rFont val="Tahoma"/>
            <family val="2"/>
          </rPr>
          <t>Lee Jay Fingersh:</t>
        </r>
        <r>
          <rPr>
            <sz val="10"/>
            <color indexed="81"/>
            <rFont val="Tahoma"/>
            <family val="2"/>
          </rPr>
          <t xml:space="preserve">
0.055 matches GEC original model</t>
        </r>
      </text>
    </comment>
    <comment ref="B21" authorId="2">
      <text>
        <r>
          <rPr>
            <b/>
            <sz val="10"/>
            <color indexed="81"/>
            <rFont val="Tahoma"/>
            <family val="2"/>
          </rPr>
          <t>Lee Jay Fingersh:</t>
        </r>
        <r>
          <rPr>
            <sz val="10"/>
            <color indexed="81"/>
            <rFont val="Tahoma"/>
            <family val="2"/>
          </rPr>
          <t xml:space="preserve">
0 matches GEC original model</t>
        </r>
      </text>
    </comment>
    <comment ref="C21" authorId="2">
      <text>
        <r>
          <rPr>
            <b/>
            <sz val="10"/>
            <color indexed="81"/>
            <rFont val="Tahoma"/>
            <family val="2"/>
          </rPr>
          <t>Lee Jay Fingersh:</t>
        </r>
        <r>
          <rPr>
            <sz val="10"/>
            <color indexed="81"/>
            <rFont val="Tahoma"/>
            <family val="2"/>
          </rPr>
          <t xml:space="preserve">
Losses that are quadratic with varying power (I^2 * R, for example)
</t>
        </r>
      </text>
    </comment>
    <comment ref="E21" authorId="2">
      <text>
        <r>
          <rPr>
            <b/>
            <sz val="10"/>
            <color indexed="81"/>
            <rFont val="Tahoma"/>
            <family val="2"/>
          </rPr>
          <t>Lee Jay Fingersh:</t>
        </r>
        <r>
          <rPr>
            <sz val="10"/>
            <color indexed="81"/>
            <rFont val="Tahoma"/>
            <family val="2"/>
          </rPr>
          <t xml:space="preserve">
0 matches GEC original model</t>
        </r>
      </text>
    </comment>
    <comment ref="I50" authorId="3">
      <text>
        <r>
          <rPr>
            <b/>
            <sz val="8"/>
            <color indexed="81"/>
            <rFont val="Tahoma"/>
            <family val="2"/>
          </rPr>
          <t>mhand:</t>
        </r>
        <r>
          <rPr>
            <sz val="8"/>
            <color indexed="81"/>
            <rFont val="Tahoma"/>
            <family val="2"/>
          </rPr>
          <t xml:space="preserve">
Data read from power curve in manufacturer brochures. Linear interpolation between points from curve; </t>
        </r>
        <r>
          <rPr>
            <i/>
            <sz val="8"/>
            <color indexed="81"/>
            <rFont val="Tahoma"/>
            <family val="2"/>
          </rPr>
          <t>not always a very good fit</t>
        </r>
        <r>
          <rPr>
            <sz val="8"/>
            <color indexed="81"/>
            <rFont val="Tahoma"/>
            <family val="2"/>
          </rPr>
          <t xml:space="preserve">
</t>
        </r>
      </text>
    </comment>
    <comment ref="AI50" authorId="4">
      <text>
        <r>
          <rPr>
            <b/>
            <sz val="8"/>
            <color indexed="81"/>
            <rFont val="Tahoma"/>
            <family val="2"/>
          </rPr>
          <t>BMaples:</t>
        </r>
        <r>
          <rPr>
            <sz val="8"/>
            <color indexed="81"/>
            <rFont val="Tahoma"/>
            <family val="2"/>
          </rPr>
          <t xml:space="preserve">
Data read from power curve in BARD brochure.
Linear interpolation between points read from brochure.</t>
        </r>
      </text>
    </comment>
    <comment ref="BJ50" authorId="4">
      <text>
        <r>
          <rPr>
            <b/>
            <sz val="8"/>
            <color indexed="81"/>
            <rFont val="Tahoma"/>
            <family val="2"/>
          </rPr>
          <t>BMaples:</t>
        </r>
        <r>
          <rPr>
            <sz val="8"/>
            <color indexed="81"/>
            <rFont val="Tahoma"/>
            <family val="2"/>
          </rPr>
          <t xml:space="preserve">
Data read from power curve in Multibrid brochure.
Linear interpolation between points read from brochure.</t>
        </r>
      </text>
    </comment>
    <comment ref="BZ50" authorId="4">
      <text>
        <r>
          <rPr>
            <b/>
            <sz val="8"/>
            <color indexed="81"/>
            <rFont val="Tahoma"/>
            <family val="2"/>
          </rPr>
          <t>BMaples:</t>
        </r>
        <r>
          <rPr>
            <sz val="8"/>
            <color indexed="81"/>
            <rFont val="Tahoma"/>
            <family val="2"/>
          </rPr>
          <t xml:space="preserve">
Data read from power curve in RePower brochure.
Linear interpolation between points read from brochure.</t>
        </r>
      </text>
    </comment>
  </commentList>
</comments>
</file>

<file path=xl/comments55.xml><?xml version="1.0" encoding="utf-8"?>
<comments xmlns="http://schemas.openxmlformats.org/spreadsheetml/2006/main">
  <authors>
    <author>elantz</author>
    <author>Ben Maples</author>
  </authors>
  <commentList>
    <comment ref="D11" authorId="0">
      <text>
        <r>
          <rPr>
            <b/>
            <sz val="8"/>
            <color indexed="81"/>
            <rFont val="Tahoma"/>
            <family val="2"/>
          </rPr>
          <t>elantz:</t>
        </r>
        <r>
          <rPr>
            <sz val="8"/>
            <color indexed="81"/>
            <rFont val="Tahoma"/>
            <family val="2"/>
          </rPr>
          <t xml:space="preserve">
These values are the base year points</t>
        </r>
      </text>
    </comment>
    <comment ref="T13" authorId="1">
      <text>
        <r>
          <rPr>
            <b/>
            <sz val="9"/>
            <color indexed="81"/>
            <rFont val="Tahoma"/>
            <family val="2"/>
          </rPr>
          <t>Ben Maples:</t>
        </r>
        <r>
          <rPr>
            <sz val="9"/>
            <color indexed="81"/>
            <rFont val="Tahoma"/>
            <family val="2"/>
          </rPr>
          <t xml:space="preserve">
Enter the below codes in this website to retrieve updated PPI's:
http://data.bls.gov/cgi-bin/srgate
</t>
        </r>
      </text>
    </comment>
    <comment ref="C90" authorId="0">
      <text>
        <r>
          <rPr>
            <b/>
            <sz val="8"/>
            <color indexed="81"/>
            <rFont val="Tahoma"/>
            <family val="2"/>
          </rPr>
          <t>elantz:</t>
        </r>
        <r>
          <rPr>
            <sz val="8"/>
            <color indexed="81"/>
            <rFont val="Tahoma"/>
            <family val="2"/>
          </rPr>
          <t xml:space="preserve">
This category is the primary products category for ball and roller bearings manufacturing</t>
        </r>
      </text>
    </comment>
    <comment ref="C142" authorId="0">
      <text>
        <r>
          <rPr>
            <b/>
            <sz val="8"/>
            <color indexed="81"/>
            <rFont val="Tahoma"/>
            <family val="2"/>
          </rPr>
          <t>elantz:</t>
        </r>
        <r>
          <rPr>
            <sz val="8"/>
            <color indexed="81"/>
            <rFont val="Tahoma"/>
            <family val="2"/>
          </rPr>
          <t xml:space="preserve">
Current title is: Speed changers, drive and gear manufacturing</t>
        </r>
      </text>
    </comment>
    <comment ref="C168" authorId="0">
      <text>
        <r>
          <rPr>
            <b/>
            <sz val="8"/>
            <color indexed="81"/>
            <rFont val="Tahoma"/>
            <family val="2"/>
          </rPr>
          <t>elantz:</t>
        </r>
        <r>
          <rPr>
            <sz val="8"/>
            <color indexed="81"/>
            <rFont val="Tahoma"/>
            <family val="2"/>
          </rPr>
          <t xml:space="preserve">
Current Title is: Industrial process variable instruments</t>
        </r>
      </text>
    </comment>
    <comment ref="C194" authorId="0">
      <text>
        <r>
          <rPr>
            <b/>
            <sz val="8"/>
            <color indexed="81"/>
            <rFont val="Tahoma"/>
            <family val="2"/>
          </rPr>
          <t>elantz:</t>
        </r>
        <r>
          <rPr>
            <sz val="8"/>
            <color indexed="81"/>
            <rFont val="Tahoma"/>
            <family val="2"/>
          </rPr>
          <t xml:space="preserve">
Current title reflects minor change: Carbon Steel Castings, except investment</t>
        </r>
      </text>
    </comment>
    <comment ref="C324" authorId="0">
      <text>
        <r>
          <rPr>
            <b/>
            <sz val="8"/>
            <color indexed="81"/>
            <rFont val="Tahoma"/>
            <family val="2"/>
          </rPr>
          <t>elantz:</t>
        </r>
        <r>
          <rPr>
            <sz val="8"/>
            <color indexed="81"/>
            <rFont val="Tahoma"/>
            <family val="2"/>
          </rPr>
          <t xml:space="preserve">
Current title reflects minor change:Power wire and cable, made from nonferrous metals (purchased wire) </t>
        </r>
      </text>
    </comment>
    <comment ref="B349" authorId="0">
      <text>
        <r>
          <rPr>
            <b/>
            <sz val="8"/>
            <color indexed="81"/>
            <rFont val="Tahoma"/>
            <family val="2"/>
          </rPr>
          <t>elantz:</t>
        </r>
        <r>
          <rPr>
            <sz val="8"/>
            <color indexed="81"/>
            <rFont val="Tahoma"/>
            <family val="2"/>
          </rPr>
          <t xml:space="preserve">
It appears this number has changed but historic values match</t>
        </r>
      </text>
    </comment>
    <comment ref="C350" authorId="0">
      <text>
        <r>
          <rPr>
            <b/>
            <sz val="8"/>
            <color indexed="81"/>
            <rFont val="Tahoma"/>
            <family val="2"/>
          </rPr>
          <t>elantz:</t>
        </r>
        <r>
          <rPr>
            <sz val="8"/>
            <color indexed="81"/>
            <rFont val="Tahoma"/>
            <family val="2"/>
          </rPr>
          <t xml:space="preserve">
Current title reflects minor change: Power and distribution transformers, except parts
</t>
        </r>
      </text>
    </comment>
    <comment ref="B375" authorId="0">
      <text>
        <r>
          <rPr>
            <b/>
            <sz val="8"/>
            <color indexed="81"/>
            <rFont val="Tahoma"/>
            <family val="2"/>
          </rPr>
          <t>elantz:</t>
        </r>
        <r>
          <rPr>
            <sz val="8"/>
            <color indexed="81"/>
            <rFont val="Tahoma"/>
            <family val="2"/>
          </rPr>
          <t xml:space="preserve">
This is technically a different BLS code but it appears to match all the inflationary numbers. The name is also similar but not exact (see comment below)</t>
        </r>
      </text>
    </comment>
    <comment ref="C376" authorId="0">
      <text>
        <r>
          <rPr>
            <b/>
            <sz val="8"/>
            <color indexed="81"/>
            <rFont val="Tahoma"/>
            <family val="2"/>
          </rPr>
          <t>elantz:</t>
        </r>
        <r>
          <rPr>
            <sz val="8"/>
            <color indexed="81"/>
            <rFont val="Tahoma"/>
            <family val="2"/>
          </rPr>
          <t xml:space="preserve">
Title that matches values is: Non-aerospace hydraulic &amp; all aerospace type fluid power cylinders &amp; actuators, linear &amp; rotar</t>
        </r>
      </text>
    </comment>
    <comment ref="B507" authorId="0">
      <text>
        <r>
          <rPr>
            <b/>
            <sz val="8"/>
            <color indexed="81"/>
            <rFont val="Tahoma"/>
            <family val="2"/>
          </rPr>
          <t xml:space="preserve">elantz:
</t>
        </r>
        <r>
          <rPr>
            <sz val="8"/>
            <color indexed="81"/>
            <rFont val="Tahoma"/>
            <family val="2"/>
          </rPr>
          <t>Code has changed but values and title are the same</t>
        </r>
      </text>
    </comment>
  </commentList>
</comments>
</file>

<file path=xl/comments6.xml><?xml version="1.0" encoding="utf-8"?>
<comments xmlns="http://schemas.openxmlformats.org/spreadsheetml/2006/main">
  <authors>
    <author>mhand</author>
    <author>NREL</author>
  </authors>
  <commentList>
    <comment ref="A4" authorId="0">
      <text>
        <r>
          <rPr>
            <b/>
            <sz val="8"/>
            <color indexed="81"/>
            <rFont val="Tahoma"/>
            <family val="2"/>
          </rPr>
          <t>The WindPACT rotor study scaled the hub mass according to the membrane stress due to the static analysis peak blade root moment at the opening as a function of sphere diameter, opening diameter, and shell thickness.  A scale factor of 2.5 was used initially but was revised to 1.92 during the study.  All data presented in the Rotor Study report (Malcolm and Hansen 2002) used 1.92.  
In this cost model, the relationship between blade mass and hub mass was determined.  Using the WindPACT study, this relationship produced hub masses that exceed those obtained from industry partners under protected circumstances.  
Most manufacturers offer a range of turbine diameters on presumably the same hub.  The relationship developed here uses the blade mass as calculated using the baseline relationship from the Blade Mass and Cost sheet for those blades for which actual data was not provided.  The manufacturer data show much less sensitivity between hub mass and blade mass compared to the WindPACT study.  Although the fit is poor, it is currently used to compute the hub mass as a function of blade mass.</t>
        </r>
      </text>
    </comment>
    <comment ref="C11" authorId="1">
      <text>
        <r>
          <rPr>
            <b/>
            <sz val="10"/>
            <color indexed="81"/>
            <rFont val="Tahoma"/>
            <family val="2"/>
          </rPr>
          <t>Mass developed using blade mass to hub mass equation below.  Adjusted to Clipper actual data by factoring calculated hub mass for Clipper to actual Clipper Hub Mass.  See Equation on Chart Below.</t>
        </r>
      </text>
    </comment>
    <comment ref="C12" authorId="1">
      <text>
        <r>
          <rPr>
            <b/>
            <sz val="10"/>
            <color indexed="81"/>
            <rFont val="Tahoma"/>
            <family val="2"/>
          </rPr>
          <t>2002 Cost of $4.25 kg, based on WindPACT Rotor Study</t>
        </r>
        <r>
          <rPr>
            <sz val="10"/>
            <color indexed="81"/>
            <rFont val="Tahoma"/>
            <family val="2"/>
          </rPr>
          <t xml:space="preserve">
</t>
        </r>
      </text>
    </comment>
    <comment ref="E17" authorId="0">
      <text>
        <r>
          <rPr>
            <b/>
            <sz val="8"/>
            <color indexed="81"/>
            <rFont val="Tahoma"/>
            <family val="2"/>
          </rPr>
          <t>Mass of CART-3 hub from Z46 turbine.</t>
        </r>
      </text>
    </comment>
    <comment ref="C18" authorId="0">
      <text>
        <r>
          <rPr>
            <b/>
            <sz val="8"/>
            <color indexed="81"/>
            <rFont val="Tahoma"/>
            <family val="2"/>
          </rPr>
          <t>Mass obtained during Lamar Field Test experiment.  It falls on baseline blade mass / blade radius curve.  Protected data.</t>
        </r>
      </text>
    </comment>
    <comment ref="E18" authorId="0">
      <text>
        <r>
          <rPr>
            <b/>
            <sz val="8"/>
            <color indexed="81"/>
            <rFont val="Tahoma"/>
            <family val="2"/>
          </rPr>
          <t>Average of hub mass values obtained during Lamar Field Test Experiment.  Protected data.</t>
        </r>
      </text>
    </comment>
    <comment ref="C19" authorId="0">
      <text>
        <r>
          <rPr>
            <b/>
            <sz val="8"/>
            <color indexed="81"/>
            <rFont val="Tahoma"/>
            <family val="2"/>
          </rPr>
          <t>Mass computed using baseline blade mass / blade radius relationship.</t>
        </r>
      </text>
    </comment>
    <comment ref="E19" authorId="0">
      <text>
        <r>
          <rPr>
            <b/>
            <sz val="8"/>
            <color indexed="81"/>
            <rFont val="Tahoma"/>
            <family val="2"/>
          </rPr>
          <t>Assume same hub for larger diameter turbine.  Protected data.</t>
        </r>
      </text>
    </comment>
    <comment ref="C20" authorId="1">
      <text>
        <r>
          <rPr>
            <b/>
            <sz val="8"/>
            <color indexed="81"/>
            <rFont val="Tahoma"/>
            <family val="2"/>
          </rPr>
          <t>From Protected Clipper Data</t>
        </r>
      </text>
    </comment>
    <comment ref="E20" authorId="1">
      <text>
        <r>
          <rPr>
            <b/>
            <sz val="8"/>
            <color indexed="81"/>
            <rFont val="Tahoma"/>
            <family val="2"/>
          </rPr>
          <t>From protected Clipper data.</t>
        </r>
      </text>
    </comment>
    <comment ref="C21" authorId="0">
      <text>
        <r>
          <rPr>
            <b/>
            <sz val="8"/>
            <color indexed="81"/>
            <rFont val="Tahoma"/>
            <family val="2"/>
          </rPr>
          <t>Mass computed using baseline blade mass/blade radius relationship</t>
        </r>
      </text>
    </comment>
    <comment ref="E21" authorId="0">
      <text>
        <r>
          <rPr>
            <b/>
            <sz val="8"/>
            <color indexed="81"/>
            <rFont val="Tahoma"/>
            <family val="2"/>
          </rPr>
          <t>Assuming same hub for larger diameter turbine.  From Protected Clipper data.</t>
        </r>
      </text>
    </comment>
    <comment ref="A22" authorId="0">
      <text>
        <r>
          <rPr>
            <b/>
            <sz val="8"/>
            <color indexed="81"/>
            <rFont val="Tahoma"/>
            <family val="2"/>
          </rPr>
          <t>WindPACT Task #5 Final design values.</t>
        </r>
      </text>
    </comment>
    <comment ref="A25" authorId="0">
      <text>
        <r>
          <rPr>
            <b/>
            <sz val="8"/>
            <color indexed="81"/>
            <rFont val="Tahoma"/>
            <family val="2"/>
          </rPr>
          <t>WindPACT Baseline design values</t>
        </r>
      </text>
    </comment>
  </commentList>
</comments>
</file>

<file path=xl/comments7.xml><?xml version="1.0" encoding="utf-8"?>
<comments xmlns="http://schemas.openxmlformats.org/spreadsheetml/2006/main">
  <authors>
    <author>mhand</author>
    <author>NREL</author>
  </authors>
  <commentList>
    <comment ref="A4" authorId="0">
      <text>
        <r>
          <rPr>
            <b/>
            <sz val="8"/>
            <color indexed="81"/>
            <rFont val="Tahoma"/>
            <family val="2"/>
          </rPr>
          <t>The WindPACT rotor study scaled the hub mass according to the membrane stress due to the static analysis peak blade root moment at the opening as a function of sphere diameter, opening diameter, and shell thickness.  A scale factor of 2.5 was used initially but was revised to 1.92 during the study.  All data presented in the Rotor Study report (Malcolm and Hansen 2002) used 1.92.  
In this cost model, the relationship between blade mass and hub mass was determined.  Using the WindPACT study, this relationship produced hub masses that exceed those obtained from industry partners under protected circumstances.  
Most manufacturers offer a range of turbine diameters on presumably the same hub.  The relationship developed here uses the blade mass as calculated using the baseline relationship from the Blade Mass and Cost sheet for those blades for which actual data was not provided.  The manufacturer data show much less sensitivity between hub mass and blade mass compared to the WindPACT study.  Although the fit is poor, it is currently used to compute the hub mass as a function of blade mass.</t>
        </r>
      </text>
    </comment>
    <comment ref="C11" authorId="1">
      <text>
        <r>
          <rPr>
            <b/>
            <sz val="10"/>
            <color indexed="81"/>
            <rFont val="Tahoma"/>
            <family val="2"/>
          </rPr>
          <t>Mass developed using blade mass to hub mass equation below.  Adjusted to Clipper actual data by factoring calculated hub mass for Clipper to actual Clipper Hub Mass.  See Equation on Chart Below.</t>
        </r>
      </text>
    </comment>
    <comment ref="C12" authorId="1">
      <text>
        <r>
          <rPr>
            <b/>
            <sz val="10"/>
            <color indexed="81"/>
            <rFont val="Tahoma"/>
            <family val="2"/>
          </rPr>
          <t>2002 Cost of $4.25 kg, based on WindPACT Rotor Study</t>
        </r>
        <r>
          <rPr>
            <sz val="10"/>
            <color indexed="81"/>
            <rFont val="Tahoma"/>
            <family val="2"/>
          </rPr>
          <t xml:space="preserve">
</t>
        </r>
      </text>
    </comment>
    <comment ref="E17" authorId="0">
      <text>
        <r>
          <rPr>
            <b/>
            <sz val="8"/>
            <color indexed="81"/>
            <rFont val="Tahoma"/>
            <family val="2"/>
          </rPr>
          <t>Mass of CART-3 hub from Z46 turbine.</t>
        </r>
      </text>
    </comment>
    <comment ref="C18" authorId="0">
      <text>
        <r>
          <rPr>
            <b/>
            <sz val="8"/>
            <color indexed="81"/>
            <rFont val="Tahoma"/>
            <family val="2"/>
          </rPr>
          <t>Mass obtained during Lamar Field Test experiment.  It falls on baseline blade mass / blade radius curve.  Protected data.</t>
        </r>
      </text>
    </comment>
    <comment ref="E18" authorId="0">
      <text>
        <r>
          <rPr>
            <b/>
            <sz val="8"/>
            <color indexed="81"/>
            <rFont val="Tahoma"/>
            <family val="2"/>
          </rPr>
          <t>Average of hub mass values obtained during Lamar Field Test Experiment.  Protected data.</t>
        </r>
      </text>
    </comment>
    <comment ref="C19" authorId="0">
      <text>
        <r>
          <rPr>
            <b/>
            <sz val="8"/>
            <color indexed="81"/>
            <rFont val="Tahoma"/>
            <family val="2"/>
          </rPr>
          <t>Mass computed using baseline blade mass / blade radius relationship.</t>
        </r>
      </text>
    </comment>
    <comment ref="E19" authorId="0">
      <text>
        <r>
          <rPr>
            <b/>
            <sz val="8"/>
            <color indexed="81"/>
            <rFont val="Tahoma"/>
            <family val="2"/>
          </rPr>
          <t>Assume same hub for larger diameter turbine.  Protected data.</t>
        </r>
      </text>
    </comment>
    <comment ref="C20" authorId="1">
      <text>
        <r>
          <rPr>
            <b/>
            <sz val="8"/>
            <color indexed="81"/>
            <rFont val="Tahoma"/>
            <family val="2"/>
          </rPr>
          <t>From Protected Clipper Data</t>
        </r>
      </text>
    </comment>
    <comment ref="E20" authorId="1">
      <text>
        <r>
          <rPr>
            <b/>
            <sz val="8"/>
            <color indexed="81"/>
            <rFont val="Tahoma"/>
            <family val="2"/>
          </rPr>
          <t>From protected Clipper data.</t>
        </r>
      </text>
    </comment>
    <comment ref="C21" authorId="0">
      <text>
        <r>
          <rPr>
            <b/>
            <sz val="8"/>
            <color indexed="81"/>
            <rFont val="Tahoma"/>
            <family val="2"/>
          </rPr>
          <t>Mass computed using baseline blade mass/blade radius relationship</t>
        </r>
      </text>
    </comment>
    <comment ref="E21" authorId="0">
      <text>
        <r>
          <rPr>
            <b/>
            <sz val="8"/>
            <color indexed="81"/>
            <rFont val="Tahoma"/>
            <family val="2"/>
          </rPr>
          <t>Assuming same hub for larger diameter turbine.  From Protected Clipper data.</t>
        </r>
      </text>
    </comment>
    <comment ref="A22" authorId="0">
      <text>
        <r>
          <rPr>
            <b/>
            <sz val="8"/>
            <color indexed="81"/>
            <rFont val="Tahoma"/>
            <family val="2"/>
          </rPr>
          <t>WindPACT Task #5 Final design values.</t>
        </r>
      </text>
    </comment>
    <comment ref="A25" authorId="0">
      <text>
        <r>
          <rPr>
            <b/>
            <sz val="8"/>
            <color indexed="81"/>
            <rFont val="Tahoma"/>
            <family val="2"/>
          </rPr>
          <t>WindPACT Baseline design values</t>
        </r>
      </text>
    </comment>
  </commentList>
</comments>
</file>

<file path=xl/comments8.xml><?xml version="1.0" encoding="utf-8"?>
<comments xmlns="http://schemas.openxmlformats.org/spreadsheetml/2006/main">
  <authors>
    <author>NREL</author>
  </authors>
  <commentList>
    <comment ref="B12" authorId="0">
      <text>
        <r>
          <rPr>
            <b/>
            <sz val="8"/>
            <color indexed="81"/>
            <rFont val="Tahoma"/>
            <family val="2"/>
          </rPr>
          <t>Total Mass is = Bearings Mass as a Function of Blade Mass from Curve Below, + 32.8% for Actuators, Drives etc.+ 550 kgs for Drive Controller</t>
        </r>
      </text>
    </comment>
    <comment ref="B14" authorId="0">
      <text>
        <r>
          <rPr>
            <b/>
            <sz val="8"/>
            <color indexed="81"/>
            <rFont val="Tahoma"/>
            <family val="2"/>
          </rPr>
          <t>Based on Cost Plot Below.  Total Cost of All Pitch Components is bearing cost + 1.28*bearing cost for PCU, Drive Motors, etc., based on Clipper Actuals</t>
        </r>
      </text>
    </comment>
    <comment ref="B35" authorId="0">
      <text>
        <r>
          <rPr>
            <b/>
            <sz val="8"/>
            <color indexed="81"/>
            <rFont val="Tahoma"/>
            <family val="2"/>
          </rPr>
          <t>Calculated Using Blade Model in Offshore Model</t>
        </r>
      </text>
    </comment>
    <comment ref="C35" authorId="0">
      <text>
        <r>
          <rPr>
            <b/>
            <sz val="8"/>
            <color indexed="81"/>
            <rFont val="Tahoma"/>
            <family val="2"/>
          </rPr>
          <t>From Avon Data in WindPACT Rotor Appendix - C</t>
        </r>
      </text>
    </comment>
    <comment ref="D35" authorId="0">
      <text>
        <r>
          <rPr>
            <b/>
            <sz val="8"/>
            <color indexed="81"/>
            <rFont val="Tahoma"/>
            <family val="2"/>
          </rPr>
          <t>From WindPACT GEC Rotor Study, Avon Data - in Appendix -C.</t>
        </r>
      </text>
    </comment>
    <comment ref="B36" authorId="0">
      <text>
        <r>
          <rPr>
            <b/>
            <sz val="8"/>
            <color indexed="81"/>
            <rFont val="Tahoma"/>
            <family val="2"/>
          </rPr>
          <t>From WindPACT Rotor Study.</t>
        </r>
      </text>
    </comment>
    <comment ref="C36" authorId="0">
      <text>
        <r>
          <rPr>
            <b/>
            <sz val="8"/>
            <color indexed="81"/>
            <rFont val="Tahoma"/>
            <family val="2"/>
          </rPr>
          <t>From WindPACT Rotor Study.   Mass was determined by back calculated from Baseline Cost in Table B-2 Using formula for Task 3, shown in Section 3.2.2.1</t>
        </r>
      </text>
    </comment>
    <comment ref="D36" authorId="0">
      <text>
        <r>
          <rPr>
            <b/>
            <sz val="8"/>
            <color indexed="81"/>
            <rFont val="Tahoma"/>
            <family val="2"/>
          </rPr>
          <t>From WindPACT Rotor Study (Bearing Cost is 1/2 of Cost in Charts - See section 3.2.2.1 of Study)</t>
        </r>
      </text>
    </comment>
    <comment ref="B37" authorId="0">
      <text>
        <r>
          <rPr>
            <b/>
            <sz val="8"/>
            <color indexed="81"/>
            <rFont val="Tahoma"/>
            <family val="2"/>
          </rPr>
          <t>Calculated Using Blade Model in Offshore Model</t>
        </r>
      </text>
    </comment>
    <comment ref="C37" authorId="0">
      <text>
        <r>
          <rPr>
            <b/>
            <sz val="8"/>
            <color indexed="81"/>
            <rFont val="Tahoma"/>
            <family val="2"/>
          </rPr>
          <t>From Avon Data in WindPACT Rotor Appendix - C</t>
        </r>
      </text>
    </comment>
    <comment ref="D37" authorId="0">
      <text>
        <r>
          <rPr>
            <b/>
            <sz val="8"/>
            <color indexed="81"/>
            <rFont val="Tahoma"/>
            <family val="2"/>
          </rPr>
          <t>From WindPACT GEC Rotor Study, Avon Data - in Appendix -C.</t>
        </r>
      </text>
    </comment>
    <comment ref="B38" authorId="0">
      <text>
        <r>
          <rPr>
            <b/>
            <sz val="8"/>
            <color indexed="81"/>
            <rFont val="Tahoma"/>
            <family val="2"/>
          </rPr>
          <t>From WindPACT Rotor Study</t>
        </r>
      </text>
    </comment>
    <comment ref="C38" authorId="0">
      <text>
        <r>
          <rPr>
            <b/>
            <sz val="8"/>
            <color indexed="81"/>
            <rFont val="Tahoma"/>
            <family val="2"/>
          </rPr>
          <t>From WindPACT Rotor Study.   Mass was determined by back calculated from Baseline Cost in Table B-2 Using formula for Task 3, shown in Section 3.2.2.1</t>
        </r>
      </text>
    </comment>
    <comment ref="D38" authorId="0">
      <text>
        <r>
          <rPr>
            <b/>
            <sz val="8"/>
            <color indexed="81"/>
            <rFont val="Tahoma"/>
            <family val="2"/>
          </rPr>
          <t>From WindPACT Rotor Study (Bearing Cost is 1/2 of Cost in Charts - See section 3.2.2.1 of Study)</t>
        </r>
      </text>
    </comment>
    <comment ref="B39" authorId="0">
      <text>
        <r>
          <rPr>
            <b/>
            <sz val="8"/>
            <color indexed="81"/>
            <rFont val="Tahoma"/>
            <family val="2"/>
          </rPr>
          <t>Calculated Using Blade Model in Offshore Model</t>
        </r>
      </text>
    </comment>
    <comment ref="C39" authorId="0">
      <text>
        <r>
          <rPr>
            <b/>
            <sz val="8"/>
            <color indexed="81"/>
            <rFont val="Tahoma"/>
            <family val="2"/>
          </rPr>
          <t>From Avon Data in WindPACT Rotor Appendix - C</t>
        </r>
      </text>
    </comment>
    <comment ref="D39" authorId="0">
      <text>
        <r>
          <rPr>
            <b/>
            <sz val="8"/>
            <color indexed="81"/>
            <rFont val="Tahoma"/>
            <family val="2"/>
          </rPr>
          <t>From WindPACT GEC Rotor Study, Avon Data - in Appendix -C.</t>
        </r>
      </text>
    </comment>
    <comment ref="B40" authorId="0">
      <text>
        <r>
          <rPr>
            <b/>
            <sz val="8"/>
            <color indexed="81"/>
            <rFont val="Tahoma"/>
            <family val="2"/>
          </rPr>
          <t>Clipper Actual Cost</t>
        </r>
      </text>
    </comment>
    <comment ref="C40" authorId="0">
      <text>
        <r>
          <rPr>
            <b/>
            <sz val="8"/>
            <color indexed="81"/>
            <rFont val="Tahoma"/>
            <family val="2"/>
          </rPr>
          <t>Clipper Actual Data</t>
        </r>
      </text>
    </comment>
    <comment ref="D40" authorId="0">
      <text>
        <r>
          <rPr>
            <b/>
            <sz val="8"/>
            <color indexed="81"/>
            <rFont val="Tahoma"/>
            <family val="2"/>
          </rPr>
          <t>Clipper Actual Cost, Converted to $2002</t>
        </r>
      </text>
    </comment>
    <comment ref="B41" authorId="0">
      <text>
        <r>
          <rPr>
            <b/>
            <sz val="8"/>
            <color indexed="81"/>
            <rFont val="Tahoma"/>
            <family val="2"/>
          </rPr>
          <t>From WindPACT Rotor Study</t>
        </r>
      </text>
    </comment>
    <comment ref="C41" authorId="0">
      <text>
        <r>
          <rPr>
            <b/>
            <sz val="8"/>
            <color indexed="81"/>
            <rFont val="Tahoma"/>
            <family val="2"/>
          </rPr>
          <t>From WindPACT Rotor Study.   Mass was determined by back calculated from Baseline Cost in Table B-2 Using formula for Task 3, shown in Section 3.2.2.1</t>
        </r>
      </text>
    </comment>
    <comment ref="D41" authorId="0">
      <text>
        <r>
          <rPr>
            <b/>
            <sz val="8"/>
            <color indexed="81"/>
            <rFont val="Tahoma"/>
            <family val="2"/>
          </rPr>
          <t>From WindPACT Rotor Study (Bearing Cost is 1/2 of Cost in Charts - See section 3.2.2.1 of Study)</t>
        </r>
      </text>
    </comment>
    <comment ref="B42" authorId="0">
      <text>
        <r>
          <rPr>
            <b/>
            <sz val="8"/>
            <color indexed="81"/>
            <rFont val="Tahoma"/>
            <family val="2"/>
          </rPr>
          <t>Calculated Using Blade Model in Offshore Model</t>
        </r>
      </text>
    </comment>
    <comment ref="C42" authorId="0">
      <text>
        <r>
          <rPr>
            <b/>
            <sz val="8"/>
            <color indexed="81"/>
            <rFont val="Tahoma"/>
            <family val="2"/>
          </rPr>
          <t>From Avon Data in WindPACT Rotor Appendix - C</t>
        </r>
      </text>
    </comment>
    <comment ref="B43" authorId="0">
      <text>
        <r>
          <rPr>
            <b/>
            <sz val="8"/>
            <color indexed="81"/>
            <rFont val="Tahoma"/>
            <family val="2"/>
          </rPr>
          <t>From WindPACT Rotor Study</t>
        </r>
      </text>
    </comment>
    <comment ref="C43" authorId="0">
      <text>
        <r>
          <rPr>
            <b/>
            <sz val="8"/>
            <color indexed="81"/>
            <rFont val="Tahoma"/>
            <family val="2"/>
          </rPr>
          <t>From WindPACT Rotor Study, Table 4-4, Mass calculated using formula for Task 3, shown in section 3.3.3.1.</t>
        </r>
      </text>
    </comment>
    <comment ref="D43" authorId="0">
      <text>
        <r>
          <rPr>
            <b/>
            <sz val="8"/>
            <color indexed="81"/>
            <rFont val="Tahoma"/>
            <family val="2"/>
          </rPr>
          <t>From WindPACT Rotor Study (Bearing Cost is 1/2 of Cost in Charts - See section 3.2.2.1 of Study)</t>
        </r>
      </text>
    </comment>
  </commentList>
</comments>
</file>

<file path=xl/comments9.xml><?xml version="1.0" encoding="utf-8"?>
<comments xmlns="http://schemas.openxmlformats.org/spreadsheetml/2006/main">
  <authors>
    <author>NREL</author>
    <author>mhand</author>
  </authors>
  <commentList>
    <comment ref="B10" authorId="0">
      <text>
        <r>
          <rPr>
            <b/>
            <sz val="10"/>
            <color indexed="81"/>
            <rFont val="Tahoma"/>
            <family val="2"/>
          </rPr>
          <t>Mass developed using Spinner/Nose Cone Equation Below.  Developed from ART and Clipper Mass Data.</t>
        </r>
      </text>
    </comment>
    <comment ref="B11" authorId="0">
      <text>
        <r>
          <rPr>
            <b/>
            <sz val="10"/>
            <color indexed="81"/>
            <rFont val="Tahoma"/>
            <family val="2"/>
          </rPr>
          <t xml:space="preserve">2002 Cost of $5.57 kg, based on Clipper Actual Cost Converted to 2002 $
</t>
        </r>
        <r>
          <rPr>
            <sz val="10"/>
            <color indexed="81"/>
            <rFont val="Tahoma"/>
            <family val="2"/>
          </rPr>
          <t xml:space="preserve">
</t>
        </r>
      </text>
    </comment>
    <comment ref="A16" authorId="1">
      <text>
        <r>
          <rPr>
            <b/>
            <sz val="8"/>
            <color indexed="81"/>
            <rFont val="Tahoma"/>
            <family val="2"/>
          </rPr>
          <t>The ART turbine has a spinner and nose cone that are probably larger than most typical turbines.  The Clipper nose cone/spinner mass and cost were reported in LWST subcontract deliverables.  It is assumed that the nose cone / spinner is essentially all fiberglass with a cost / kg based on the Clipper number (includes material, labor, etc.)</t>
        </r>
      </text>
    </comment>
    <comment ref="A17" authorId="1">
      <text>
        <r>
          <rPr>
            <b/>
            <sz val="8"/>
            <color indexed="81"/>
            <rFont val="Tahoma"/>
            <family val="2"/>
          </rPr>
          <t>Clipper reported mass and cost for the nose cone/spinner assembly as a deliverable for LWST subcontracts.</t>
        </r>
      </text>
    </comment>
  </commentList>
</comments>
</file>

<file path=xl/sharedStrings.xml><?xml version="1.0" encoding="utf-8"?>
<sst xmlns="http://schemas.openxmlformats.org/spreadsheetml/2006/main" count="5765" uniqueCount="1530">
  <si>
    <t>Tower Mass =</t>
  </si>
  <si>
    <t>Tower Cost in $ 2002 =</t>
  </si>
  <si>
    <t>LAND BASED FOUNDATIONS</t>
  </si>
  <si>
    <t>TOWER</t>
  </si>
  <si>
    <t>OFFSHORE BASED CONTROL, SAFETY SYSTEM &amp; CONDITION MONITORING</t>
  </si>
  <si>
    <t>OS Control, Safety System Cost</t>
  </si>
  <si>
    <t>Cost per Turbine</t>
  </si>
  <si>
    <t>Offshore Control, Safety System Cost per turbine</t>
  </si>
  <si>
    <t>Control Sys Cost in $ 2002 =</t>
  </si>
  <si>
    <t>Foundation Cost Coefficient</t>
  </si>
  <si>
    <t>Foundation Cost Exponent</t>
  </si>
  <si>
    <t>Foundation Cost = Cost Coefficient* (Hub Height*Swept Area)^Cost Exponent</t>
  </si>
  <si>
    <t>Diameter</t>
  </si>
  <si>
    <t>Mass</t>
  </si>
  <si>
    <t>MW Rating</t>
  </si>
  <si>
    <t>Rotor Diameter (meters)</t>
  </si>
  <si>
    <t>Hub Height (meters)</t>
  </si>
  <si>
    <t>Component</t>
  </si>
  <si>
    <t>Costs $1000</t>
  </si>
  <si>
    <t>Rotor</t>
  </si>
  <si>
    <t xml:space="preserve">    Blades</t>
  </si>
  <si>
    <t xml:space="preserve">    Hub</t>
  </si>
  <si>
    <t xml:space="preserve">    Pitch mchnsm &amp; bearings</t>
  </si>
  <si>
    <t>Drive train,nacelle</t>
  </si>
  <si>
    <t xml:space="preserve"> Low speed shaft</t>
  </si>
  <si>
    <t xml:space="preserve"> Bearings</t>
  </si>
  <si>
    <t xml:space="preserve"> Gearbox</t>
  </si>
  <si>
    <t xml:space="preserve"> Mech brake, HS cpling etc</t>
  </si>
  <si>
    <t xml:space="preserve"> Generator</t>
  </si>
  <si>
    <t xml:space="preserve"> Variable spd electronics</t>
  </si>
  <si>
    <t xml:space="preserve"> Yaw drive &amp; bearing</t>
  </si>
  <si>
    <t xml:space="preserve"> Main frame</t>
  </si>
  <si>
    <t xml:space="preserve"> Electrical connections</t>
  </si>
  <si>
    <t xml:space="preserve"> Nacelle cover</t>
  </si>
  <si>
    <t>Control, safety system</t>
  </si>
  <si>
    <t>Tower</t>
  </si>
  <si>
    <t>TURBINE CAPITAL COST (TCC)</t>
  </si>
  <si>
    <t>Transportation</t>
  </si>
  <si>
    <t>BALANCE OF STATION COST (BOS)</t>
  </si>
  <si>
    <t>Initial capital cost (ICC)</t>
  </si>
  <si>
    <t xml:space="preserve"> (cost in $)</t>
  </si>
  <si>
    <t>(cost in $)</t>
  </si>
  <si>
    <t>Fixed Charge Rate</t>
  </si>
  <si>
    <t>kgs</t>
  </si>
  <si>
    <t>m/s</t>
  </si>
  <si>
    <t>P/Prated</t>
  </si>
  <si>
    <t>Efficiency</t>
  </si>
  <si>
    <t>Weibull K parameter</t>
  </si>
  <si>
    <t>Rated power</t>
  </si>
  <si>
    <t>kW</t>
  </si>
  <si>
    <t>Rotor Dia.</t>
  </si>
  <si>
    <t>meters</t>
  </si>
  <si>
    <t>Hub height</t>
  </si>
  <si>
    <t>Altitude</t>
  </si>
  <si>
    <t>Air Density</t>
  </si>
  <si>
    <t>kg/m^3</t>
  </si>
  <si>
    <t>Rotor Cp</t>
  </si>
  <si>
    <t>Cut-in windspeed</t>
  </si>
  <si>
    <t>Cut-out windspeed</t>
  </si>
  <si>
    <t>Power law shear exponent</t>
  </si>
  <si>
    <t>Hub height windspeed</t>
  </si>
  <si>
    <t>Rated windspeed</t>
  </si>
  <si>
    <t>Conversion Efficiency</t>
  </si>
  <si>
    <t>Soiling Losses</t>
  </si>
  <si>
    <t>Array Losses</t>
  </si>
  <si>
    <t>Availability</t>
  </si>
  <si>
    <t>Turbine</t>
  </si>
  <si>
    <t>Energy capture (MWh/year)</t>
  </si>
  <si>
    <t>Capacity Factor</t>
  </si>
  <si>
    <t>Energy capture ratio</t>
  </si>
  <si>
    <t>Wind</t>
  </si>
  <si>
    <t>Rayleigh Probability</t>
  </si>
  <si>
    <t>Weibull Probability</t>
  </si>
  <si>
    <t>Weibull Betz</t>
  </si>
  <si>
    <t>Weibull Cp</t>
  </si>
  <si>
    <t>Turbine Energy</t>
  </si>
  <si>
    <t>Hub power</t>
  </si>
  <si>
    <t>Rating</t>
  </si>
  <si>
    <t>GEC Single Stage Drive</t>
  </si>
  <si>
    <t>NPS Direct Drive</t>
  </si>
  <si>
    <t>Clipper Multi Drive</t>
  </si>
  <si>
    <t>Inputs</t>
  </si>
  <si>
    <t>Multiplier</t>
  </si>
  <si>
    <t>Monopole Foundations</t>
  </si>
  <si>
    <t>Machine Rating (kWs)</t>
  </si>
  <si>
    <t>Wind Shear</t>
  </si>
  <si>
    <t>Weibul K Factor</t>
  </si>
  <si>
    <t>50 m windspeed</t>
  </si>
  <si>
    <t>Rotor Diameter</t>
  </si>
  <si>
    <t>Input Rotor Diameter</t>
  </si>
  <si>
    <t>Calculated Mass kgs</t>
  </si>
  <si>
    <t>Net ANNUAL ENERGY PRODUCTION Energy MWh (AEP)</t>
  </si>
  <si>
    <t>CAPACITY FACTOR</t>
  </si>
  <si>
    <t>COE of Turbine</t>
  </si>
  <si>
    <t>COE of Electrical Infrastructure</t>
  </si>
  <si>
    <t>COE Misc BOS</t>
  </si>
  <si>
    <t>LRC &amp; Lease Cost</t>
  </si>
  <si>
    <t>COE of LRC &amp; Lease Cost</t>
  </si>
  <si>
    <t>COE of O&amp;M</t>
  </si>
  <si>
    <t>Total COE</t>
  </si>
  <si>
    <t>Outputs</t>
  </si>
  <si>
    <t>AEP MWhrs/Yr</t>
  </si>
  <si>
    <t>%</t>
  </si>
  <si>
    <t>Misc BOS</t>
  </si>
  <si>
    <t>Electrical Infrastructure</t>
  </si>
  <si>
    <t>O&amp;M (After Tax)</t>
  </si>
  <si>
    <t>Low Speed Shaft</t>
  </si>
  <si>
    <t>Rotor Diam</t>
  </si>
  <si>
    <t>Cost</t>
  </si>
  <si>
    <t>Mass.kg</t>
  </si>
  <si>
    <t>OD meters</t>
  </si>
  <si>
    <t>Length m</t>
  </si>
  <si>
    <t>ID/m</t>
  </si>
  <si>
    <t>Low Speed Shaft Mass kgs</t>
  </si>
  <si>
    <t>Smith, K. (2001). "WindPACT Turbine Design Scaling Studies Technical Area 2:  Turbine, Rotor, and Blade Logistics."  NREL/SR-500-29439</t>
  </si>
  <si>
    <t>From table on p. A-5.</t>
  </si>
  <si>
    <t>WindPACT Static load design.</t>
  </si>
  <si>
    <t>Rotor Diameter (m)</t>
  </si>
  <si>
    <t>Hub Height (m)</t>
  </si>
  <si>
    <t>Swept Area (m^2)</t>
  </si>
  <si>
    <t>Swept Area * Height (m^3)</t>
  </si>
  <si>
    <t>Base Section Diameter (mm)</t>
  </si>
  <si>
    <t>Top Section Diameter (mm)</t>
  </si>
  <si>
    <t>Total Mass (kg)</t>
  </si>
  <si>
    <t>RFP No. RAM-3-33200. (11/17/2003). "The Nacelle Erection System for Tall Towers." Tennessee Valley Infrastructure Group, Inc., LWST Project - Phase II Technical Area:  Component Development</t>
  </si>
  <si>
    <t>From GE info in Attachment G - apparently 3 commercially available towers for these rotors</t>
  </si>
  <si>
    <t>GE 1.5 MW Turbines</t>
  </si>
  <si>
    <t>Base Section Diameter (m)</t>
  </si>
  <si>
    <t>Top Section Diameter (m)</t>
  </si>
  <si>
    <t>Swept area * Height (m^3)</t>
  </si>
  <si>
    <t>Malcolm, D.J., Hansen, A.C. (2002). "WindPACT Turbine Rotor Design Study." NREL/SR-500-32495</t>
  </si>
  <si>
    <t>From Table 6-2, p. 39.</t>
  </si>
  <si>
    <t>WindPACT Baseline and Final designs</t>
  </si>
  <si>
    <t>Tower Height (m)</t>
  </si>
  <si>
    <t>Total Mass Baseline (kg)</t>
  </si>
  <si>
    <t>Total Mass Final (kg)</t>
  </si>
  <si>
    <t>* These columns are computed using relationship between rotor diameter and thrust from WindPACT NREL/SR-500-29439</t>
  </si>
  <si>
    <t>Clipper manufacturer supplied, proprietary information from LWST subcontract submittals (provided by Alan Laxson).</t>
  </si>
  <si>
    <t>Base Diameter (m)</t>
  </si>
  <si>
    <t>Top Diameter (m)</t>
  </si>
  <si>
    <t>From table on p. A-1.</t>
  </si>
  <si>
    <t>Additional turbines from WindPACT scaling studies</t>
  </si>
  <si>
    <t>NREL Offshore Baseline 5 MW turbine from Jason Jonkman (NRELOffshrBsline5MW.xls)</t>
  </si>
  <si>
    <t>TU Delft DOWEC - fictitious turbine</t>
  </si>
  <si>
    <t>Gamesa website (viewed April 2008).</t>
  </si>
  <si>
    <t>Gamesa</t>
  </si>
  <si>
    <t>G52</t>
  </si>
  <si>
    <t>G58</t>
  </si>
  <si>
    <t>G80</t>
  </si>
  <si>
    <t>G83</t>
  </si>
  <si>
    <t>G87</t>
  </si>
  <si>
    <t>G90</t>
  </si>
  <si>
    <t>IEC Class</t>
  </si>
  <si>
    <t>IA</t>
  </si>
  <si>
    <t>IIIB</t>
  </si>
  <si>
    <t>IIA</t>
  </si>
  <si>
    <t>Epoxy reinforced glass fiber</t>
  </si>
  <si>
    <t>Glass fiber reinforced with epoxy resin</t>
  </si>
  <si>
    <t>Preimpregnated epoxy glass fiber</t>
  </si>
  <si>
    <t>Preimpregnated epoxy glass fiber + carbon fiber</t>
  </si>
  <si>
    <t>IIIA</t>
  </si>
  <si>
    <t>Note - Remove Clipper blade info before publishing these graphs.</t>
  </si>
  <si>
    <t>Gamesa - Gamesa sales brochures downloaded from website April 2008</t>
  </si>
  <si>
    <t>Garrad Hassan RECOFF - fictitious turbine - really heavy turbine goes off the chart above.</t>
  </si>
  <si>
    <t>NREL OffshrBsline 5MW - ficticious turbine</t>
  </si>
  <si>
    <t>Slope:</t>
  </si>
  <si>
    <t xml:space="preserve">Intercept: </t>
  </si>
  <si>
    <t>Input Hub Height (m)</t>
  </si>
  <si>
    <t>Swept area* height</t>
  </si>
  <si>
    <t>WindPACT baseline linear fit for 2002 technology; no mass reduction due to controls or twist-flap coupling.</t>
  </si>
  <si>
    <t>Housing Mass kgs</t>
  </si>
  <si>
    <t>Bearing Cost</t>
  </si>
  <si>
    <t>Machine Rating in kWs</t>
  </si>
  <si>
    <t>Gearbox Mass kgs</t>
  </si>
  <si>
    <t>WindPACT final design linear fit for advanced technology including twist-flap coupling and feedback control</t>
  </si>
  <si>
    <t>Tower technology</t>
  </si>
  <si>
    <t>1 = baseline; 2 = advanced</t>
  </si>
  <si>
    <t>Technology Type</t>
  </si>
  <si>
    <t>Griffin, D. A. (2001) "WindPACT Turbine Design Scaling Studies Technical Area 1 - Composite Blades for 80-to 120- m Rotor." NREL/SR-500-29492</t>
  </si>
  <si>
    <t>Blades</t>
  </si>
  <si>
    <t>R</t>
  </si>
  <si>
    <t>L</t>
  </si>
  <si>
    <t xml:space="preserve">              t/c = 27 % at max. chord</t>
  </si>
  <si>
    <t>7% Span Section</t>
  </si>
  <si>
    <t>t/c = 33 % at max. chord</t>
  </si>
  <si>
    <t>R^3</t>
  </si>
  <si>
    <t>(MW)</t>
  </si>
  <si>
    <t>(m)</t>
  </si>
  <si>
    <t>W (kg)</t>
  </si>
  <si>
    <t>Grav / Trq</t>
  </si>
  <si>
    <t>Cap. Fac.</t>
  </si>
  <si>
    <t>Blade mass (kg)</t>
  </si>
  <si>
    <t xml:space="preserve">Blade Technology </t>
  </si>
  <si>
    <t>W</t>
  </si>
  <si>
    <t>Blade /</t>
  </si>
  <si>
    <t>(kg)</t>
  </si>
  <si>
    <t>LM</t>
  </si>
  <si>
    <t>TPI Composites, Inc. "Cost Study for Large Wind Turbine Blades:  WindPACT Blade System Design Studies." SAND2003-1428.</t>
  </si>
  <si>
    <t>V47</t>
  </si>
  <si>
    <t>Radius (m)*</t>
  </si>
  <si>
    <t>Length (m)</t>
  </si>
  <si>
    <t>Materials</t>
  </si>
  <si>
    <t>Labor</t>
  </si>
  <si>
    <t>Profit &amp; Overhead</t>
  </si>
  <si>
    <t>Other</t>
  </si>
  <si>
    <t>Weight (kg)</t>
  </si>
  <si>
    <t>Material Cost</t>
  </si>
  <si>
    <t>$/MW</t>
  </si>
  <si>
    <t>$/kg</t>
  </si>
  <si>
    <t>Total Blade Cost</t>
  </si>
  <si>
    <t>Z-50</t>
  </si>
  <si>
    <t>V66</t>
  </si>
  <si>
    <t>TZ-1.5</t>
  </si>
  <si>
    <t>Commercial Blade Data (lmglasfiber.com, accessed 2/6/06):</t>
  </si>
  <si>
    <t>D</t>
  </si>
  <si>
    <t>Future Blade, all glass, new root design</t>
  </si>
  <si>
    <t>Future Blade, includes some carbon, new root design</t>
  </si>
  <si>
    <t>TPI Composites (2004) "Innovative Design Approaches for Large Wind Turbine Blades Final Report" SAND 2004-0074</t>
  </si>
  <si>
    <t>Tables 2.4 through 2.6, pp. 21, 22</t>
  </si>
  <si>
    <t>Material</t>
  </si>
  <si>
    <t>E-glass blade, 120 stud root</t>
  </si>
  <si>
    <t>Fiberglass</t>
  </si>
  <si>
    <t>Carbon Blade, 120 stud root</t>
  </si>
  <si>
    <t>E-glass blade, 60 T-bolt root</t>
  </si>
  <si>
    <t>Carbon Blade, 60 T-bolt root</t>
  </si>
  <si>
    <t>Mass and baseline costs from Table 6-2, p. 39; Final design costs from Table B-2, p. B-2.</t>
  </si>
  <si>
    <t>Blade</t>
  </si>
  <si>
    <t>Basline</t>
  </si>
  <si>
    <t>Final</t>
  </si>
  <si>
    <t>fiberglass</t>
  </si>
  <si>
    <t>carbon/glass hybrid</t>
  </si>
  <si>
    <t>GEC</t>
  </si>
  <si>
    <t>WindPACT 5A02 (HH lowered to 100m)</t>
  </si>
  <si>
    <t>WindPACT 5A04 (HH lowered to 100m)</t>
  </si>
  <si>
    <t>Garrad Hassan</t>
  </si>
  <si>
    <t>RECOFF</t>
  </si>
  <si>
    <t>TU Delft</t>
  </si>
  <si>
    <t>DOWEC</t>
  </si>
  <si>
    <t>Multibrid</t>
  </si>
  <si>
    <t>M5000</t>
  </si>
  <si>
    <t>REpower</t>
  </si>
  <si>
    <t>5M</t>
  </si>
  <si>
    <r>
      <t>Modeled Blade Weights, all data for TSR</t>
    </r>
    <r>
      <rPr>
        <vertAlign val="subscript"/>
        <sz val="10"/>
        <rFont val="Arial"/>
        <family val="2"/>
      </rPr>
      <t>Design</t>
    </r>
    <r>
      <rPr>
        <sz val="10"/>
        <rFont val="Arial"/>
        <family val="2"/>
      </rPr>
      <t xml:space="preserve"> = 7, C</t>
    </r>
    <r>
      <rPr>
        <vertAlign val="subscript"/>
        <sz val="10"/>
        <rFont val="Arial"/>
        <family val="2"/>
      </rPr>
      <t>Max</t>
    </r>
    <r>
      <rPr>
        <sz val="10"/>
        <rFont val="Arial"/>
        <family val="2"/>
      </rPr>
      <t xml:space="preserve"> = 8% R, no parasitic weight</t>
    </r>
  </si>
  <si>
    <r>
      <t>(10</t>
    </r>
    <r>
      <rPr>
        <vertAlign val="superscript"/>
        <sz val="10"/>
        <rFont val="Arial"/>
        <family val="2"/>
      </rPr>
      <t>3</t>
    </r>
    <r>
      <rPr>
        <sz val="10"/>
        <rFont val="Arial"/>
        <family val="2"/>
      </rPr>
      <t xml:space="preserve"> kg)</t>
    </r>
  </si>
  <si>
    <t>Mechanical Brake &amp; Couplings</t>
  </si>
  <si>
    <t>Drive Train Design</t>
  </si>
  <si>
    <t>Synthetic resin &amp; rubber adhesives, incl all types of bonding &amp; laminating adhesives</t>
  </si>
  <si>
    <t>PCU3255203255204</t>
  </si>
  <si>
    <t>Machine Rating</t>
  </si>
  <si>
    <t>Data From WindPACT Rotor Study</t>
  </si>
  <si>
    <t>Drive Train Type</t>
  </si>
  <si>
    <t>Design Option</t>
  </si>
  <si>
    <t>Generator Mass kgs</t>
  </si>
  <si>
    <t>GEC Single Stage</t>
  </si>
  <si>
    <t>Clipper Multi</t>
  </si>
  <si>
    <t>Power</t>
  </si>
  <si>
    <t>Gearbox Mass Calculation</t>
  </si>
  <si>
    <t>Gearbox Cost and Mass Calculations</t>
  </si>
  <si>
    <t>Variable Speed Electronics</t>
  </si>
  <si>
    <t>Drive Train Design Type</t>
  </si>
  <si>
    <t>Escalator Details</t>
  </si>
  <si>
    <t>PPI</t>
  </si>
  <si>
    <t>% of Element</t>
  </si>
  <si>
    <t>September 2002 PPI</t>
  </si>
  <si>
    <t>September 2005 PPI</t>
  </si>
  <si>
    <t>Escalator =</t>
  </si>
  <si>
    <t>Hub</t>
  </si>
  <si>
    <t>Ductile Iron Castings NAICS 3315113</t>
  </si>
  <si>
    <t>Pitch Mechanisms/Bearings</t>
  </si>
  <si>
    <t>Low speed shaft</t>
  </si>
  <si>
    <t>Bearings</t>
  </si>
  <si>
    <t>Gearbox</t>
  </si>
  <si>
    <t>Mech brake, HS cpling etc</t>
  </si>
  <si>
    <t>Generator</t>
  </si>
  <si>
    <t>Variable spd electronics</t>
  </si>
  <si>
    <t>Yaw drive &amp; bearing</t>
  </si>
  <si>
    <t>Main frame</t>
  </si>
  <si>
    <t>Electrical connections</t>
  </si>
  <si>
    <t>Switch Gear &amp; Apparatus NAICS 335313P</t>
  </si>
  <si>
    <t>Power wire and cable NAICS 3359291</t>
  </si>
  <si>
    <t>Hydraulic system</t>
  </si>
  <si>
    <t>Marinization</t>
  </si>
  <si>
    <t>Offshore Warranty Premium</t>
  </si>
  <si>
    <t>September 2003 PPI</t>
  </si>
  <si>
    <t>General Freight trucking, long-distance, truckload</t>
  </si>
  <si>
    <t>Other Heavy Construction NAICS BHVY</t>
  </si>
  <si>
    <t>NAICS Code</t>
  </si>
  <si>
    <t>Gross Domestic Product</t>
  </si>
  <si>
    <t>Year</t>
  </si>
  <si>
    <t>Absolute Value from Previous</t>
  </si>
  <si>
    <t>Change/2000$ From Previous Period</t>
  </si>
  <si>
    <t>Jan</t>
  </si>
  <si>
    <t>Feb</t>
  </si>
  <si>
    <t>Mar</t>
  </si>
  <si>
    <t>Apr</t>
  </si>
  <si>
    <t>May</t>
  </si>
  <si>
    <t>June</t>
  </si>
  <si>
    <t>Jul</t>
  </si>
  <si>
    <t>Aug</t>
  </si>
  <si>
    <t>Sep</t>
  </si>
  <si>
    <t>Oct</t>
  </si>
  <si>
    <t>Nov</t>
  </si>
  <si>
    <t>Dec</t>
  </si>
  <si>
    <t>Glass fiber, textile-type, made by establishment producing glass</t>
  </si>
  <si>
    <t>Month</t>
  </si>
  <si>
    <t>Calculated Escalator</t>
  </si>
  <si>
    <t>Row Numbers</t>
  </si>
  <si>
    <t>Month #</t>
  </si>
  <si>
    <t>Cumulative Escalator =</t>
  </si>
  <si>
    <t>Assembly Labor at GDP inflation index</t>
  </si>
  <si>
    <t>Vinyl type adhesives</t>
  </si>
  <si>
    <t>Fiberglass Fabric</t>
  </si>
  <si>
    <t>Single Stage* (2)</t>
  </si>
  <si>
    <t>Direct Drive (4)</t>
  </si>
  <si>
    <t>PPI and GDP Tables</t>
  </si>
  <si>
    <t>Other ductile iron castings</t>
  </si>
  <si>
    <t>332991P</t>
  </si>
  <si>
    <t>Ball and roller bearings</t>
  </si>
  <si>
    <t>Annual</t>
  </si>
  <si>
    <t>Year/Month #</t>
  </si>
  <si>
    <t>Integral horsepower motors and generators other than for trans equipment</t>
  </si>
  <si>
    <t>333612P</t>
  </si>
  <si>
    <t>Speed changer, industrial high-speed, &amp; gear mfg.</t>
  </si>
  <si>
    <t>Industrial process control manufacturing</t>
  </si>
  <si>
    <t>Cast carbon steel castings</t>
  </si>
  <si>
    <t>335312P</t>
  </si>
  <si>
    <t>Motor &amp; generator mfg, Primary Products</t>
  </si>
  <si>
    <t>335314P</t>
  </si>
  <si>
    <t>Relay &amp; industrial control mfg</t>
  </si>
  <si>
    <t>Motor vehicle brake parts and assemblies, new</t>
  </si>
  <si>
    <t>335313P</t>
  </si>
  <si>
    <t>Switchgear &amp; switchboard apparatus mfg, Primary products</t>
  </si>
  <si>
    <t>Power wire and cable, made in plants that draw wire</t>
  </si>
  <si>
    <t>Power and distribution transformers</t>
  </si>
  <si>
    <t>Non-aerospace type hydraulic fluid power cylinders &amp; actuators, linera and rotary</t>
  </si>
  <si>
    <t>Rolled steel shape manufacturing</t>
  </si>
  <si>
    <t>BHWY</t>
  </si>
  <si>
    <t>BHVY</t>
  </si>
  <si>
    <t>General freight trucking, long-distance, truckload</t>
  </si>
  <si>
    <t>Drive Motors</t>
  </si>
  <si>
    <t>Speed Reducer (Gearing)</t>
  </si>
  <si>
    <t>Controller and Drive - Industrial Process Control</t>
  </si>
  <si>
    <t>Industrial High-speed drive &amp; gear</t>
  </si>
  <si>
    <t>Motor vehicle brake parts and assemblies</t>
  </si>
  <si>
    <t>Motor and Generator Manufacturing</t>
  </si>
  <si>
    <t>Relay and Industrial Control Mfg</t>
  </si>
  <si>
    <t>Yaw Bearing - Ball and Roller Bearings</t>
  </si>
  <si>
    <t>Ductile Iron Castings</t>
  </si>
  <si>
    <t>Switch Gear &amp; Apparatus</t>
  </si>
  <si>
    <t>Fluid Power Cylinder and Actuators</t>
  </si>
  <si>
    <t>General GDP inflation index</t>
  </si>
  <si>
    <t>Rolled steel shape manufacturing, primary products</t>
  </si>
  <si>
    <t>Pile Driven Tower (Other Heavy Construction)</t>
  </si>
  <si>
    <t>Other Heavy Construction</t>
  </si>
  <si>
    <t>Escalator=</t>
  </si>
  <si>
    <t>Baseline Year</t>
  </si>
  <si>
    <t>Current Cost Year</t>
  </si>
  <si>
    <t>Baseline PPI</t>
  </si>
  <si>
    <t>Current PPI</t>
  </si>
  <si>
    <t>Cost Bases Calculations</t>
  </si>
  <si>
    <t>Calc Mass 3 Stage Planetary (1)</t>
  </si>
  <si>
    <t>Direct Drive (4)_</t>
  </si>
  <si>
    <t>Direct Drive* (4)</t>
  </si>
  <si>
    <t>WindPACT Cost 3 Stage Planetary</t>
  </si>
  <si>
    <t>Calculated - 3 stage Planetary (1)</t>
  </si>
  <si>
    <t>RPM</t>
  </si>
  <si>
    <t>Torque</t>
  </si>
  <si>
    <t>Max Tip Speed m/s</t>
  </si>
  <si>
    <t>Calculated RPM</t>
  </si>
  <si>
    <t>Calculated Torque kNm</t>
  </si>
  <si>
    <t>Rotor Diameter m</t>
  </si>
  <si>
    <t>Tip Speed</t>
  </si>
  <si>
    <t>Other externally threaded metal fasteners, including studs</t>
  </si>
  <si>
    <t>Root studs - other externally threaded fasteners including studs</t>
  </si>
  <si>
    <t>(composed of 60% Fiberglass fabric, 23% Vinyl Esters and Resins, 8% root studs, 9% core) from SAND2003-1428</t>
  </si>
  <si>
    <t>General GDP inflation</t>
  </si>
  <si>
    <t xml:space="preserve">Advanced Blade material costs </t>
  </si>
  <si>
    <t xml:space="preserve">Baseline Blade material costs </t>
  </si>
  <si>
    <t>(composed of 61% Fiberglass fabric, 27% Vinyl Esters and Resins, 3% root studs, 9% core) from SAND2004-0074</t>
  </si>
  <si>
    <t>Blade material breakdown</t>
  </si>
  <si>
    <t>Blade Mass Computation</t>
  </si>
  <si>
    <t>For details read this comment.</t>
  </si>
  <si>
    <t>Plot Current Design Cost and Mass</t>
  </si>
  <si>
    <t>Baseline blade (From SAND2003-1428)</t>
  </si>
  <si>
    <t>Baseline blade design uses WindPACT baseline mass curve</t>
  </si>
  <si>
    <t>Core</t>
  </si>
  <si>
    <t>Resin</t>
  </si>
  <si>
    <t>Adhesive</t>
  </si>
  <si>
    <t>Root Studs</t>
  </si>
  <si>
    <t>32 m</t>
  </si>
  <si>
    <t>Exponent</t>
  </si>
  <si>
    <t>52 m</t>
  </si>
  <si>
    <t>72 m</t>
  </si>
  <si>
    <t>Advanced blade design uses LM Glasfiber newest design</t>
  </si>
  <si>
    <t>Average</t>
  </si>
  <si>
    <t>Advanced fiberglass blade with 120 stud root (from SAND2004-0074)</t>
  </si>
  <si>
    <t>Gel Coat</t>
  </si>
  <si>
    <t>Mat</t>
  </si>
  <si>
    <t>DB Glass</t>
  </si>
  <si>
    <t>Spar Cap + TE</t>
  </si>
  <si>
    <t>Balsa</t>
  </si>
  <si>
    <t>Plexus/Resin</t>
  </si>
  <si>
    <t>Buildup</t>
  </si>
  <si>
    <t>Studs</t>
  </si>
  <si>
    <t>Total</t>
  </si>
  <si>
    <t>Estimate total blade cost as a function of material cost, labor cost, and overhead.  Overhead is computed as a percentage of total blade cost</t>
  </si>
  <si>
    <t>lb</t>
  </si>
  <si>
    <t>kg</t>
  </si>
  <si>
    <t>Advanced fiberglass blade with 60 T-bolt root stud root (from SAND2004-0074)</t>
  </si>
  <si>
    <t>Baseline</t>
  </si>
  <si>
    <t>Advanced fiberglass, T-bolt</t>
  </si>
  <si>
    <t>Advanced fiberglass, 120 stud</t>
  </si>
  <si>
    <t>average</t>
  </si>
  <si>
    <t>2004 PPI</t>
  </si>
  <si>
    <t>2005 PPI</t>
  </si>
  <si>
    <t>Blade component costs derived from material cost, material %, and total cost published in TPI report.; total cost excluding transportation and percent of cost other than material and labor computed.</t>
  </si>
  <si>
    <t>Radius^3 (m^3)</t>
  </si>
  <si>
    <t>Radius (m)</t>
  </si>
  <si>
    <t>Labor Cost</t>
  </si>
  <si>
    <t>Profit Cost</t>
  </si>
  <si>
    <t>Other Cost</t>
  </si>
  <si>
    <t>Transportation Cost</t>
  </si>
  <si>
    <t>Labor Hours</t>
  </si>
  <si>
    <t>Labor $/hr</t>
  </si>
  <si>
    <t>Cost - Transport</t>
  </si>
  <si>
    <t>Overhead %</t>
  </si>
  <si>
    <t>Resin/Adhesive</t>
  </si>
  <si>
    <t>Advanced carbon spar blade with 60 T-bolt root (from SAND2004-0074)</t>
  </si>
  <si>
    <t>Baseline materials escalator</t>
  </si>
  <si>
    <t>General inflation:</t>
  </si>
  <si>
    <t>Spar Cap</t>
  </si>
  <si>
    <t>Root &amp; TE</t>
  </si>
  <si>
    <t>Escalated Baseline Blade Cost</t>
  </si>
  <si>
    <t>Baseline blade cost = (Blade material + labor)/(1-0.28)</t>
  </si>
  <si>
    <t>Radius</t>
  </si>
  <si>
    <t>Advanced R^3</t>
  </si>
  <si>
    <t>Advanced Blade Cost</t>
  </si>
  <si>
    <t>Advanced carbon spar blade with 120 stud root (from SAND2004-0074)</t>
  </si>
  <si>
    <t>Baseline material cost as function of R^3</t>
  </si>
  <si>
    <t>Advanced material cost as function of R^3</t>
  </si>
  <si>
    <t>Labor Cost as function of R</t>
  </si>
  <si>
    <t>slope</t>
  </si>
  <si>
    <t>intercept</t>
  </si>
  <si>
    <t>WindPACT baseline blade cost (NREL/SR-500-32495)</t>
  </si>
  <si>
    <t>Diameter (m)</t>
  </si>
  <si>
    <t>Radius^3</t>
  </si>
  <si>
    <t>Cost (2002 $)</t>
  </si>
  <si>
    <t>Known blade cost</t>
  </si>
  <si>
    <t>Cost ($)</t>
  </si>
  <si>
    <t>Clipper - 2004 $</t>
  </si>
  <si>
    <t>LM - quote for Clipper - 2002 $</t>
  </si>
  <si>
    <t>$410,880 (2002)</t>
  </si>
  <si>
    <t>$392,690 (2002)</t>
  </si>
  <si>
    <t>Escalated 2005$</t>
  </si>
  <si>
    <t>Calculated Mass (kg)</t>
  </si>
  <si>
    <t>Tower - steel tubular</t>
  </si>
  <si>
    <t>Gearbox Cost Multiplier Look Up Table</t>
  </si>
  <si>
    <t>Gearbox Mass Multiplier Look Up Table (Scaled Based on Torque)</t>
  </si>
  <si>
    <t>Gearbox Cost Model Calculation</t>
  </si>
  <si>
    <t>Check Calculations</t>
  </si>
  <si>
    <t>Actual Values or Report Data</t>
  </si>
  <si>
    <t>3 Stage Planetary Cost from WindPACT Rotor Study 2002$</t>
  </si>
  <si>
    <t>Models Assumes WindPACT relationship</t>
  </si>
  <si>
    <t>Actual Values or Report Data (Mass in kgs)</t>
  </si>
  <si>
    <t>Multi Gen - 4 Generator (3)</t>
  </si>
  <si>
    <t>GEC Single Stage (2)</t>
  </si>
  <si>
    <t>Multi Generator Design (3)</t>
  </si>
  <si>
    <t>NPS Direct Drive (4)</t>
  </si>
  <si>
    <t>WindPACT 3 Stage Planetary Mass (1)</t>
  </si>
  <si>
    <t>Torque Models Based on WindPACT Rotor Study</t>
  </si>
  <si>
    <t>Turbine Capital Cost $1000s</t>
  </si>
  <si>
    <t>Balance of Station Cost $1000s</t>
  </si>
  <si>
    <t>O&amp;M Cost (Year) $1000s</t>
  </si>
  <si>
    <t>Levelized Replacement Cost (Year) $1000s</t>
  </si>
  <si>
    <t>Land or Bottom Lease Cost (Year) $1000s</t>
  </si>
  <si>
    <t>Generator Costs and Mass</t>
  </si>
  <si>
    <t>Generator Curve Model Calculation</t>
  </si>
  <si>
    <t>Check Cost Calculations $</t>
  </si>
  <si>
    <t>Actual Values for Calculations</t>
  </si>
  <si>
    <t>Machine Rating kWs</t>
  </si>
  <si>
    <t>WindPACT Cost - 3 stage Planetary (1)</t>
  </si>
  <si>
    <t>Multi Drive* (3)</t>
  </si>
  <si>
    <t>GEC Single Stage Drive (2)</t>
  </si>
  <si>
    <t>Clipper Multi Drive (3)</t>
  </si>
  <si>
    <t>Generator Mass Data Calculations - all Mass in kgs</t>
  </si>
  <si>
    <t>Check Calculation Values</t>
  </si>
  <si>
    <t>Actual Values for Curves</t>
  </si>
  <si>
    <t>Rating kWs</t>
  </si>
  <si>
    <t>Single Stage (2)</t>
  </si>
  <si>
    <t>Multi Drive (4 gens) (3)</t>
  </si>
  <si>
    <t>Cost from Calc</t>
  </si>
  <si>
    <t>Total Bearing and Housing Mass From Calculation</t>
  </si>
  <si>
    <t>Calculations and Checks</t>
  </si>
  <si>
    <t>Rotor Diam (meters)</t>
  </si>
  <si>
    <t>Bearing &amp; Housing Mass kgs</t>
  </si>
  <si>
    <t>Cost in WindPACT Study</t>
  </si>
  <si>
    <t>Covers Bearings and Housing</t>
  </si>
  <si>
    <t>Housing Mass is equal to Bearing mass</t>
  </si>
  <si>
    <t>Main Bearings</t>
  </si>
  <si>
    <t>WindPACT Formula for Bearing Mass (Revised WindPACT Rotor Study)</t>
  </si>
  <si>
    <t>Combined Mass kgs</t>
  </si>
  <si>
    <t>Curve Development Data from WindPACT Rotor Study</t>
  </si>
  <si>
    <t>2002 $kg for Casting</t>
  </si>
  <si>
    <t>Calculated Cost Bearings &amp; Actuators in 2002$</t>
  </si>
  <si>
    <t>Pitch Actuators Mass and Cost</t>
  </si>
  <si>
    <t>From Blade Mass Calculation</t>
  </si>
  <si>
    <t>PE Cost $2002</t>
  </si>
  <si>
    <t>Yaw Drive and Yaw Bearing</t>
  </si>
  <si>
    <t>Yaw Bearing Mass</t>
  </si>
  <si>
    <t>System Cost</t>
  </si>
  <si>
    <t>Data from Avon Bearings</t>
  </si>
  <si>
    <t>Yaw Bearing Mass kgs</t>
  </si>
  <si>
    <t>Yaw System Cost $2002</t>
  </si>
  <si>
    <t>326150P</t>
  </si>
  <si>
    <t>Urethane and other foam products</t>
  </si>
  <si>
    <t>Note:  Actual data not available for cells above in yellow.  2003 is base year.  Projected back from base year Using CPI for Calendar Year.</t>
  </si>
  <si>
    <t>Core - Urethane and other foam products</t>
  </si>
  <si>
    <t>PE cost per kW</t>
  </si>
  <si>
    <t>Wind Turbine Rating</t>
  </si>
  <si>
    <t>Mainframe/Bedplate</t>
  </si>
  <si>
    <t>Mass kgs</t>
  </si>
  <si>
    <t>Mainframe Cost Look Up Table</t>
  </si>
  <si>
    <t>Mainframe Mass kgs</t>
  </si>
  <si>
    <t>Actual or Study Values</t>
  </si>
  <si>
    <t>Electrical Connections</t>
  </si>
  <si>
    <t>Electrical Connection Cost in $2002</t>
  </si>
  <si>
    <t>Nacelle Mass</t>
  </si>
  <si>
    <t>Calculated Blade Mass (3 Blades) kgs</t>
  </si>
  <si>
    <t>Calculated Bearing, Housing, Actuators, Controller Mass kgs</t>
  </si>
  <si>
    <t>Data From WindPACT Rotor Study, Avon Bearings Data in WindPACT Appendix, and Clipper Actuals</t>
  </si>
  <si>
    <t>Actual or Calculated Blade Mass</t>
  </si>
  <si>
    <t>Pitch Bearing Mass Only kgs</t>
  </si>
  <si>
    <t>Bearings Cost $2002</t>
  </si>
  <si>
    <t>Turbine Capital per kW sans BOS &amp; Warranty</t>
  </si>
  <si>
    <t>Ending Year</t>
  </si>
  <si>
    <t>Ending Month</t>
  </si>
  <si>
    <t>Financial/Cost Escalation  Assumptions</t>
  </si>
  <si>
    <t>Hub Data</t>
  </si>
  <si>
    <t>Blade and tower drop-down box lists</t>
  </si>
  <si>
    <t>Advanced Design</t>
  </si>
  <si>
    <t>Foundation drop-down box lists</t>
  </si>
  <si>
    <t>Monopile (Shallow)</t>
  </si>
  <si>
    <t>Transitional Water Types</t>
  </si>
  <si>
    <t>Gravity (Shallow)</t>
  </si>
  <si>
    <t>Tripods (Transitional)</t>
  </si>
  <si>
    <t>Drive train drop-down box lists</t>
  </si>
  <si>
    <t>Multi-Generator</t>
  </si>
  <si>
    <t>Direct Drive</t>
  </si>
  <si>
    <t>Escalated Advanced Material Cost</t>
  </si>
  <si>
    <t>Siemens website (http://www.powergeneration.siemens.com/en/windpower/products/index.cfm, accessed 060310)</t>
  </si>
  <si>
    <t>2.3 MW VS</t>
  </si>
  <si>
    <t>3.6 MW</t>
  </si>
  <si>
    <t>1.3 MW</t>
  </si>
  <si>
    <t>Power Rating</t>
  </si>
  <si>
    <t>Tower Mass</t>
  </si>
  <si>
    <t>Rotor Mass</t>
  </si>
  <si>
    <t>Nacelle, excluding rotor</t>
  </si>
  <si>
    <t>Offshore</t>
  </si>
  <si>
    <t>Vestas</t>
  </si>
  <si>
    <t>V80</t>
  </si>
  <si>
    <t>V82</t>
  </si>
  <si>
    <t>V90</t>
  </si>
  <si>
    <t>V100</t>
  </si>
  <si>
    <t>V120</t>
  </si>
  <si>
    <t>Hub Height</t>
  </si>
  <si>
    <t>Tower Mass (IEC Class II A)</t>
  </si>
  <si>
    <t>Tower Mass (IEC Class I A)</t>
  </si>
  <si>
    <t>Tower Mass (IEC Class IIB)</t>
  </si>
  <si>
    <t>Nacelle</t>
  </si>
  <si>
    <t>Vestas sales brochures downloaded from website 3/10/06 (http://www.vestas.com/uk/Products/download/download_UK2.asp)</t>
  </si>
  <si>
    <t>IEC Class IIA</t>
  </si>
  <si>
    <t>IEC Class IA</t>
  </si>
  <si>
    <t>IEC Class IIB</t>
  </si>
  <si>
    <t>IEC Class IA -New tower design using stronger steel for ultimate strength and magnets to attach interior equipment to avoid knockdowns for welds.</t>
  </si>
  <si>
    <t>Site specific design so no IEC class listed.</t>
  </si>
  <si>
    <t>IEC Class IA - New tower</t>
  </si>
  <si>
    <t>IEC Class IIA - New tower design</t>
  </si>
  <si>
    <t>2.3 MW MkII</t>
  </si>
  <si>
    <t>Siemens</t>
  </si>
  <si>
    <t>Baseline blades</t>
  </si>
  <si>
    <t>Advanced blades</t>
  </si>
  <si>
    <t>Clipper - provided by Alan Laxson</t>
  </si>
  <si>
    <t>Tower Mass (IEC Class IIA)</t>
  </si>
  <si>
    <t>Rotor Mass (uses advanced blades)</t>
  </si>
  <si>
    <t>Data For Baseline from Drive Train Studies</t>
  </si>
  <si>
    <t>Type (1) Drive Train</t>
  </si>
  <si>
    <t>Type (2)</t>
  </si>
  <si>
    <t>Type (3)</t>
  </si>
  <si>
    <t>Type (4)</t>
  </si>
  <si>
    <t>Gearbox Cost $2002</t>
  </si>
  <si>
    <t>PPI Escalator $2002 to Current</t>
  </si>
  <si>
    <t>Calculated Cost 3 Stage Planetary (1) in 2002$</t>
  </si>
  <si>
    <t>Calculated Single Stage* (2) 2002 $</t>
  </si>
  <si>
    <t>Multi Gen - 4 Generators (3) 2002$</t>
  </si>
  <si>
    <t>Mainframe Cost $2002</t>
  </si>
  <si>
    <t>Service Crane</t>
  </si>
  <si>
    <t>Nacelle Cover</t>
  </si>
  <si>
    <t>Nacelle Cover Mass</t>
  </si>
  <si>
    <t>Nacelle Cover Cost $2002</t>
  </si>
  <si>
    <t>Nacelle Cover Cost in $2002</t>
  </si>
  <si>
    <t>Nacelle Escalation Factor for GEC Drive Train Study (2000 up to 2002)</t>
  </si>
  <si>
    <t>Clipper De-escalation factor (2004 down to 2002)</t>
  </si>
  <si>
    <t>From Input Page</t>
  </si>
  <si>
    <t>WindPACT Rotor Study</t>
  </si>
  <si>
    <t>Task #5 Final</t>
  </si>
  <si>
    <t>Blade Mass - single blade - kg</t>
  </si>
  <si>
    <t>Blade Mass 
3 blades
kg</t>
  </si>
  <si>
    <t>WindPACT Rotor Study-
Task #5 Final Design,
Baseline Design
kg</t>
  </si>
  <si>
    <t>Actual Mass
Usually protected data
kg</t>
  </si>
  <si>
    <t>WindPACT Task #5 Final Design</t>
  </si>
  <si>
    <t>WindPACT Baseline Design</t>
  </si>
  <si>
    <t>Manufacturer data</t>
  </si>
  <si>
    <t>Blade (3) Mass from Cost Sheet</t>
  </si>
  <si>
    <t>Hub Mass Slope</t>
  </si>
  <si>
    <t>Hub Mass Intercept</t>
  </si>
  <si>
    <t>Hub Mass and Cost Based on 2002 WindPACT Rotor Study and protected manufacturer data.  For details read comment.</t>
  </si>
  <si>
    <t>Rotor Mass (metric tons)</t>
  </si>
  <si>
    <t>NREL Cost Model (060327)</t>
  </si>
  <si>
    <t>NREL 5 MW Baseline - from J. Jonkman summary sheet</t>
  </si>
  <si>
    <t>Note:  3 MW baseline will follow baseline blade curve from NREL cost model.</t>
  </si>
  <si>
    <t>Hub Mass</t>
  </si>
  <si>
    <t>Rotor Mass (from Cost Summary sheet)</t>
  </si>
  <si>
    <t>Blade Mass</t>
  </si>
  <si>
    <t>Plot Current Design of Hub Mass and Rotor Mass</t>
  </si>
  <si>
    <t>Output</t>
  </si>
  <si>
    <t>From Input Sheet</t>
  </si>
  <si>
    <t>Note:  This Model Contains Proprietary or Wind Technology Protected Data, and Should Not Be Released Outside of the DOE/NREL/SNL, until Further Notice.</t>
  </si>
  <si>
    <t>GE 1.5s</t>
  </si>
  <si>
    <t>Total Yaw System Mass kgs</t>
  </si>
  <si>
    <t>Nacelle Platforms kgs</t>
  </si>
  <si>
    <t>Service Crane kgs</t>
  </si>
  <si>
    <t>Total Mainframe mass</t>
  </si>
  <si>
    <t>Control, Safety System</t>
  </si>
  <si>
    <t>Control, Safety System $2002</t>
  </si>
  <si>
    <t xml:space="preserve"> Hydraulic, Cooling system</t>
  </si>
  <si>
    <t>Hydraulic, Cooling System Mass kgs</t>
  </si>
  <si>
    <t>Hydraulic, Cooling System Cost in $2002</t>
  </si>
  <si>
    <t>Hydraulic, Cooling Systems</t>
  </si>
  <si>
    <t>Nose cone/ spinner mass and cost based on Clipper mass and cost and ART mass.</t>
  </si>
  <si>
    <t>Plot Current Design of nose cone / spinner mass</t>
  </si>
  <si>
    <t>Nose cone / Spinner Data</t>
  </si>
  <si>
    <t>Nose cone mass (kg)</t>
  </si>
  <si>
    <t>Cost
2005 $</t>
  </si>
  <si>
    <t>Mass Slope</t>
  </si>
  <si>
    <t>Mass Intercept</t>
  </si>
  <si>
    <t>Note:  The two figures below do not Contain Proprietary or Wind Technology Protected Data; these two figures could be published.</t>
  </si>
  <si>
    <t>Mechanical Brake, HS coupling cost $2002</t>
  </si>
  <si>
    <t xml:space="preserve">2002 $/kg for Steel </t>
  </si>
  <si>
    <t>= Current Year'</t>
  </si>
  <si>
    <t>Max Cp</t>
  </si>
  <si>
    <t>Cost in $</t>
  </si>
  <si>
    <t>Hub Cost Current Year $</t>
  </si>
  <si>
    <t>Cost in Current Year $</t>
  </si>
  <si>
    <t>Nacelle Covers/Nose Cone/ Spinner (composed of 65% Fiberglass fabric/35% Vinyl Esters and Resins)</t>
  </si>
  <si>
    <t xml:space="preserve">2002 $/kg </t>
  </si>
  <si>
    <t>Cost 2002 $</t>
  </si>
  <si>
    <t>Low Speed Shaft Cost $2002</t>
  </si>
  <si>
    <t>Bearing Cost $2002</t>
  </si>
  <si>
    <t>Housing Cost $2002</t>
  </si>
  <si>
    <t>Combined Cost $2002</t>
  </si>
  <si>
    <t>Cost in Current $</t>
  </si>
  <si>
    <t>Generator Cost $2002</t>
  </si>
  <si>
    <t>Nacelle Platforms $2002</t>
  </si>
  <si>
    <t>Service Crane $2002</t>
  </si>
  <si>
    <t>Machine Base Hardware $2002</t>
  </si>
  <si>
    <t>All Mainframe Comp $2002</t>
  </si>
  <si>
    <t>PCU332991332991P</t>
  </si>
  <si>
    <t>PCU3353123353123</t>
  </si>
  <si>
    <t>PCU333612333612P</t>
  </si>
  <si>
    <t>PCU334513334513</t>
  </si>
  <si>
    <t>PCU3315133315131</t>
  </si>
  <si>
    <t>PCU335312335312P</t>
  </si>
  <si>
    <t>PCU335314335314P</t>
  </si>
  <si>
    <t>PCU3363403363401</t>
  </si>
  <si>
    <t>PCU3359293359291</t>
  </si>
  <si>
    <t>PCU3339953339952</t>
  </si>
  <si>
    <t>PCU3353113353111</t>
  </si>
  <si>
    <t>PCU331221331221</t>
  </si>
  <si>
    <t>PCUBHWY--BHWY--</t>
  </si>
  <si>
    <t>PCUBHVY--BHVY--</t>
  </si>
  <si>
    <t>PCU4841214841212</t>
  </si>
  <si>
    <t>PCU3327223327223199</t>
  </si>
  <si>
    <t>PCU326150326150P</t>
  </si>
  <si>
    <t>PCU335313335313P</t>
  </si>
  <si>
    <t>Cost Current $</t>
  </si>
  <si>
    <t>Gearbox Cost Current Year $</t>
  </si>
  <si>
    <t>Generator Cost Current Year $</t>
  </si>
  <si>
    <t>PE Cost Current Year $</t>
  </si>
  <si>
    <t>Yaw Bearing Cost Current Year $</t>
  </si>
  <si>
    <t>Mainframe Cost Current Year $</t>
  </si>
  <si>
    <t>Foundation</t>
  </si>
  <si>
    <t>Assembly and Installation</t>
  </si>
  <si>
    <t>Foundations</t>
  </si>
  <si>
    <t>Table 4-4
Baseline Costs</t>
  </si>
  <si>
    <t>Table 3-1
Scaling Formula</t>
  </si>
  <si>
    <t>Difference</t>
  </si>
  <si>
    <t xml:space="preserve"> Spinner, Nose Cone</t>
  </si>
  <si>
    <t>Foundation Cost $ 2002</t>
  </si>
  <si>
    <t>HH* Swept Area</t>
  </si>
  <si>
    <t>Swept Area/m2</t>
  </si>
  <si>
    <t>Cost $2002</t>
  </si>
  <si>
    <t>Calculated Swept Area</t>
  </si>
  <si>
    <t>Hub Height * Swept Area</t>
  </si>
  <si>
    <t>Equation = 303.24* (Hub Height*Swept Area)^.4037</t>
  </si>
  <si>
    <t>Transportation in $2002</t>
  </si>
  <si>
    <t>Roads, Civil works $2002</t>
  </si>
  <si>
    <t>Road &amp; Civil Work</t>
  </si>
  <si>
    <t>Assem/Install Cost $2002</t>
  </si>
  <si>
    <t>Hub Height * Diameter</t>
  </si>
  <si>
    <t>Machine Hub Height</t>
  </si>
  <si>
    <t>From Plot Below</t>
  </si>
  <si>
    <t>Electrical interface/connection in $2002</t>
  </si>
  <si>
    <t>Rating * Diameter</t>
  </si>
  <si>
    <t>This Data for Reference Only - Use Formual Above</t>
  </si>
  <si>
    <t>Permits, engineering $ 2002</t>
  </si>
  <si>
    <t xml:space="preserve">Installed Cost per kW </t>
  </si>
  <si>
    <t>Levelized Replacement Cost $/kW $2002</t>
  </si>
  <si>
    <t>LRC $ 2002</t>
  </si>
  <si>
    <t>O&amp;M $ 2002</t>
  </si>
  <si>
    <t>Annual AEP in kWhs</t>
  </si>
  <si>
    <t>O&amp;M $/kWh $2002</t>
  </si>
  <si>
    <t>Onshore Land Lease Costs</t>
  </si>
  <si>
    <t>Land Lease Cost $ 2002</t>
  </si>
  <si>
    <t>Highway and Street Construction</t>
  </si>
  <si>
    <t>Differences between Onshore vs Offshore Cost Models</t>
  </si>
  <si>
    <t xml:space="preserve">1) In Onshore Model LRC, O&amp;M, Land Lease Costs are all modeled from the LWST Baseline Numbers defined in 2002 </t>
  </si>
  <si>
    <t>2) Onshore Model for Control, safety system Does not Include Condition Monitoring and Blade Monitoring System</t>
  </si>
  <si>
    <t>Cost in $2002</t>
  </si>
  <si>
    <t>Lease Cost $/kWh $2002</t>
  </si>
  <si>
    <t>Current Design</t>
  </si>
  <si>
    <t>Mainframe Mass Look Up Table</t>
  </si>
  <si>
    <t>Offshore Support Structure</t>
  </si>
  <si>
    <t>Land Based or Offshore Selection</t>
  </si>
  <si>
    <t>OS Marinization Cost</t>
  </si>
  <si>
    <t>% of Turbine and Tower Cost</t>
  </si>
  <si>
    <t>From Cost Summary Page</t>
  </si>
  <si>
    <t>Turbine and Tower Cost $ in Thousands</t>
  </si>
  <si>
    <t>Cost in Current Year $ in Thousands</t>
  </si>
  <si>
    <t>Monopile foundation/Support Structure</t>
  </si>
  <si>
    <t>PPI Escalator $2003 to Current</t>
  </si>
  <si>
    <t>Support Structure Cost per kW $Thousands</t>
  </si>
  <si>
    <t>Land Based Transportation Costs</t>
  </si>
  <si>
    <t>Land Based Foundations</t>
  </si>
  <si>
    <t>Offshore Port and Staging Equipment</t>
  </si>
  <si>
    <t>Port and staging equipment</t>
  </si>
  <si>
    <t>Port &amp; Staging Equipment per kW in $2002</t>
  </si>
  <si>
    <t>Port &amp; Staging Equipment in $2002</t>
  </si>
  <si>
    <t>Roads, Civil Work</t>
  </si>
  <si>
    <t>Land Based Assembly &amp; Installation</t>
  </si>
  <si>
    <t>Assembly &amp; Installation</t>
  </si>
  <si>
    <t>Turbine Installation</t>
  </si>
  <si>
    <t>Offshore Turbine Installation</t>
  </si>
  <si>
    <t>Offshore Turbine Installation $ kW $2003</t>
  </si>
  <si>
    <t>Land Based Electrical Interface/Connections</t>
  </si>
  <si>
    <t>Electrical Interface/Connections</t>
  </si>
  <si>
    <t>Land Based Roads, Civil Work</t>
  </si>
  <si>
    <t>Land Based Engineering and Permits</t>
  </si>
  <si>
    <t>Engineering &amp; Permits</t>
  </si>
  <si>
    <t>Land Based Operations and Maintenance Costs (O&amp;M)</t>
  </si>
  <si>
    <t>Electrical Interface/Connect</t>
  </si>
  <si>
    <t>Offshore Electrical Interface/Connect</t>
  </si>
  <si>
    <t>Electrical Inteface/Connect $ kW 2003</t>
  </si>
  <si>
    <t>Offshore Permits, Engineering, Site Assessment</t>
  </si>
  <si>
    <t>Permits, Engineering, Site Assessment</t>
  </si>
  <si>
    <t>Permits, Eng, Site Assessment $ kW 2003</t>
  </si>
  <si>
    <t>Electrical Interface/Connect $ 2003</t>
  </si>
  <si>
    <t>Turbine Installation $ 2003</t>
  </si>
  <si>
    <t>Support Structure in 2003 $</t>
  </si>
  <si>
    <t>Permits/Eng/Site Assessment $ 2003</t>
  </si>
  <si>
    <t>Personnel Access Equipment</t>
  </si>
  <si>
    <t>Offshore Personnel Access Equipment</t>
  </si>
  <si>
    <t>Personnel Access Equipment per Turbine $2003</t>
  </si>
  <si>
    <t>Personnel Access Equipment General GDP inflation index</t>
  </si>
  <si>
    <t>Personnel Access Equipment $2003</t>
  </si>
  <si>
    <t>Scour Protection $kW in $2003</t>
  </si>
  <si>
    <t>Scour Protection in $2003</t>
  </si>
  <si>
    <t>Offshore Scour Protection</t>
  </si>
  <si>
    <t>Scour Protection</t>
  </si>
  <si>
    <t>Surrety Bond % of ICC</t>
  </si>
  <si>
    <t>Offshore Surety Bond</t>
  </si>
  <si>
    <t>Offshore Warranty % of Turbine + Tower</t>
  </si>
  <si>
    <t>Control, Safety System, Condition Monitoring</t>
  </si>
  <si>
    <t>OS Control, Safety System, Condition Monitoring</t>
  </si>
  <si>
    <t>Land Based Control, Safety System</t>
  </si>
  <si>
    <t>LB Levelized Replacment Costs</t>
  </si>
  <si>
    <t>Offshore Levelized Replacement Costs</t>
  </si>
  <si>
    <t>Levelized Replacement Cost $/kW $2003</t>
  </si>
  <si>
    <t>Land Based Levelized Replacement Cost</t>
  </si>
  <si>
    <t>Offshore Levelized Replacement</t>
  </si>
  <si>
    <t>Offshore LRC 2003 $</t>
  </si>
  <si>
    <t>Levelized Replacement Cost $ per year</t>
  </si>
  <si>
    <t xml:space="preserve">O&amp;M $ per turbine/yr </t>
  </si>
  <si>
    <t>O&amp;M $ 2003</t>
  </si>
  <si>
    <t>O&amp;M Land Based</t>
  </si>
  <si>
    <t>O&amp;M Offshore</t>
  </si>
  <si>
    <t>Offshore Land Lease Costs</t>
  </si>
  <si>
    <t>Bottom Lease Cost</t>
  </si>
  <si>
    <t>Land Lease Cost</t>
  </si>
  <si>
    <t>COE Offshore Warranty</t>
  </si>
  <si>
    <t>Offshore Warranty</t>
  </si>
  <si>
    <t>COE of Foundation/Support Structure</t>
  </si>
  <si>
    <t>COE Eng/Permits/Bonds</t>
  </si>
  <si>
    <t>Land Based COE</t>
  </si>
  <si>
    <t>Wind Speed Class (50 meter)</t>
  </si>
  <si>
    <t>COE $/kWh</t>
  </si>
  <si>
    <t>Offshore COE</t>
  </si>
  <si>
    <t>Support Structure</t>
  </si>
  <si>
    <t>Eng/Permits/Surety</t>
  </si>
  <si>
    <t>Tip speed ratio for max Cp</t>
  </si>
  <si>
    <t>Maximum tip speed</t>
  </si>
  <si>
    <t>Region 2 1/2 slope</t>
  </si>
  <si>
    <t>Rated RPM</t>
  </si>
  <si>
    <t>Rated hub power</t>
  </si>
  <si>
    <t>Constant</t>
  </si>
  <si>
    <t>Linear</t>
  </si>
  <si>
    <t>Quadratic</t>
  </si>
  <si>
    <t>Region 2 1/2 calculations</t>
  </si>
  <si>
    <t>At Omega T</t>
  </si>
  <si>
    <t>Weibull betz</t>
  </si>
  <si>
    <t>Omega M</t>
  </si>
  <si>
    <t>a</t>
  </si>
  <si>
    <t>Omega 0</t>
  </si>
  <si>
    <t>b</t>
  </si>
  <si>
    <t>Tm</t>
  </si>
  <si>
    <t>c</t>
  </si>
  <si>
    <t>k</t>
  </si>
  <si>
    <t>Omega T</t>
  </si>
  <si>
    <t>Region 2 hub Power</t>
  </si>
  <si>
    <t>Region 2 1/2 hub power</t>
  </si>
  <si>
    <t>Region 3 hub power</t>
  </si>
  <si>
    <t>Financial Error Codes</t>
  </si>
  <si>
    <t>Altititude Above Mean Sea Level/meters</t>
  </si>
  <si>
    <t>Max Tip Speed Ratio</t>
  </si>
  <si>
    <t>Baseline costs in 2002 $ for material costs and labor costs. Advanced blade material costs de-escalated from 2003$ to 2002$.</t>
  </si>
  <si>
    <t>Advanced materials de-escalator</t>
  </si>
  <si>
    <t>PPI Labor Escalator $2002 to Current</t>
  </si>
  <si>
    <t>PPI Baseline Blade Material Escalator $2002 to Current</t>
  </si>
  <si>
    <t>PPI Advanced Blade Material Escalator $2002 to Current</t>
  </si>
  <si>
    <t>Yellow Numbers are preliminary</t>
  </si>
  <si>
    <t>Control, Safety System, and Condition Monitoring</t>
  </si>
  <si>
    <t>Monopile Foundation/Support Structure</t>
  </si>
  <si>
    <t>Transitional Support Structure</t>
  </si>
  <si>
    <t>Turbine Transportation</t>
  </si>
  <si>
    <t>Roads &amp; Civil Work</t>
  </si>
  <si>
    <t>Turbine Assembly &amp; Installation</t>
  </si>
  <si>
    <t>Electrical Interface and Connections</t>
  </si>
  <si>
    <t>Personal Access Equipment</t>
  </si>
  <si>
    <t>Support Structure Transportation</t>
  </si>
  <si>
    <t>Port and Staging Equipment</t>
  </si>
  <si>
    <t>Platform Transportation</t>
  </si>
  <si>
    <t>Floating Platform Fabrication</t>
  </si>
  <si>
    <t>Platform &amp; Anchor Installation</t>
  </si>
  <si>
    <t/>
  </si>
  <si>
    <t>Technology Category Look Up Tables</t>
  </si>
  <si>
    <t>Transitional Support Structure Fab $ kW $2003</t>
  </si>
  <si>
    <t>Support Structure Fabrication $ 2003</t>
  </si>
  <si>
    <t>Cost Category Values</t>
  </si>
  <si>
    <t>Offshore Transitional Support Structure Fabrication</t>
  </si>
  <si>
    <t>Offshore Transitional Support Structure Installation</t>
  </si>
  <si>
    <t>Support Structure Installation $ 2003</t>
  </si>
  <si>
    <t>Support Structure Installation $ kW $2003</t>
  </si>
  <si>
    <t>Offshore Transitional Support Structure Transportation</t>
  </si>
  <si>
    <t>Support Structure Transport $ 2003</t>
  </si>
  <si>
    <t>Support Structure Transport $ kW $2003</t>
  </si>
  <si>
    <t>Marine Transport of Support Structure to Point of Installation</t>
  </si>
  <si>
    <t>PCU3315113315113</t>
  </si>
  <si>
    <t>Transport Cost =</t>
  </si>
  <si>
    <t>Transport of Turbine To Load Out Site</t>
  </si>
  <si>
    <t xml:space="preserve">Struc Transport Cost Factor </t>
  </si>
  <si>
    <t>Offshore Transitional Turbine Transportation (Turbine to Assembly or Marine Load Out Site)</t>
  </si>
  <si>
    <t>Transportation Onshore/Offshore Shallow &amp; Transitional</t>
  </si>
  <si>
    <t>Turbine Transport $ 2002</t>
  </si>
  <si>
    <t>in $ 2002</t>
  </si>
  <si>
    <t>$kW in 2002</t>
  </si>
  <si>
    <t>OS ELECTRICAL-INTERFACE-CONNECT -TRANSITIONAL</t>
  </si>
  <si>
    <t xml:space="preserve">Turbine Transport Cost Factor </t>
  </si>
  <si>
    <t>OST Electrical Cost Factor</t>
  </si>
  <si>
    <t>Offshore Transitional Turbine Installation</t>
  </si>
  <si>
    <t>Transitional Turbine Installation $ 2003</t>
  </si>
  <si>
    <t>Transitional Turbine Installation $ kW $2003</t>
  </si>
  <si>
    <t>Offshore Transitional Depth Electrical Interface/Connect</t>
  </si>
  <si>
    <t>Support Structure Installation Cost</t>
  </si>
  <si>
    <t>Land Based</t>
  </si>
  <si>
    <t>Offshore Shallow Water &lt; 30 meters</t>
  </si>
  <si>
    <t>Offshore Deep Water &gt; 60 meters</t>
  </si>
  <si>
    <t>Offshore Transitional Depth &gt;30 &lt; 60 Meters</t>
  </si>
  <si>
    <t xml:space="preserve">Primary Inputs from Input &amp; Summary </t>
  </si>
  <si>
    <t>Blade Design</t>
  </si>
  <si>
    <t>Tower Design</t>
  </si>
  <si>
    <t>Drivetrain Design</t>
  </si>
  <si>
    <t>Max Tip Speed</t>
  </si>
  <si>
    <t xml:space="preserve">Nose Cone Mass = </t>
  </si>
  <si>
    <t>Nose Cone Mass = Mass Slope * Rotor Diameter + Mass Intercept</t>
  </si>
  <si>
    <t>Cost 2002 $ =</t>
  </si>
  <si>
    <t>Cost Escalator =</t>
  </si>
  <si>
    <t>Current Year Cost =</t>
  </si>
  <si>
    <t xml:space="preserve"> </t>
  </si>
  <si>
    <t>SPINNER, NOSE CONE</t>
  </si>
  <si>
    <t>PITCH MECHANISM &amp; BEARING</t>
  </si>
  <si>
    <t xml:space="preserve">Three blade mass = </t>
  </si>
  <si>
    <t xml:space="preserve">Total Pitch Sys Mass = </t>
  </si>
  <si>
    <t xml:space="preserve">Cost Escalator = </t>
  </si>
  <si>
    <t>HUB MASS AND COST</t>
  </si>
  <si>
    <t xml:space="preserve">Hub Mass = Slope * (blade mass/single blade) + Intercept </t>
  </si>
  <si>
    <t xml:space="preserve">Hub Mass = </t>
  </si>
  <si>
    <t xml:space="preserve">Hub Cost Factor = </t>
  </si>
  <si>
    <t>BLADE MASS &amp; COST</t>
  </si>
  <si>
    <t>PRINCIPLE TURBINE COMPONENTS AND SUBSYSTEMS</t>
  </si>
  <si>
    <t>LOW SPEED SHAFT</t>
  </si>
  <si>
    <t>Coefficient</t>
  </si>
  <si>
    <t>Cost Factor Look Up Table</t>
  </si>
  <si>
    <t>Mass Coefficient</t>
  </si>
  <si>
    <t>Mass Exponent</t>
  </si>
  <si>
    <t>Cost Coefficient</t>
  </si>
  <si>
    <t>Cost Exponent</t>
  </si>
  <si>
    <t>Low Speed Shaft Cost = Cost Coefficient * Rotor Diameter ^ Cost Exponent</t>
  </si>
  <si>
    <t>LS Shaft Mass =</t>
  </si>
  <si>
    <t xml:space="preserve">Current Year Cost = </t>
  </si>
  <si>
    <t>Baseline Blade Design</t>
  </si>
  <si>
    <t>Advanced Blade Design</t>
  </si>
  <si>
    <t xml:space="preserve">Single Blade Mass = </t>
  </si>
  <si>
    <t>Blade Mass = Mass Coefficient * Rotor Radius ^Mass Exponent</t>
  </si>
  <si>
    <t>Blade Cost including material</t>
  </si>
  <si>
    <t>Rotor Cost (3 blades)</t>
  </si>
  <si>
    <t>PPI Labor Escalator</t>
  </si>
  <si>
    <t>PPI Baseline Material Escalator</t>
  </si>
  <si>
    <t>PPI Advanced Material Escalator</t>
  </si>
  <si>
    <t>Rotor Current Year Cost =</t>
  </si>
  <si>
    <t>Blade Cost Current $ =</t>
  </si>
  <si>
    <t>Baseline Blade Cost = ((Baseline Material Slope*Radius^3 + Baseline Material Intercept)*Baseline Material Escalator + Labor Coefficient*(Radius^Labor Exponent)*Labor Escalator)/(1-0.28) (Per Blade)</t>
  </si>
  <si>
    <t>Advanced Blade Cost = ((Advanced Material Slope*Radius^3 + Advanced Material Intercept)*Advanced Material Escalator + Labor Coefficient*(Radius^Labor Exponent)*Labor Escalator)/(1-0.28) (Per Blade)</t>
  </si>
  <si>
    <t>BEARINGS</t>
  </si>
  <si>
    <t>Housing Mass =</t>
  </si>
  <si>
    <t>Combined Mass =</t>
  </si>
  <si>
    <t>Note:  All Mass is in Kilograms</t>
  </si>
  <si>
    <t>kg - Housing Mass is equal to Bearing mass</t>
  </si>
  <si>
    <t>GEARBOX</t>
  </si>
  <si>
    <t>Gearbox Mass = Mass Coefficient * Calculated Torque ^ Mass Exponent</t>
  </si>
  <si>
    <t>Hub Cost = Hub Cost Factor * Hub Mass</t>
  </si>
  <si>
    <t>Bearing Mass Slope</t>
  </si>
  <si>
    <t>Bearing Mass</t>
  </si>
  <si>
    <t>Bearing Mass = Mass Slope * Total Blade Mass (3 blades) + Intercept</t>
  </si>
  <si>
    <t>Bearing Mass Intercept</t>
  </si>
  <si>
    <t>Bearing Housing Percentage</t>
  </si>
  <si>
    <t>Total Mass System Offset</t>
  </si>
  <si>
    <t>Total Pitch System Mass = Bearing Mass + Bearing Mass *Housing % + Total Mass Offset</t>
  </si>
  <si>
    <t>Bearing Cost Coefficient</t>
  </si>
  <si>
    <t>Bearing Cost Exponent</t>
  </si>
  <si>
    <t>Bearing Cost = Bearing Coefficient * Rotor Diameter^Bearing Exponent</t>
  </si>
  <si>
    <t>Bearing Housing %</t>
  </si>
  <si>
    <t>Total Pitch System Cost = Bearing Cost + Bearing Cost * Bearing Housing %</t>
  </si>
  <si>
    <t>Pitch Bearing Mass</t>
  </si>
  <si>
    <t>Bearing Cost = Bearing Cost Coefficient * Rotor Diameter^Bearing Cost Exponent</t>
  </si>
  <si>
    <t xml:space="preserve">Bearing Cost 2002 $ = </t>
  </si>
  <si>
    <t xml:space="preserve">Bearing System Cost 2002 $ = </t>
  </si>
  <si>
    <t>Nose Cone Mass Slope</t>
  </si>
  <si>
    <t>Nose Cone Mass Intercept</t>
  </si>
  <si>
    <t>Nose Cone Cost Factor</t>
  </si>
  <si>
    <t>Nose Cone Cost = Nose Cone Mass * Nose Cone Cost Factor</t>
  </si>
  <si>
    <t>Nose Cone Cost 2002 $ =</t>
  </si>
  <si>
    <t>Bearing Mass =</t>
  </si>
  <si>
    <t>Bearing 1st Coefficient</t>
  </si>
  <si>
    <t>Bearing 2nd Coefficient</t>
  </si>
  <si>
    <t>Bearing Mass(kg) = 1st Coefficient*Rotor Diameter^3.5 + 2nd Coefficient * Rotor Diameter ^ 2.5</t>
  </si>
  <si>
    <t>Bearing Housing Cost = Bearing Cost</t>
  </si>
  <si>
    <t>Bearing System Cost = Total Bearing System Cost * Cost Factor</t>
  </si>
  <si>
    <t>Bearing System Cost Factor</t>
  </si>
  <si>
    <t>$/kg Covers Bearings and Housing</t>
  </si>
  <si>
    <t>Off Shore Site Preparation/Port &amp; Staging/Scour Protection</t>
  </si>
  <si>
    <t>Permits, engineering (Offshore)</t>
  </si>
  <si>
    <t>Permits, engineering (Land Based)</t>
  </si>
  <si>
    <t>OFFSHORE BOS TRANSITIONAL DEPTH</t>
  </si>
  <si>
    <t>OS SUPPORT STRUCTURE - SHALLOW</t>
  </si>
  <si>
    <t>OS TURBINE INSTALLATION - SHALLOW</t>
  </si>
  <si>
    <t>OS ELECTRICAL INTERFACE - SHALLOW</t>
  </si>
  <si>
    <t>OS SUPPORT STRUCTURE - TRANSITIONAL</t>
  </si>
  <si>
    <t>OS SUPPORT STRUCTURE INSTALLATION - TRANSITIONAL</t>
  </si>
  <si>
    <t>OS SUPPORT STRUCTURE TRANSPORTATION - TRANSITIONAL</t>
  </si>
  <si>
    <t>OS TURBINE TRANSPORT - TRANSITIONAL</t>
  </si>
  <si>
    <t>OS TURBINE INSTALL - TRANSITIONAL</t>
  </si>
  <si>
    <t>Transportation Cost = Cost Factor * Rating</t>
  </si>
  <si>
    <t>OS TRANSPORTATION - SHALLOW- LAND BASED TRANSPORTATION OF EQUIPMENT TO ASSEMBLY SITE</t>
  </si>
  <si>
    <t>Transportation Cost Factor $/kW = 1st Coefficient * Machine Rating^2 + 2nd Coefficient * Machine Rating + Intercept</t>
  </si>
  <si>
    <t>OSS Transportation Costs (Transportation of Turbine to OS Assembly)</t>
  </si>
  <si>
    <t>Warranty Premium % of Turbine &amp; Tower</t>
  </si>
  <si>
    <t>Warranty Premium = Warranty % * Turbine and Tower Cost</t>
  </si>
  <si>
    <t>Warranty Cost Current Year $ =</t>
  </si>
  <si>
    <t>$kW  in 2003</t>
  </si>
  <si>
    <t>LRC Cost in $ 2003 =</t>
  </si>
  <si>
    <t>Offshore O&amp;M Cost = O&amp;M Factor * Annual Energy Production</t>
  </si>
  <si>
    <t>O&amp;M Cost in $ 2003 =</t>
  </si>
  <si>
    <t xml:space="preserve">Offshore Lease Cost Factor </t>
  </si>
  <si>
    <t>Offshore Lease Cost = Cost Factor * Annual Energy Production</t>
  </si>
  <si>
    <t>Land Based &amp; Offshore Lease Cost</t>
  </si>
  <si>
    <t>OFFSHORE BALANCE OF STATION - SHALLOW WATER</t>
  </si>
  <si>
    <t>OFFSHORE BALANCE OF STATION AND OPERATING COSTS - ALL DEPTHS</t>
  </si>
  <si>
    <t>LAND BASED BALANCE OF STATION AND OPERATING COSTS</t>
  </si>
  <si>
    <t xml:space="preserve">Support Structure Cost Factor </t>
  </si>
  <si>
    <t>$kW in 2003</t>
  </si>
  <si>
    <t>Support Structure Cost =</t>
  </si>
  <si>
    <t>in $ 2003</t>
  </si>
  <si>
    <t xml:space="preserve">Turbine Install Cost Factor </t>
  </si>
  <si>
    <t>Turbine Installation Cost =</t>
  </si>
  <si>
    <t>Land Based Assembly &amp; installation</t>
  </si>
  <si>
    <t>Offshore Assembly &amp; installation</t>
  </si>
  <si>
    <t>OVER WATER TRANSPORTATION OF TURBINE IN INSTALLATION ABOVE</t>
  </si>
  <si>
    <t>OS Electrical Cost Factor</t>
  </si>
  <si>
    <t>Electrical Interface Cost =</t>
  </si>
  <si>
    <t>Land Based Elect interfc/connect (cost established based on transformer at 40%)</t>
  </si>
  <si>
    <t>Offshore Elect interfc/connect (cost established based on transformer at 5%)</t>
  </si>
  <si>
    <t xml:space="preserve">Suppt Struc Install Cost Factor </t>
  </si>
  <si>
    <t>Installation Cost =</t>
  </si>
  <si>
    <t>Bearing Cost $2002 =</t>
  </si>
  <si>
    <t>Housing Cost $2002 =</t>
  </si>
  <si>
    <t>Combined Cost $2002 =</t>
  </si>
  <si>
    <t>Cost in Current $ =</t>
  </si>
  <si>
    <t>Calculated RPM =</t>
  </si>
  <si>
    <t>Calculated Torque kNm =</t>
  </si>
  <si>
    <t>Gearbox Mass kgs =</t>
  </si>
  <si>
    <t>Gearbox Cost $2002 =</t>
  </si>
  <si>
    <t>Gearbox Current Year $ =</t>
  </si>
  <si>
    <t>Gearbox Cost = Cost Coefficient * Machine Rating ^ Cost Exponent</t>
  </si>
  <si>
    <t>MECHANICAL BRAKE, HIGH SPEED COUPLING AND ASSOCIATED COMPONENTS</t>
  </si>
  <si>
    <t>Mechanical Brake Mass kgs</t>
  </si>
  <si>
    <t>Cost Slope</t>
  </si>
  <si>
    <t>Cost Intercept</t>
  </si>
  <si>
    <t xml:space="preserve">Brake, Coupling Cost = Cost Slope * Machine Rating + Cost Intercept </t>
  </si>
  <si>
    <t xml:space="preserve">Brake, Coupling Mass = Cost/10 $/kg </t>
  </si>
  <si>
    <t>Brake Cost $2002 =</t>
  </si>
  <si>
    <t>Brake Current Year $ =</t>
  </si>
  <si>
    <t>Brake Mass =</t>
  </si>
  <si>
    <t>Generator Cost Coefficient Look Up Table</t>
  </si>
  <si>
    <t>Generator Mass Look Up Table (1-3 Based on Rating - 4 Based on Torque)</t>
  </si>
  <si>
    <t>Coefficient ($/kW)</t>
  </si>
  <si>
    <t>GENERATOR</t>
  </si>
  <si>
    <t xml:space="preserve">Generator Cost = Machine Rating * Cost Coefficient </t>
  </si>
  <si>
    <t>Generator Current Year $ =</t>
  </si>
  <si>
    <t>Generator Cost $2002 =</t>
  </si>
  <si>
    <t>Generator Mass =</t>
  </si>
  <si>
    <t>Generator Mass = Mass Coefficient * Machine Rating ^ Mass Exponent (All but Direct Drive)</t>
  </si>
  <si>
    <t>Generator Mass = Mass Coefficient * Torque ^ Mass Exponent (Only Direct Drive)</t>
  </si>
  <si>
    <t>VARIABLE SPEED ELECTRONICS</t>
  </si>
  <si>
    <t>Power Electronics Cost = Machine Rating * Cost Coefficient</t>
  </si>
  <si>
    <t>PE Cost $ 2002 =</t>
  </si>
  <si>
    <t>PE Cost Current Year $ =</t>
  </si>
  <si>
    <t>YAW DRIVE &amp; BEARING</t>
  </si>
  <si>
    <t xml:space="preserve">Yaw Drive Mass Coefficient </t>
  </si>
  <si>
    <t xml:space="preserve">Yaw Drive Mass Exponent </t>
  </si>
  <si>
    <t>Yaw Drive Cost Coefficient</t>
  </si>
  <si>
    <t>Yaw Drive Cost Exponent</t>
  </si>
  <si>
    <t>Total Yaw Drive Mass = 1.6 * (Mass Coefficient * Rotor Diameter ^ Mass Exponent)</t>
  </si>
  <si>
    <t>Total Yaw System Cost = 2 * (Cost Coefficient * Rotor Diameter ^ Cost Exponent)</t>
  </si>
  <si>
    <t>Yaw System Cost $2002 =</t>
  </si>
  <si>
    <t>Yaw System Mass =</t>
  </si>
  <si>
    <t>Yaw Cost Current Year $ =</t>
  </si>
  <si>
    <t>Mainframe Cost = Cost Coefficient * Rotor Diameter ^ Cost Coefficient</t>
  </si>
  <si>
    <t>Platforms and Railings = .125 * Mainframe Mass</t>
  </si>
  <si>
    <t>Platform and Railing Cost = Mass * $8.7/kg</t>
  </si>
  <si>
    <t>Service Crane = $12,000 in $2002 ( Will Vary with Design)</t>
  </si>
  <si>
    <t xml:space="preserve">Mainframe Cost $2002 = </t>
  </si>
  <si>
    <t>Total Cost Current Year $ =</t>
  </si>
  <si>
    <t>All Mainframe Comp $2002 =</t>
  </si>
  <si>
    <t>Base Hardware $2002 =</t>
  </si>
  <si>
    <t>Service Crane $2002 =</t>
  </si>
  <si>
    <t>Nacelle Platforms $2002 =</t>
  </si>
  <si>
    <t>Mainframe Mass =</t>
  </si>
  <si>
    <t>Nacelle Platforms =</t>
  </si>
  <si>
    <t>Service Crane =</t>
  </si>
  <si>
    <t>Total Mainframe mass =</t>
  </si>
  <si>
    <t xml:space="preserve">Base Hardware Cost = .7 * Total Mainframe Cost </t>
  </si>
  <si>
    <t>MAINFRAME</t>
  </si>
  <si>
    <t>Electrical Connection $/kW</t>
  </si>
  <si>
    <t>Electrical Connection Cost = Machine Rating * Electrical Connection Coefficient</t>
  </si>
  <si>
    <t>Electrical Cost in $ 2002 =</t>
  </si>
  <si>
    <t>Elec Connection Coefficient</t>
  </si>
  <si>
    <t xml:space="preserve">kg </t>
  </si>
  <si>
    <t>$/kW</t>
  </si>
  <si>
    <t>ELECTRICAL CONNECTIONS</t>
  </si>
  <si>
    <t>Hydraulic Mass Coefficient</t>
  </si>
  <si>
    <t>Hydraulic Cost Coefficient</t>
  </si>
  <si>
    <t>Hydraulic System Mass = Mass Coefficient * Machine Rating</t>
  </si>
  <si>
    <t>Hydraulic Cost = Cost Coefficient * Machine Rating</t>
  </si>
  <si>
    <t>Hydraulic Cost in $ 2002 =</t>
  </si>
  <si>
    <t>Hydraulic Mass =</t>
  </si>
  <si>
    <t>kg/kW</t>
  </si>
  <si>
    <t>HYDRAULIC, COOLING SYSTEM COST</t>
  </si>
  <si>
    <t>kg/$ cost</t>
  </si>
  <si>
    <t>kg/$ of Cost</t>
  </si>
  <si>
    <t>NACELLE COVER</t>
  </si>
  <si>
    <t>Nacelle Cost Slope</t>
  </si>
  <si>
    <t>Nacelle Cost Intercept</t>
  </si>
  <si>
    <t>Nacelle Mass Coefficient</t>
  </si>
  <si>
    <t>Surrety Cost Current Year $ =</t>
  </si>
  <si>
    <t>Surrety Bond = Surrety % * ICC (Not including Surrety and Warranty)</t>
  </si>
  <si>
    <t>Nacellec System Mass = Mass Coefficient * Nacelle Cost</t>
  </si>
  <si>
    <t>Nacelle Cost = Cost Slope * Machine Rating + Cost Intercept</t>
  </si>
  <si>
    <t>Nacelle Mass =</t>
  </si>
  <si>
    <t>Nacelle Cost in $ 2002 =</t>
  </si>
  <si>
    <t>LAND BASED CONTROL, SAFETY SYSTEM &amp; CONDITION MONITORING</t>
  </si>
  <si>
    <t>LAND BASED TRANSPORTATION</t>
  </si>
  <si>
    <t>LAND BASED ROADS &amp; CIVIL</t>
  </si>
  <si>
    <t>LAND BASED ASSEMBLY &amp; INSTALLATION</t>
  </si>
  <si>
    <t>LAND BASED ELECTRICAL INTERCONNECTION</t>
  </si>
  <si>
    <t>LAND BASED PERMITS &amp; ENGINEERING</t>
  </si>
  <si>
    <t>LAND BASED OPERATIONS AND MAINTENANCE</t>
  </si>
  <si>
    <t>LAND BASED LEASE COST</t>
  </si>
  <si>
    <t>Transportation Cost = Machine Rating * Cost Factor</t>
  </si>
  <si>
    <t>Transportation 1st Coefficient</t>
  </si>
  <si>
    <t>Transportation 2nd Coefficient</t>
  </si>
  <si>
    <t>Transportation Intercept</t>
  </si>
  <si>
    <t>Transportation Cost Factor $/kW = 1st Coefficient * Rating^2 + 2nd Coefficient * Rating + Intercept</t>
  </si>
  <si>
    <t>Trasnportation Cost = Cost Factor * Rating</t>
  </si>
  <si>
    <t>Transportation Cost in $ 2002 =</t>
  </si>
  <si>
    <t>Roads &amp; Civil 1st Coefficient</t>
  </si>
  <si>
    <t>Roads &amp; Civil Intercept</t>
  </si>
  <si>
    <t>Roads &amp; Civil Cost = Cost Factor * Machine Rating</t>
  </si>
  <si>
    <t>Roads &amp; Civil 2nd Coefficient</t>
  </si>
  <si>
    <t>Roads, Civil works Cost Factor $/kW = 1st Coefficient * Rating ^2 + 2nd Coefficient * Rating + 69.54</t>
  </si>
  <si>
    <t>Roads &amp; Civil Cost in $ 2002 =</t>
  </si>
  <si>
    <t>Assembly, Install Coefficient</t>
  </si>
  <si>
    <t>Assembly, Install Exponent</t>
  </si>
  <si>
    <t>Assembly and Installation Cost = Assembly Coefficient* (Hub Height* Rotor Diameter)^Assembly Exponent</t>
  </si>
  <si>
    <t>Assem &amp; Install Cost in $ 2002 =</t>
  </si>
  <si>
    <t>Elect Interface Intercept</t>
  </si>
  <si>
    <t>Elect Interface 1st Coefficient</t>
  </si>
  <si>
    <t>Elect Interface 2nd Coefficient</t>
  </si>
  <si>
    <t>Electrical Interface Cost = Cost Factor * Machine Rating</t>
  </si>
  <si>
    <t>Electrical Interface, Cost Factor $/kW = 1st Coefficient* Machine Rating^2 +2nd Coefficient * Rating + Intercept</t>
  </si>
  <si>
    <t>Elec Interface Cost in $ 2002 =</t>
  </si>
  <si>
    <t>GE 1.5sle</t>
  </si>
  <si>
    <t>Idealized Turbine power</t>
  </si>
  <si>
    <t>Permits &amp; Eng 1st Coefficient</t>
  </si>
  <si>
    <t>Permits &amp; Eng 2nd Coefficient</t>
  </si>
  <si>
    <t>Permits and Engineering Cost =1st Coefficient* Machine Rating^2+2nd Coefficient*Machine Rating</t>
  </si>
  <si>
    <t>Permits &amp; Eng Cost in $ 2002 =</t>
  </si>
  <si>
    <t>LAND BASED LEVELIZED REPLACEMENT (LRC) COST</t>
  </si>
  <si>
    <t>$kWh</t>
  </si>
  <si>
    <t xml:space="preserve">LRC Cost Factor </t>
  </si>
  <si>
    <t>LRC = LRC Cost Factor * Machine Rating</t>
  </si>
  <si>
    <t>$kW</t>
  </si>
  <si>
    <t xml:space="preserve">O&amp;M Cost Factor </t>
  </si>
  <si>
    <t>Land Based O&amp;M Cost = O&amp;M Factor * Annual Energy Production</t>
  </si>
  <si>
    <t>LRC Cost in $ 2002 =</t>
  </si>
  <si>
    <t xml:space="preserve">Land Based Lease Cost Factor </t>
  </si>
  <si>
    <t>Land Based Lease Cost = Cost Factor * Annual Energy Production</t>
  </si>
  <si>
    <t>O&amp;M Cost in $ 2002 =</t>
  </si>
  <si>
    <t>Lease Cost in $ 2002 =</t>
  </si>
  <si>
    <t>OS MARINIZATION</t>
  </si>
  <si>
    <t>OS PORT &amp; STAGING EQUIPMENT</t>
  </si>
  <si>
    <t>OS PERMITS, ENG, SITE ASSESS</t>
  </si>
  <si>
    <t>OS SCOUR PROTECTION</t>
  </si>
  <si>
    <t>OS SURETY BOND</t>
  </si>
  <si>
    <t>OS WARRANTY PREMIUM</t>
  </si>
  <si>
    <t>OS LRC</t>
  </si>
  <si>
    <t>OS O&amp;M</t>
  </si>
  <si>
    <t>OS LEASE COST</t>
  </si>
  <si>
    <t>OS PERSONNEL ACCESS EQUIPMENT</t>
  </si>
  <si>
    <t>% of Turbine &amp; Tower Cost</t>
  </si>
  <si>
    <t>OS Marinization = Cost Factor * Turbine and Tower Cost (Not Including BOS)</t>
  </si>
  <si>
    <t>Port &amp; Staging Cost Factor</t>
  </si>
  <si>
    <t>Port &amp; Staging Equipment Cost = Cost Factor * Machine Rating</t>
  </si>
  <si>
    <t>Port &amp; Staging Cost in $ 2002 =</t>
  </si>
  <si>
    <t>OS Permits, Eng, Cost Factor</t>
  </si>
  <si>
    <t>OS Permits, Engineering, and Site Assessment = Cost Factor * Machine Rating</t>
  </si>
  <si>
    <t>Permits, Eng Cost in $ 2002 =</t>
  </si>
  <si>
    <t>per turbine</t>
  </si>
  <si>
    <t>Scour Protection Cost Factor</t>
  </si>
  <si>
    <t>$kW 2003</t>
  </si>
  <si>
    <t>Access Eq Cost in $ 2002 =</t>
  </si>
  <si>
    <t>Scour Protect Cost in $ 2003 =</t>
  </si>
  <si>
    <t>Scour Protection = Cost Factor * Machine Rating</t>
  </si>
  <si>
    <t>From 2003</t>
  </si>
  <si>
    <t>Land Based Control, Safety System Cost per turbine</t>
  </si>
  <si>
    <t>LB Control, Safety System Cost per turbine</t>
  </si>
  <si>
    <t>Mass = Slope * Swept Area * Hub Height + Intercept</t>
  </si>
  <si>
    <t>Cost = Mass * Cost Coefficient</t>
  </si>
  <si>
    <t>Tower Cost Coefficient</t>
  </si>
  <si>
    <t>Company</t>
  </si>
  <si>
    <t>(-)</t>
  </si>
  <si>
    <t>Project</t>
  </si>
  <si>
    <t>Rated Power</t>
  </si>
  <si>
    <t>MW</t>
  </si>
  <si>
    <t>m</t>
  </si>
  <si>
    <t>Blade Length</t>
  </si>
  <si>
    <t>Hub Diameter</t>
  </si>
  <si>
    <t>Tower Top Mass</t>
  </si>
  <si>
    <t>90 - 100</t>
  </si>
  <si>
    <t>Tonnes</t>
  </si>
  <si>
    <t>Plot Current Design of Nacelle Mass</t>
  </si>
  <si>
    <t>Swept Area</t>
  </si>
  <si>
    <r>
      <t>m</t>
    </r>
    <r>
      <rPr>
        <vertAlign val="superscript"/>
        <sz val="10"/>
        <rFont val="Arial"/>
        <family val="2"/>
      </rPr>
      <t>2</t>
    </r>
  </si>
  <si>
    <t>Tower Top Mass (metric tons)</t>
  </si>
  <si>
    <t>Nacelle Mass (metric tons)</t>
  </si>
  <si>
    <t>Rotor Mass (metric tons) (from Cost Summary sheet)</t>
  </si>
  <si>
    <r>
      <t>Swept Area (m</t>
    </r>
    <r>
      <rPr>
        <vertAlign val="superscript"/>
        <sz val="10"/>
        <rFont val="Arial"/>
        <family val="2"/>
      </rPr>
      <t>2</t>
    </r>
    <r>
      <rPr>
        <sz val="10"/>
        <rFont val="Arial"/>
        <family val="2"/>
      </rPr>
      <t>)</t>
    </r>
  </si>
  <si>
    <t>Swept Area (m2)</t>
  </si>
  <si>
    <t>5 MW</t>
  </si>
  <si>
    <t>Generator tech</t>
  </si>
  <si>
    <t>Planetary</t>
  </si>
  <si>
    <t>10 MW</t>
  </si>
  <si>
    <t>Blade Mass (kg)</t>
  </si>
  <si>
    <t>mass/swept area</t>
  </si>
  <si>
    <t>Rotor Mass/Swept Area</t>
  </si>
  <si>
    <t>T/m^2</t>
  </si>
  <si>
    <t>Rotor Mass/Swetp Area</t>
  </si>
  <si>
    <t>Rating/Swept Area</t>
  </si>
  <si>
    <t>Single Stage</t>
  </si>
  <si>
    <t>AMSC Model</t>
  </si>
  <si>
    <t>Rotor Mass (metric tons) (from AMSC mass sheet)</t>
  </si>
  <si>
    <t>RePower 5M</t>
  </si>
  <si>
    <t>BARD 5.0</t>
  </si>
  <si>
    <r>
      <t>Shear Force (kN/m</t>
    </r>
    <r>
      <rPr>
        <vertAlign val="superscript"/>
        <sz val="10"/>
        <rFont val="Arial"/>
        <family val="2"/>
      </rPr>
      <t>2</t>
    </r>
    <r>
      <rPr>
        <sz val="10"/>
        <rFont val="Arial"/>
        <family val="2"/>
      </rPr>
      <t>)</t>
    </r>
  </si>
  <si>
    <t>Rating (kW)</t>
  </si>
  <si>
    <t>Mass (kg)</t>
  </si>
  <si>
    <t>Torque (kNm)</t>
  </si>
  <si>
    <t>Tip Speed (m/s)</t>
  </si>
  <si>
    <t>Input</t>
  </si>
  <si>
    <t>GE Protected Data</t>
  </si>
  <si>
    <t>Ave=</t>
  </si>
  <si>
    <r>
      <t>Density (kg/m</t>
    </r>
    <r>
      <rPr>
        <vertAlign val="superscript"/>
        <sz val="10"/>
        <rFont val="Arial"/>
        <family val="2"/>
      </rPr>
      <t>3</t>
    </r>
    <r>
      <rPr>
        <sz val="10"/>
        <rFont val="Arial"/>
        <family val="2"/>
      </rPr>
      <t>)</t>
    </r>
  </si>
  <si>
    <t>Blade Diameter (m)</t>
  </si>
  <si>
    <t>Rating (MW)</t>
  </si>
  <si>
    <t>Torque Density (Nm/kg)</t>
  </si>
  <si>
    <t>Variable Density Mass (kg)</t>
  </si>
  <si>
    <t>Lee Jay</t>
  </si>
  <si>
    <t>coefficient</t>
  </si>
  <si>
    <t>exponent</t>
  </si>
  <si>
    <t>Constant Density Mass (kg)</t>
  </si>
  <si>
    <t>N</t>
  </si>
  <si>
    <t>mm</t>
  </si>
  <si>
    <t>mPa</t>
  </si>
  <si>
    <t>Nm</t>
  </si>
  <si>
    <t>Airgap</t>
  </si>
  <si>
    <t xml:space="preserve">Generators per system </t>
  </si>
  <si>
    <t xml:space="preserve">kW per generator </t>
  </si>
  <si>
    <t xml:space="preserve">Approximate radius over stator, m </t>
  </si>
  <si>
    <t xml:space="preserve">Nominal airgap dia, m </t>
  </si>
  <si>
    <t xml:space="preserve">Poles per generator </t>
  </si>
  <si>
    <t xml:space="preserve">Frequency at rated, Hz </t>
  </si>
  <si>
    <t xml:space="preserve">Pr </t>
  </si>
  <si>
    <t xml:space="preserve">Wu </t>
  </si>
  <si>
    <t xml:space="preserve">Pu </t>
  </si>
  <si>
    <t xml:space="preserve">Zsu </t>
  </si>
  <si>
    <t xml:space="preserve">Actual airgap diameter, m </t>
  </si>
  <si>
    <t xml:space="preserve">Pole stack length, mm </t>
  </si>
  <si>
    <t xml:space="preserve">Active area, per generator, m^2 </t>
  </si>
  <si>
    <t xml:space="preserve">Total active area, m^2 </t>
  </si>
  <si>
    <t xml:space="preserve">Generator outside diameter, mm </t>
  </si>
  <si>
    <t xml:space="preserve">Electrical torque, Nm </t>
  </si>
  <si>
    <t xml:space="preserve">Shear stress, mPa </t>
  </si>
  <si>
    <t xml:space="preserve">Mainshaft bearing dia, front, mm </t>
  </si>
  <si>
    <t xml:space="preserve">Mainshaft bearing dia, rear, mm </t>
  </si>
  <si>
    <t xml:space="preserve">Attachment diameter to nacelle, mm </t>
  </si>
  <si>
    <t xml:space="preserve">Generator jacket thickness, mm </t>
  </si>
  <si>
    <t xml:space="preserve">Diameter of rotating spider, mm </t>
  </si>
  <si>
    <t xml:space="preserve">Diameter of armature rotor, mm </t>
  </si>
  <si>
    <t xml:space="preserve">Diameter of rotating iron, inner rim, mm </t>
  </si>
  <si>
    <t xml:space="preserve">Mean inner rim dia, rotor iron, mm </t>
  </si>
  <si>
    <t xml:space="preserve">Brake disc pitch dia, m </t>
  </si>
  <si>
    <t xml:space="preserve">Number brake calipers </t>
  </si>
  <si>
    <t xml:space="preserve">Main housing, kg </t>
  </si>
  <si>
    <t xml:space="preserve">Mainshaft, kg </t>
  </si>
  <si>
    <t xml:space="preserve">Gudgen shaft, kg </t>
  </si>
  <si>
    <t xml:space="preserve">Rotating spider, kg </t>
  </si>
  <si>
    <t xml:space="preserve">Armature rotor, kg </t>
  </si>
  <si>
    <t xml:space="preserve">Generator jacket , kg </t>
  </si>
  <si>
    <t xml:space="preserve">Gen outside ring support, kg </t>
  </si>
  <si>
    <t xml:space="preserve">Mainshaft bearings, kg </t>
  </si>
  <si>
    <t xml:space="preserve">Retainer, maishaft, kg </t>
  </si>
  <si>
    <t xml:space="preserve">Nacelle cover forward, kg </t>
  </si>
  <si>
    <t xml:space="preserve">Nacelle cover, rear, kg </t>
  </si>
  <si>
    <t xml:space="preserve">Brake disc, kg </t>
  </si>
  <si>
    <t xml:space="preserve">Total, kg </t>
  </si>
  <si>
    <t xml:space="preserve">Main housing, USD </t>
  </si>
  <si>
    <t xml:space="preserve">Mainshaft, USD </t>
  </si>
  <si>
    <t xml:space="preserve">Gudgen shaft, USD </t>
  </si>
  <si>
    <t xml:space="preserve">Rotating spider, USD </t>
  </si>
  <si>
    <t xml:space="preserve">Gen jacket, USD </t>
  </si>
  <si>
    <t xml:space="preserve">Gen outside ring support, USD </t>
  </si>
  <si>
    <t xml:space="preserve">Mainshaft bearings, USD </t>
  </si>
  <si>
    <t xml:space="preserve">Retainer,mainshaft, USD </t>
  </si>
  <si>
    <t xml:space="preserve">Nacelle covers, USD </t>
  </si>
  <si>
    <t xml:space="preserve">Assemble and test, USD </t>
  </si>
  <si>
    <t xml:space="preserve">Transport premium, USD </t>
  </si>
  <si>
    <t xml:space="preserve">Generator active magnetics, USD </t>
  </si>
  <si>
    <t xml:space="preserve">Brake system, USD </t>
  </si>
  <si>
    <t xml:space="preserve">Total cost, USD </t>
  </si>
  <si>
    <t xml:space="preserve">Generators, USD </t>
  </si>
  <si>
    <t xml:space="preserve">Nacelle cover, USD </t>
  </si>
  <si>
    <t xml:space="preserve">Nacelle structure, USD </t>
  </si>
  <si>
    <t xml:space="preserve">Transport prem, USD </t>
  </si>
  <si>
    <t xml:space="preserve">Total, USD </t>
  </si>
  <si>
    <t>Mainshaft RPM</t>
  </si>
  <si>
    <t>Design kW, mechanical</t>
  </si>
  <si>
    <t>Design kW, electrical</t>
  </si>
  <si>
    <t>Rotor back iron</t>
  </si>
  <si>
    <t>Gap shear stress</t>
  </si>
  <si>
    <t>Jacket thickness</t>
  </si>
  <si>
    <t>Caliper force/unit</t>
  </si>
  <si>
    <t>Magnet + pole gap thickness</t>
  </si>
  <si>
    <t>Stator pole height</t>
  </si>
  <si>
    <t>Slot depth</t>
  </si>
  <si>
    <t>Stator back iron</t>
  </si>
  <si>
    <t>Matl const, ductile</t>
  </si>
  <si>
    <t>Structural gen OD wall thick, min</t>
  </si>
  <si>
    <t>Pole pitch</t>
  </si>
  <si>
    <t>Size exponent</t>
  </si>
  <si>
    <t>base diameter</t>
  </si>
  <si>
    <t>Torque at rated</t>
  </si>
  <si>
    <t>August 2003 • NREL/SR-500-33196
Alternative Design Study Report: WindPACT Advanced Wind Turbine Drive Train Designs Study (Direct Drive Section - Appendix C - Pg. C17-C19)
November 1, 2000 – February 28, 2002
R. Poore and T. Lettenmaier - Global Energy Concepts, LLC - Kirkland, Washington</t>
  </si>
  <si>
    <t>GEC WindPACT Data</t>
  </si>
  <si>
    <t>Generator Cost (2002 USD)</t>
  </si>
  <si>
    <t>Variable Density Function (GE Based)</t>
  </si>
  <si>
    <t>psi</t>
  </si>
  <si>
    <r>
      <t>kN/m</t>
    </r>
    <r>
      <rPr>
        <vertAlign val="superscript"/>
        <sz val="10"/>
        <rFont val="Arial"/>
        <family val="2"/>
      </rPr>
      <t>2</t>
    </r>
  </si>
  <si>
    <t>Rotor Weight (kg)</t>
  </si>
  <si>
    <t>Rotor Torque (Nm)</t>
  </si>
  <si>
    <t>Outside Diameter (m)</t>
  </si>
  <si>
    <t>Inner Diameter (m)</t>
  </si>
  <si>
    <t>Length of Shaft (m)</t>
  </si>
  <si>
    <t>Mass of Shaft (kg)</t>
  </si>
  <si>
    <t>Calculation Numbers</t>
  </si>
  <si>
    <t>Hollowness</t>
  </si>
  <si>
    <t>Bending Moment</t>
  </si>
  <si>
    <t>Bending Load</t>
  </si>
  <si>
    <t>Moment arm</t>
  </si>
  <si>
    <t>Steel Density</t>
  </si>
  <si>
    <t>Rated Wind Speed (m/s)</t>
  </si>
  <si>
    <t>Rotor Speed (rpm)</t>
  </si>
  <si>
    <t>Input Machine Rating</t>
  </si>
  <si>
    <t xml:space="preserve"> = Rotor Diameter * 0.03</t>
  </si>
  <si>
    <t xml:space="preserve"> = Outer Shaft Diameter * 0.1</t>
  </si>
  <si>
    <t xml:space="preserve"> = Bending Load * Moment arm</t>
  </si>
  <si>
    <t xml:space="preserve"> = Mass of Rotor * Saftey factor of 1.25 * Gravitational Acceleration</t>
  </si>
  <si>
    <t xml:space="preserve"> = Length of Low Speed Shaft / 5</t>
  </si>
  <si>
    <t xml:space="preserve">Low Speed Shaft Outside Diamter = </t>
  </si>
  <si>
    <t xml:space="preserve"> = 1 / ( 1 - (Inner Diameter / Outer Diameter) ^ 4 )</t>
  </si>
  <si>
    <t xml:space="preserve"> = Volume of Low Speed Shaft * Steel Density * 1.25 (for flange mass)</t>
  </si>
  <si>
    <t>Low Speed Shaft Mass</t>
  </si>
  <si>
    <t>Mass From Torque (kg)</t>
  </si>
  <si>
    <t>Mass From Thrust (kg)</t>
  </si>
  <si>
    <t>Mass From Rotor Weight (kg)</t>
  </si>
  <si>
    <t>Mass From Area (kg)</t>
  </si>
  <si>
    <t>Bedplate Weight Factor</t>
  </si>
  <si>
    <t>Tower Top Diameter (m)</t>
  </si>
  <si>
    <r>
      <t>Bedplate Area (m</t>
    </r>
    <r>
      <rPr>
        <vertAlign val="superscript"/>
        <sz val="11"/>
        <color indexed="8"/>
        <rFont val="Calibri"/>
        <family val="2"/>
      </rPr>
      <t>2</t>
    </r>
    <r>
      <rPr>
        <sz val="10"/>
        <rFont val="Arial"/>
        <family val="2"/>
      </rPr>
      <t>)</t>
    </r>
  </si>
  <si>
    <t>Bedplate Length (m)</t>
  </si>
  <si>
    <t>Maximum Thrust (N)</t>
  </si>
  <si>
    <t>Axial Thrust Coefficient</t>
  </si>
  <si>
    <t>Main Frame Mass</t>
  </si>
  <si>
    <t>Mass Table</t>
  </si>
  <si>
    <t>Calculated Mass</t>
  </si>
  <si>
    <t>Mainframe Mass = Mass Coefficient * Rotor Diameter ^ Mass Exponent (Design Type 2 &amp; 3)</t>
  </si>
  <si>
    <r>
      <t>Bedplate Area (m</t>
    </r>
    <r>
      <rPr>
        <b/>
        <vertAlign val="superscript"/>
        <sz val="11"/>
        <color indexed="8"/>
        <rFont val="Calibri"/>
        <family val="2"/>
      </rPr>
      <t>2</t>
    </r>
    <r>
      <rPr>
        <b/>
        <sz val="10"/>
        <rFont val="Arial"/>
        <family val="2"/>
      </rPr>
      <t>)</t>
    </r>
  </si>
  <si>
    <t xml:space="preserve"> = Bedplate Weight Factor * 0.00368 * Rotor Torque</t>
  </si>
  <si>
    <t xml:space="preserve"> = 0.00158 * Bedplate Weight Factor * Max Thrust * Tower Top Diam</t>
  </si>
  <si>
    <t xml:space="preserve"> = 0.015 * Bedplate Weight Factor * Rotor Mass * Tower Top Diam</t>
  </si>
  <si>
    <t xml:space="preserve"> = 100 * Bedplate Weight Factor * Bedplate Area</t>
  </si>
  <si>
    <t xml:space="preserve"> = Sum of Mass from: Torque, Thrust, Rotor Weight, and Area</t>
  </si>
  <si>
    <r>
      <t xml:space="preserve"> = (Bedplate Length)</t>
    </r>
    <r>
      <rPr>
        <vertAlign val="superscript"/>
        <sz val="10"/>
        <rFont val="Arial"/>
        <family val="2"/>
      </rPr>
      <t>2</t>
    </r>
    <r>
      <rPr>
        <sz val="10"/>
        <rFont val="Arial"/>
        <family val="2"/>
      </rPr>
      <t xml:space="preserve">  /  2</t>
    </r>
  </si>
  <si>
    <t xml:space="preserve"> = 1.5874 * 0.052 * Rotor Diameter</t>
  </si>
  <si>
    <t xml:space="preserve">Maximum Thrust (N) = </t>
  </si>
  <si>
    <r>
      <t>Axial Thrust Coefficient (C</t>
    </r>
    <r>
      <rPr>
        <b/>
        <vertAlign val="subscript"/>
        <sz val="10"/>
        <rFont val="Arial"/>
        <family val="2"/>
      </rPr>
      <t>t</t>
    </r>
    <r>
      <rPr>
        <b/>
        <sz val="10"/>
        <rFont val="Arial"/>
        <family val="2"/>
      </rPr>
      <t>)</t>
    </r>
  </si>
  <si>
    <t>Hollowness (H)</t>
  </si>
  <si>
    <t>Geared</t>
  </si>
  <si>
    <t>PM Direct Drive</t>
  </si>
  <si>
    <t xml:space="preserve">Single Stage </t>
  </si>
  <si>
    <t>Multidrive (6)</t>
  </si>
  <si>
    <t>PM DD</t>
  </si>
  <si>
    <t>Multi Drive</t>
  </si>
  <si>
    <r>
      <t>P/P</t>
    </r>
    <r>
      <rPr>
        <vertAlign val="subscript"/>
        <sz val="11"/>
        <color indexed="8"/>
        <rFont val="Calibri"/>
        <family val="2"/>
      </rPr>
      <t>rated</t>
    </r>
  </si>
  <si>
    <t>WindPACT</t>
  </si>
  <si>
    <t>Model</t>
  </si>
  <si>
    <t xml:space="preserve"> Variation</t>
  </si>
  <si>
    <t>AAER A-1500_70</t>
  </si>
  <si>
    <t>AAER A-1500_77</t>
  </si>
  <si>
    <t>AWE 52-900</t>
  </si>
  <si>
    <t>AWE 54-900</t>
  </si>
  <si>
    <t>Bonus 1300</t>
  </si>
  <si>
    <t>DeWind D8(8.2)</t>
  </si>
  <si>
    <t>Zond Z-40</t>
  </si>
  <si>
    <t>Zond Z-50/750</t>
  </si>
  <si>
    <t>FL 1500_70</t>
  </si>
  <si>
    <t>FL 1500_77</t>
  </si>
  <si>
    <t>FL 2500_80</t>
  </si>
  <si>
    <t>FL 2500_90</t>
  </si>
  <si>
    <t>FL 2500_100</t>
  </si>
  <si>
    <t>Gamesa G52 800</t>
  </si>
  <si>
    <t>Gamesa G52 850</t>
  </si>
  <si>
    <t>Gamesa G80 2.0MW</t>
  </si>
  <si>
    <t>Gamesa G87 2.0 MW</t>
  </si>
  <si>
    <t>Gamesa G90 2.0 MW</t>
  </si>
  <si>
    <t>GE 1.5 xle</t>
  </si>
  <si>
    <t>GE 2.5xl</t>
  </si>
  <si>
    <t>NEG Micon multi-power 44/750</t>
  </si>
  <si>
    <t>NEG Micon multi-power 48/750</t>
  </si>
  <si>
    <t>NM 52 900</t>
  </si>
  <si>
    <t>NM 72C 1500</t>
  </si>
  <si>
    <t>NM82 1650</t>
  </si>
  <si>
    <t>Nordex N43/600</t>
  </si>
  <si>
    <t>Nordex N60/1300</t>
  </si>
  <si>
    <t>Nordex N90/2300</t>
  </si>
  <si>
    <t>Nordex N80/2500</t>
  </si>
  <si>
    <t>Nordex N90/2500 HS</t>
  </si>
  <si>
    <t>Nordex N90/2500 LS</t>
  </si>
  <si>
    <t>Nordex N100/2500</t>
  </si>
  <si>
    <t>RePower MM 82</t>
  </si>
  <si>
    <t>RePower MM 92</t>
  </si>
  <si>
    <t>RePower 3XM</t>
  </si>
  <si>
    <t>TW-600e</t>
  </si>
  <si>
    <t>Tacke T600-48</t>
  </si>
  <si>
    <t>V42-600</t>
  </si>
  <si>
    <t>V44-600</t>
  </si>
  <si>
    <t>V47 660</t>
  </si>
  <si>
    <t>V82-1.65</t>
  </si>
  <si>
    <t>V80-1.8</t>
  </si>
  <si>
    <t>V80-2.0</t>
  </si>
  <si>
    <t>V90-1.8</t>
  </si>
  <si>
    <t>V90-2.0</t>
  </si>
  <si>
    <t>V90-3.0</t>
  </si>
  <si>
    <t>V100-1.8</t>
  </si>
  <si>
    <t>V112-3.0</t>
  </si>
  <si>
    <t>V52-850</t>
  </si>
  <si>
    <t>V66-1650</t>
  </si>
  <si>
    <t>Capacity (kW)</t>
  </si>
  <si>
    <t>Machine Rating (kW)</t>
  </si>
  <si>
    <t>I,II</t>
  </si>
  <si>
    <t>II,III</t>
  </si>
  <si>
    <t>II</t>
  </si>
  <si>
    <t>III</t>
  </si>
  <si>
    <t>unknown</t>
  </si>
  <si>
    <t>Class S</t>
  </si>
  <si>
    <t>Class IIb</t>
  </si>
  <si>
    <t>Class IIa</t>
  </si>
  <si>
    <t>Class Ia</t>
  </si>
  <si>
    <t>I/II</t>
  </si>
  <si>
    <t>not listed</t>
  </si>
  <si>
    <t>Ia</t>
  </si>
  <si>
    <t>IIa</t>
  </si>
  <si>
    <t>IIIa</t>
  </si>
  <si>
    <t>IIIb</t>
  </si>
  <si>
    <t>IIb/IIIa</t>
  </si>
  <si>
    <t>I</t>
  </si>
  <si>
    <t>Ia/IIa</t>
  </si>
  <si>
    <t>IIa/IIIa</t>
  </si>
  <si>
    <t>DRIVE TRAIN EFFICIENCIES</t>
  </si>
  <si>
    <t>Composite IEC Class I (1.5 MW)</t>
  </si>
  <si>
    <t>Composite IEC Class II (1.5 MW)</t>
  </si>
  <si>
    <t>Composite IEC Class III (1.5 MW)</t>
  </si>
  <si>
    <t>Composite IEC Class I (3.5 MW)</t>
  </si>
  <si>
    <t>Composite IEC Class I (5 MW)</t>
  </si>
  <si>
    <t>Composite IEC Class II (3.5 MW)</t>
  </si>
  <si>
    <t>Composite IEC Class II (5 MW)</t>
  </si>
  <si>
    <t>Composite IEC Class III (3.5 MW)</t>
  </si>
  <si>
    <t>Composite IEC Class III (5 MW)</t>
  </si>
  <si>
    <t>Rated Hub Power</t>
  </si>
  <si>
    <t>Input Rated Hub Power</t>
  </si>
  <si>
    <t>Rated Hub Power (kW)</t>
  </si>
  <si>
    <t>Discount Rate</t>
  </si>
  <si>
    <t>Construction Time (years)</t>
  </si>
  <si>
    <t>Project Lifetime (years)</t>
  </si>
  <si>
    <t>LCOE ($/kWh)</t>
  </si>
  <si>
    <t>Amortization Factor</t>
  </si>
  <si>
    <t>Discount Rate LCOE calculation</t>
  </si>
  <si>
    <t>BONS</t>
  </si>
  <si>
    <t>Other non-residential construction</t>
  </si>
  <si>
    <t>Previously through June 2010</t>
  </si>
  <si>
    <t>Note: Data are adjusted from new 2010 baseline in accord with historical  BHWY PPI Values</t>
  </si>
  <si>
    <t>Note: Data are adjusted from new 2010 baseline in accord with historical  BHVY PPI Values</t>
  </si>
  <si>
    <t>Note:  Data for Q2 of 2011 is preliminary and has not been finalized.</t>
  </si>
  <si>
    <t>From gdpchg.xls downloaded from BEA website 1/2012 (http://www.bea.gov/national/index.htm#gdp)</t>
  </si>
  <si>
    <t>N/A</t>
  </si>
  <si>
    <t>PCU3272123272121Z</t>
  </si>
  <si>
    <t>PCUBONS--BONS--</t>
  </si>
  <si>
    <t>List of PPI for updating</t>
  </si>
  <si>
    <t>AWE 52-750</t>
  </si>
  <si>
    <t>Clipper Liberty C99</t>
  </si>
  <si>
    <t>Clipper Liberty C96</t>
  </si>
  <si>
    <t>Clipper Liberty C93</t>
  </si>
  <si>
    <t>Clipper Liberty C89</t>
  </si>
  <si>
    <t>DeWind D9.0</t>
  </si>
  <si>
    <t>DeWind D9.1</t>
  </si>
  <si>
    <t>DeWind D9.2</t>
  </si>
  <si>
    <t>Mitsubishi MWT 1000</t>
  </si>
  <si>
    <t>Mitsubishi MWT 1000A</t>
  </si>
  <si>
    <t>Mitsubishi MWT 92/2.4</t>
  </si>
  <si>
    <t>Mitsubishi MWT 95/2.4</t>
  </si>
  <si>
    <t>Areva M5000-116 (Multibrid m5000)</t>
  </si>
  <si>
    <t>Pioneer P-1650_77</t>
  </si>
  <si>
    <t>Pioneer P-1650_82</t>
  </si>
  <si>
    <t>Siemens SWT 2.3 MW-93</t>
  </si>
  <si>
    <t>Siemens SWT 3.6 MW-107</t>
  </si>
  <si>
    <t>Siemens SWT 2.3_82</t>
  </si>
  <si>
    <t>Siemens SWT 2.3_101</t>
  </si>
  <si>
    <t>Siemens SWT 2.3_108</t>
  </si>
  <si>
    <t>Siemens SWT 2.3_113</t>
  </si>
  <si>
    <t>Siemens SWT 3.6_120</t>
  </si>
  <si>
    <t>Suzlon S64/950</t>
  </si>
  <si>
    <t>Suzlon S64/1250</t>
  </si>
  <si>
    <t>Suzlon S88</t>
  </si>
  <si>
    <t>Suzlon S52 600</t>
  </si>
  <si>
    <t>Suzlon S82 1.5</t>
  </si>
  <si>
    <t>V80-2.0 Gridstreamer</t>
  </si>
  <si>
    <t>V90-1.8 Gridstreamer</t>
  </si>
  <si>
    <t>V90-2.0 Gridstreamer</t>
  </si>
  <si>
    <t>V100-2.0 MW (60 Hz)</t>
  </si>
  <si>
    <t>V100-1.8 Gridstreamer</t>
  </si>
  <si>
    <t>V100-2.6 MW</t>
  </si>
  <si>
    <t>V112-3.0 (S)</t>
  </si>
  <si>
    <t>V112-3.0 Offshore</t>
  </si>
  <si>
    <t>V164-7.0 MW</t>
  </si>
  <si>
    <t>Iia</t>
  </si>
  <si>
    <t>Ia/IIIa</t>
  </si>
  <si>
    <t>Iib</t>
  </si>
  <si>
    <t>Iia/IIIa</t>
  </si>
  <si>
    <t>S</t>
  </si>
  <si>
    <t>Ib</t>
  </si>
  <si>
    <t>Based on Combined Land Based-Offshore Turbine Cost Model. V2.01.12</t>
  </si>
  <si>
    <t>ROLLED INTO DRIVETRAIN</t>
  </si>
  <si>
    <t>1.9 MW $/kW (BASELINE)</t>
  </si>
  <si>
    <t>1.9 MW $/kW (ADV Rotor)</t>
  </si>
  <si>
    <t>1.9 MW $/kW (ADV Both)</t>
  </si>
  <si>
    <t>lambda</t>
  </si>
  <si>
    <t>Weibull CDF</t>
  </si>
  <si>
    <t>Cumulative Bin</t>
  </si>
  <si>
    <t>Turbine Energy / 4</t>
  </si>
  <si>
    <t>Cumulative Bin SHIFTED</t>
  </si>
  <si>
    <t>turbine energy (SAM 2015.1.30 and previous)</t>
  </si>
  <si>
    <t>TURBINE ENERGY SHIFTED- updated in SAM 2015.3.XX</t>
  </si>
  <si>
    <t>other method replicated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</si>
</sst>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5" formatCode="&quot;$&quot;#,##0_);\(&quot;$&quot;#,##0\)"/>
    <numFmt numFmtId="6" formatCode="&quot;$&quot;#,##0_);[Red]\(&quot;$&quot;#,##0\)"/>
    <numFmt numFmtId="44" formatCode="_(&quot;$&quot;* #,##0.00_);_(&quot;$&quot;* \(#,##0.00\);_(&quot;$&quot;* &quot;-&quot;??_);_(@_)"/>
    <numFmt numFmtId="43" formatCode="_(* #,##0.00_);_(* \(#,##0.00\);_(* &quot;-&quot;??_);_(@_)"/>
    <numFmt numFmtId="164" formatCode="&quot;$&quot;#,##0.00"/>
    <numFmt numFmtId="165" formatCode="&quot;$&quot;#,##0"/>
    <numFmt numFmtId="166" formatCode="0.0000"/>
    <numFmt numFmtId="167" formatCode="0.0"/>
    <numFmt numFmtId="168" formatCode="0.000"/>
    <numFmt numFmtId="169" formatCode="0.0%"/>
    <numFmt numFmtId="170" formatCode="&quot;$&quot;#,##0.000"/>
    <numFmt numFmtId="171" formatCode="&quot;$&quot;#,##0.0000"/>
    <numFmt numFmtId="172" formatCode="_(&quot;$&quot;* #,##0.0_);_(&quot;$&quot;* \(#,##0.0\);_(&quot;$&quot;* &quot;-&quot;??_);_(@_)"/>
    <numFmt numFmtId="173" formatCode="_(&quot;$&quot;* #,##0_);_(&quot;$&quot;* \(#,##0\);_(&quot;$&quot;* &quot;-&quot;??_);_(@_)"/>
    <numFmt numFmtId="174" formatCode="0.00000"/>
    <numFmt numFmtId="175" formatCode="#,##0.0"/>
    <numFmt numFmtId="176" formatCode="#,##0.000"/>
    <numFmt numFmtId="177" formatCode="_(* #,##0_);_(* \(#,##0\);_(* &quot;-&quot;??_);_(@_)"/>
    <numFmt numFmtId="178" formatCode="#,##0.0_);\(#,##0.0\)"/>
    <numFmt numFmtId="179" formatCode="&quot;$&quot;#,##0.00000"/>
    <numFmt numFmtId="180" formatCode="0.000%"/>
    <numFmt numFmtId="181" formatCode="#,##0.0000"/>
    <numFmt numFmtId="182" formatCode="0.0000E+00"/>
    <numFmt numFmtId="183" formatCode="######"/>
    <numFmt numFmtId="184" formatCode="0.0000%"/>
    <numFmt numFmtId="185" formatCode="#0.0"/>
    <numFmt numFmtId="186" formatCode="_(* #,##0.0000_);_(* \(#,##0.0000\);_(* &quot;-&quot;??_);_(@_)"/>
    <numFmt numFmtId="187" formatCode="&quot;$&quot;#,##0.0000000"/>
  </numFmts>
  <fonts count="55" x14ac:knownFonts="1">
    <font>
      <sz val="10"/>
      <name val="Arial"/>
    </font>
    <font>
      <sz val="11"/>
      <color theme="1"/>
      <name val="Calibri"/>
      <family val="2"/>
      <scheme val="minor"/>
    </font>
    <font>
      <sz val="10"/>
      <name val="Arial"/>
      <family val="2"/>
    </font>
    <font>
      <sz val="8"/>
      <name val="Arial"/>
      <family val="2"/>
    </font>
    <font>
      <b/>
      <sz val="10"/>
      <name val="Arial"/>
      <family val="2"/>
    </font>
    <font>
      <sz val="10"/>
      <name val="Arial"/>
      <family val="2"/>
    </font>
    <font>
      <sz val="10"/>
      <color indexed="8"/>
      <name val="Arial"/>
      <family val="2"/>
    </font>
    <font>
      <b/>
      <sz val="10"/>
      <color indexed="8"/>
      <name val="Arial"/>
      <family val="2"/>
    </font>
    <font>
      <b/>
      <sz val="10"/>
      <color indexed="39"/>
      <name val="Arial"/>
      <family val="2"/>
    </font>
    <font>
      <b/>
      <u/>
      <sz val="10"/>
      <name val="Arial"/>
      <family val="2"/>
    </font>
    <font>
      <sz val="10"/>
      <color indexed="22"/>
      <name val="Arial"/>
      <family val="2"/>
    </font>
    <font>
      <i/>
      <sz val="10"/>
      <name val="Arial"/>
      <family val="2"/>
    </font>
    <font>
      <b/>
      <sz val="8"/>
      <color indexed="81"/>
      <name val="Tahoma"/>
      <family val="2"/>
    </font>
    <font>
      <sz val="8"/>
      <color indexed="81"/>
      <name val="Tahoma"/>
      <family val="2"/>
    </font>
    <font>
      <vertAlign val="subscript"/>
      <sz val="10"/>
      <name val="Arial"/>
      <family val="2"/>
    </font>
    <font>
      <vertAlign val="superscript"/>
      <sz val="10"/>
      <name val="Arial"/>
      <family val="2"/>
    </font>
    <font>
      <b/>
      <sz val="10"/>
      <color indexed="81"/>
      <name val="Tahoma"/>
      <family val="2"/>
    </font>
    <font>
      <sz val="10"/>
      <color indexed="81"/>
      <name val="Tahoma"/>
      <family val="2"/>
    </font>
    <font>
      <sz val="10"/>
      <color indexed="8"/>
      <name val="Verdana"/>
      <family val="2"/>
    </font>
    <font>
      <b/>
      <sz val="10"/>
      <color indexed="26"/>
      <name val="Verdana"/>
      <family val="2"/>
    </font>
    <font>
      <b/>
      <sz val="8"/>
      <name val="Arial"/>
      <family val="2"/>
    </font>
    <font>
      <b/>
      <sz val="10"/>
      <color indexed="10"/>
      <name val="Tahoma"/>
      <family val="2"/>
    </font>
    <font>
      <b/>
      <sz val="10"/>
      <color indexed="12"/>
      <name val="Arial"/>
      <family val="2"/>
    </font>
    <font>
      <sz val="10"/>
      <color indexed="10"/>
      <name val="Arial"/>
      <family val="2"/>
    </font>
    <font>
      <b/>
      <sz val="10"/>
      <color indexed="10"/>
      <name val="Arial"/>
      <family val="2"/>
    </font>
    <font>
      <sz val="10"/>
      <color indexed="22"/>
      <name val="Arial"/>
      <family val="2"/>
    </font>
    <font>
      <b/>
      <u/>
      <sz val="10"/>
      <color indexed="12"/>
      <name val="Arial"/>
      <family val="2"/>
    </font>
    <font>
      <u/>
      <sz val="10"/>
      <name val="Arial"/>
      <family val="2"/>
    </font>
    <font>
      <b/>
      <sz val="10"/>
      <color indexed="53"/>
      <name val="Arial"/>
      <family val="2"/>
    </font>
    <font>
      <sz val="10"/>
      <name val="Verdana"/>
      <family val="2"/>
    </font>
    <font>
      <sz val="10"/>
      <name val="Arial Unicode MS"/>
      <family val="2"/>
    </font>
    <font>
      <b/>
      <sz val="10"/>
      <name val="Arial Unicode MS"/>
      <family val="2"/>
    </font>
    <font>
      <sz val="14"/>
      <name val="Arial"/>
      <family val="2"/>
    </font>
    <font>
      <vertAlign val="superscript"/>
      <sz val="11"/>
      <color indexed="8"/>
      <name val="Calibri"/>
      <family val="2"/>
    </font>
    <font>
      <b/>
      <vertAlign val="superscript"/>
      <sz val="11"/>
      <color indexed="8"/>
      <name val="Calibri"/>
      <family val="2"/>
    </font>
    <font>
      <b/>
      <vertAlign val="subscript"/>
      <sz val="10"/>
      <name val="Arial"/>
      <family val="2"/>
    </font>
    <font>
      <sz val="10"/>
      <name val="Arial"/>
      <family val="2"/>
    </font>
    <font>
      <vertAlign val="subscript"/>
      <sz val="11"/>
      <color indexed="8"/>
      <name val="Calibri"/>
      <family val="2"/>
    </font>
    <font>
      <b/>
      <sz val="12"/>
      <name val="Arial"/>
      <family val="2"/>
    </font>
    <font>
      <i/>
      <sz val="8"/>
      <color indexed="81"/>
      <name val="Tahoma"/>
      <family val="2"/>
    </font>
    <font>
      <sz val="11"/>
      <name val="Arial"/>
      <family val="2"/>
    </font>
    <font>
      <sz val="11"/>
      <color theme="1"/>
      <name val="Calibri"/>
      <family val="2"/>
      <scheme val="minor"/>
    </font>
    <font>
      <sz val="11"/>
      <name val="Calibri"/>
      <family val="2"/>
      <scheme val="minor"/>
    </font>
    <font>
      <b/>
      <u/>
      <sz val="10"/>
      <color rgb="FF0000FF"/>
      <name val="Arial"/>
      <family val="2"/>
    </font>
    <font>
      <i/>
      <sz val="12"/>
      <color rgb="FFFF0000"/>
      <name val="Arial"/>
      <family val="2"/>
    </font>
    <font>
      <sz val="10"/>
      <name val="Arial"/>
      <family val="2"/>
    </font>
    <font>
      <b/>
      <i/>
      <sz val="10"/>
      <name val="Verdana"/>
      <family val="2"/>
    </font>
    <font>
      <sz val="12"/>
      <name val="Times New Roman"/>
      <family val="1"/>
    </font>
    <font>
      <sz val="9"/>
      <color indexed="81"/>
      <name val="Tahoma"/>
      <family val="2"/>
    </font>
    <font>
      <b/>
      <sz val="9"/>
      <color indexed="81"/>
      <name val="Tahoma"/>
      <family val="2"/>
    </font>
    <font>
      <u/>
      <sz val="10"/>
      <color theme="10"/>
      <name val="Arial"/>
      <family val="2"/>
    </font>
    <font>
      <u/>
      <sz val="10"/>
      <color theme="11"/>
      <name val="Arial"/>
      <family val="2"/>
    </font>
    <font>
      <b/>
      <i/>
      <sz val="11"/>
      <color theme="1"/>
      <name val="Calibri"/>
      <family val="2"/>
      <scheme val="minor"/>
    </font>
    <font>
      <sz val="11"/>
      <color rgb="FF006100"/>
      <name val="Calibri"/>
      <family val="2"/>
      <scheme val="minor"/>
    </font>
    <font>
      <sz val="11"/>
      <color rgb="FF9C0006"/>
      <name val="Calibri"/>
      <family val="2"/>
      <scheme val="minor"/>
    </font>
  </fonts>
  <fills count="29">
    <fill>
      <patternFill patternType="none"/>
    </fill>
    <fill>
      <patternFill patternType="gray125"/>
    </fill>
    <fill>
      <patternFill patternType="solid">
        <fgColor indexed="32"/>
        <bgColor indexed="64"/>
      </patternFill>
    </fill>
    <fill>
      <patternFill patternType="solid">
        <fgColor indexed="41"/>
        <bgColor indexed="64"/>
      </patternFill>
    </fill>
    <fill>
      <patternFill patternType="solid">
        <fgColor indexed="9"/>
        <bgColor indexed="64"/>
      </patternFill>
    </fill>
    <fill>
      <patternFill patternType="solid">
        <fgColor indexed="47"/>
        <bgColor indexed="64"/>
      </patternFill>
    </fill>
    <fill>
      <patternFill patternType="solid">
        <fgColor indexed="45"/>
        <bgColor indexed="64"/>
      </patternFill>
    </fill>
    <fill>
      <patternFill patternType="solid">
        <fgColor indexed="30"/>
        <bgColor indexed="64"/>
      </patternFill>
    </fill>
    <fill>
      <patternFill patternType="solid">
        <fgColor indexed="46"/>
        <bgColor indexed="64"/>
      </patternFill>
    </fill>
    <fill>
      <patternFill patternType="solid">
        <fgColor indexed="62"/>
        <bgColor indexed="64"/>
      </patternFill>
    </fill>
    <fill>
      <patternFill patternType="solid">
        <fgColor indexed="43"/>
        <bgColor indexed="64"/>
      </patternFill>
    </fill>
    <fill>
      <patternFill patternType="solid">
        <fgColor indexed="34"/>
        <bgColor indexed="64"/>
      </patternFill>
    </fill>
    <fill>
      <patternFill patternType="solid">
        <fgColor indexed="42"/>
        <bgColor indexed="64"/>
      </patternFill>
    </fill>
    <fill>
      <patternFill patternType="solid">
        <fgColor indexed="18"/>
        <bgColor indexed="64"/>
      </patternFill>
    </fill>
    <fill>
      <patternFill patternType="solid">
        <fgColor indexed="11"/>
        <bgColor indexed="64"/>
      </patternFill>
    </fill>
    <fill>
      <patternFill patternType="solid">
        <fgColor indexed="13"/>
        <bgColor indexed="64"/>
      </patternFill>
    </fill>
    <fill>
      <patternFill patternType="solid">
        <fgColor indexed="44"/>
        <bgColor indexed="64"/>
      </patternFill>
    </fill>
    <fill>
      <patternFill patternType="solid">
        <fgColor indexed="10"/>
        <bgColor indexed="64"/>
      </patternFill>
    </fill>
    <fill>
      <patternFill patternType="solid">
        <fgColor indexed="27"/>
        <bgColor indexed="64"/>
      </patternFill>
    </fill>
    <fill>
      <patternFill patternType="solid">
        <fgColor rgb="FFFFFF00"/>
        <bgColor indexed="64"/>
      </patternFill>
    </fill>
    <fill>
      <patternFill patternType="solid">
        <fgColor rgb="FFFFCC99"/>
        <bgColor indexed="64"/>
      </patternFill>
    </fill>
    <fill>
      <patternFill patternType="solid">
        <fgColor rgb="FFCCFFFF"/>
        <bgColor indexed="64"/>
      </patternFill>
    </fill>
    <fill>
      <patternFill patternType="solid">
        <fgColor rgb="FFFFFF99"/>
        <bgColor indexed="64"/>
      </patternFill>
    </fill>
    <fill>
      <patternFill patternType="solid">
        <fgColor rgb="FFCCFF99"/>
        <bgColor indexed="64"/>
      </patternFill>
    </fill>
    <fill>
      <patternFill patternType="solid">
        <fgColor rgb="FF66FF33"/>
        <bgColor indexed="64"/>
      </patternFill>
    </fill>
    <fill>
      <patternFill patternType="solid">
        <fgColor rgb="FFFFC000"/>
        <bgColor indexed="64"/>
      </patternFill>
    </fill>
    <fill>
      <patternFill patternType="solid">
        <fgColor theme="0"/>
        <bgColor indexed="64"/>
      </patternFill>
    </fill>
    <fill>
      <patternFill patternType="solid">
        <fgColor rgb="FFC6EFCE"/>
      </patternFill>
    </fill>
    <fill>
      <patternFill patternType="solid">
        <fgColor rgb="FFFFC7CE"/>
      </patternFill>
    </fill>
  </fills>
  <borders count="175">
    <border>
      <left/>
      <right/>
      <top/>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style="thick">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top style="thin">
        <color auto="1"/>
      </top>
      <bottom/>
      <diagonal/>
    </border>
    <border>
      <left/>
      <right style="thin">
        <color auto="1"/>
      </right>
      <top style="thin">
        <color auto="1"/>
      </top>
      <bottom/>
      <diagonal/>
    </border>
    <border>
      <left/>
      <right/>
      <top/>
      <bottom style="thick">
        <color auto="1"/>
      </bottom>
      <diagonal/>
    </border>
    <border>
      <left style="thin">
        <color auto="1"/>
      </left>
      <right/>
      <top/>
      <bottom/>
      <diagonal/>
    </border>
    <border>
      <left style="thick">
        <color auto="1"/>
      </left>
      <right style="thin">
        <color auto="1"/>
      </right>
      <top/>
      <bottom style="thick">
        <color auto="1"/>
      </bottom>
      <diagonal/>
    </border>
    <border>
      <left style="thin">
        <color auto="1"/>
      </left>
      <right style="thin">
        <color auto="1"/>
      </right>
      <top/>
      <bottom style="thick">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auto="1"/>
      </left>
      <right style="thick">
        <color auto="1"/>
      </right>
      <top/>
      <bottom style="thick">
        <color auto="1"/>
      </bottom>
      <diagonal/>
    </border>
    <border>
      <left/>
      <right style="thin">
        <color auto="1"/>
      </right>
      <top style="thick">
        <color auto="1"/>
      </top>
      <bottom style="thick">
        <color auto="1"/>
      </bottom>
      <diagonal/>
    </border>
    <border>
      <left style="thin">
        <color auto="1"/>
      </left>
      <right/>
      <top style="thick">
        <color auto="1"/>
      </top>
      <bottom style="thick">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style="thick">
        <color auto="1"/>
      </left>
      <right style="thick">
        <color auto="1"/>
      </right>
      <top style="thick">
        <color auto="1"/>
      </top>
      <bottom style="thick">
        <color auto="1"/>
      </bottom>
      <diagonal/>
    </border>
    <border>
      <left style="thick">
        <color auto="1"/>
      </left>
      <right/>
      <top style="thick">
        <color auto="1"/>
      </top>
      <bottom/>
      <diagonal/>
    </border>
    <border>
      <left/>
      <right/>
      <top style="thick">
        <color auto="1"/>
      </top>
      <bottom style="thick">
        <color auto="1"/>
      </bottom>
      <diagonal/>
    </border>
    <border>
      <left style="medium">
        <color auto="1"/>
      </left>
      <right style="thick">
        <color auto="1"/>
      </right>
      <top/>
      <bottom style="thin">
        <color auto="1"/>
      </bottom>
      <diagonal/>
    </border>
    <border>
      <left style="thick">
        <color auto="1"/>
      </left>
      <right style="thick">
        <color auto="1"/>
      </right>
      <top style="thick">
        <color auto="1"/>
      </top>
      <bottom style="thin">
        <color auto="1"/>
      </bottom>
      <diagonal/>
    </border>
    <border>
      <left style="thick">
        <color auto="1"/>
      </left>
      <right/>
      <top style="thin">
        <color auto="1"/>
      </top>
      <bottom style="thin">
        <color auto="1"/>
      </bottom>
      <diagonal/>
    </border>
    <border>
      <left style="medium">
        <color auto="1"/>
      </left>
      <right style="thick">
        <color auto="1"/>
      </right>
      <top/>
      <bottom style="thick">
        <color auto="1"/>
      </bottom>
      <diagonal/>
    </border>
    <border>
      <left style="thick">
        <color auto="1"/>
      </left>
      <right/>
      <top style="thin">
        <color auto="1"/>
      </top>
      <bottom style="thick">
        <color auto="1"/>
      </bottom>
      <diagonal/>
    </border>
    <border>
      <left/>
      <right style="thin">
        <color auto="1"/>
      </right>
      <top style="thick">
        <color auto="1"/>
      </top>
      <bottom style="thin">
        <color auto="1"/>
      </bottom>
      <diagonal/>
    </border>
    <border>
      <left style="thick">
        <color auto="1"/>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right/>
      <top style="thick">
        <color auto="1"/>
      </top>
      <bottom/>
      <diagonal/>
    </border>
    <border>
      <left/>
      <right style="thick">
        <color auto="1"/>
      </right>
      <top style="thick">
        <color auto="1"/>
      </top>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thick">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style="medium">
        <color auto="1"/>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ck">
        <color auto="1"/>
      </left>
      <right/>
      <top/>
      <bottom/>
      <diagonal/>
    </border>
    <border>
      <left/>
      <right style="thick">
        <color auto="1"/>
      </right>
      <top/>
      <bottom/>
      <diagonal/>
    </border>
    <border>
      <left/>
      <right style="thick">
        <color auto="1"/>
      </right>
      <top/>
      <bottom style="thick">
        <color auto="1"/>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style="medium">
        <color auto="1"/>
      </left>
      <right/>
      <top style="thin">
        <color auto="1"/>
      </top>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ck">
        <color auto="1"/>
      </left>
      <right/>
      <top style="thick">
        <color auto="1"/>
      </top>
      <bottom style="thick">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double">
        <color auto="1"/>
      </left>
      <right style="double">
        <color auto="1"/>
      </right>
      <top/>
      <bottom/>
      <diagonal/>
    </border>
    <border>
      <left style="double">
        <color auto="1"/>
      </left>
      <right/>
      <top/>
      <bottom/>
      <diagonal/>
    </border>
    <border>
      <left style="thin">
        <color auto="1"/>
      </left>
      <right style="double">
        <color auto="1"/>
      </right>
      <top/>
      <bottom/>
      <diagonal/>
    </border>
    <border>
      <left style="double">
        <color auto="1"/>
      </left>
      <right style="double">
        <color auto="1"/>
      </right>
      <top/>
      <bottom style="double">
        <color auto="1"/>
      </bottom>
      <diagonal/>
    </border>
    <border>
      <left style="double">
        <color auto="1"/>
      </left>
      <right/>
      <top/>
      <bottom style="double">
        <color auto="1"/>
      </bottom>
      <diagonal/>
    </border>
    <border>
      <left style="thin">
        <color auto="1"/>
      </left>
      <right style="double">
        <color auto="1"/>
      </right>
      <top/>
      <bottom style="double">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diagonal/>
    </border>
    <border>
      <left style="thin">
        <color auto="1"/>
      </left>
      <right style="double">
        <color auto="1"/>
      </right>
      <top style="thin">
        <color auto="1"/>
      </top>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double">
        <color auto="1"/>
      </left>
      <right style="thin">
        <color auto="1"/>
      </right>
      <top/>
      <bottom/>
      <diagonal/>
    </border>
    <border>
      <left style="double">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double">
        <color auto="1"/>
      </right>
      <top style="double">
        <color auto="1"/>
      </top>
      <bottom/>
      <diagonal/>
    </border>
    <border>
      <left style="double">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style="double">
        <color auto="1"/>
      </left>
      <right style="double">
        <color auto="1"/>
      </right>
      <top style="double">
        <color auto="1"/>
      </top>
      <bottom/>
      <diagonal/>
    </border>
    <border>
      <left style="double">
        <color auto="1"/>
      </left>
      <right/>
      <top style="double">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thin">
        <color auto="1"/>
      </left>
      <right style="medium">
        <color auto="1"/>
      </right>
      <top/>
      <bottom/>
      <diagonal/>
    </border>
    <border>
      <left style="medium">
        <color auto="1"/>
      </left>
      <right style="medium">
        <color auto="1"/>
      </right>
      <top/>
      <bottom/>
      <diagonal/>
    </border>
    <border>
      <left/>
      <right/>
      <top style="thin">
        <color auto="1"/>
      </top>
      <bottom style="thick">
        <color auto="1"/>
      </bottom>
      <diagonal/>
    </border>
    <border>
      <left style="thin">
        <color auto="1"/>
      </left>
      <right/>
      <top style="thick">
        <color auto="1"/>
      </top>
      <bottom style="thin">
        <color auto="1"/>
      </bottom>
      <diagonal/>
    </border>
    <border>
      <left style="thick">
        <color auto="1"/>
      </left>
      <right style="thick">
        <color auto="1"/>
      </right>
      <top/>
      <bottom/>
      <diagonal/>
    </border>
    <border>
      <left style="thin">
        <color auto="1"/>
      </left>
      <right/>
      <top style="thin">
        <color auto="1"/>
      </top>
      <bottom style="thick">
        <color auto="1"/>
      </bottom>
      <diagonal/>
    </border>
    <border>
      <left style="thin">
        <color auto="1"/>
      </left>
      <right style="medium">
        <color auto="1"/>
      </right>
      <top style="medium">
        <color auto="1"/>
      </top>
      <bottom style="medium">
        <color auto="1"/>
      </bottom>
      <diagonal/>
    </border>
    <border>
      <left style="thin">
        <color auto="1"/>
      </left>
      <right style="medium">
        <color auto="1"/>
      </right>
      <top style="thick">
        <color auto="1"/>
      </top>
      <bottom style="thin">
        <color auto="1"/>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double">
        <color auto="1"/>
      </top>
      <bottom/>
      <diagonal/>
    </border>
    <border>
      <left/>
      <right style="double">
        <color auto="1"/>
      </right>
      <top style="double">
        <color auto="1"/>
      </top>
      <bottom/>
      <diagonal/>
    </border>
    <border>
      <left/>
      <right style="double">
        <color auto="1"/>
      </right>
      <top/>
      <bottom/>
      <diagonal/>
    </border>
    <border>
      <left/>
      <right/>
      <top/>
      <bottom style="double">
        <color auto="1"/>
      </bottom>
      <diagonal/>
    </border>
    <border>
      <left/>
      <right style="double">
        <color auto="1"/>
      </right>
      <top/>
      <bottom style="double">
        <color auto="1"/>
      </bottom>
      <diagonal/>
    </border>
    <border>
      <left style="double">
        <color auto="1"/>
      </left>
      <right/>
      <top/>
      <bottom style="thin">
        <color auto="1"/>
      </bottom>
      <diagonal/>
    </border>
    <border>
      <left style="double">
        <color auto="1"/>
      </left>
      <right/>
      <top style="thin">
        <color auto="1"/>
      </top>
      <bottom style="thin">
        <color auto="1"/>
      </bottom>
      <diagonal/>
    </border>
    <border>
      <left style="double">
        <color auto="1"/>
      </left>
      <right style="thin">
        <color auto="1"/>
      </right>
      <top style="thin">
        <color auto="1"/>
      </top>
      <bottom style="medium">
        <color auto="1"/>
      </bottom>
      <diagonal/>
    </border>
    <border>
      <left style="thick">
        <color auto="1"/>
      </left>
      <right/>
      <top style="thick">
        <color auto="1"/>
      </top>
      <bottom style="thin">
        <color auto="1"/>
      </bottom>
      <diagonal/>
    </border>
    <border>
      <left/>
      <right style="thick">
        <color auto="1"/>
      </right>
      <top style="thick">
        <color auto="1"/>
      </top>
      <bottom style="thick">
        <color auto="1"/>
      </bottom>
      <diagonal/>
    </border>
    <border>
      <left style="thick">
        <color auto="1"/>
      </left>
      <right style="thick">
        <color auto="1"/>
      </right>
      <top/>
      <bottom style="thick">
        <color auto="1"/>
      </bottom>
      <diagonal/>
    </border>
    <border>
      <left/>
      <right style="thick">
        <color auto="1"/>
      </right>
      <top/>
      <bottom style="thin">
        <color auto="1"/>
      </bottom>
      <diagonal/>
    </border>
    <border>
      <left style="thin">
        <color auto="1"/>
      </left>
      <right/>
      <top/>
      <bottom style="thick">
        <color auto="1"/>
      </bottom>
      <diagonal/>
    </border>
    <border>
      <left style="thick">
        <color auto="1"/>
      </left>
      <right/>
      <top/>
      <bottom style="thick">
        <color auto="1"/>
      </bottom>
      <diagonal/>
    </border>
    <border>
      <left/>
      <right style="thick">
        <color auto="1"/>
      </right>
      <top style="thick">
        <color auto="1"/>
      </top>
      <bottom style="thin">
        <color auto="1"/>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ck">
        <color auto="1"/>
      </left>
      <right style="thick">
        <color auto="1"/>
      </right>
      <top style="thin">
        <color auto="1"/>
      </top>
      <bottom/>
      <diagonal/>
    </border>
    <border>
      <left style="thick">
        <color auto="1"/>
      </left>
      <right/>
      <top style="thin">
        <color auto="1"/>
      </top>
      <bottom/>
      <diagonal/>
    </border>
    <border>
      <left style="thick">
        <color auto="1"/>
      </left>
      <right style="thick">
        <color auto="1"/>
      </right>
      <top style="thick">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diagonal/>
    </border>
    <border>
      <left/>
      <right style="double">
        <color auto="1"/>
      </right>
      <top style="thin">
        <color auto="1"/>
      </top>
      <bottom style="thin">
        <color auto="1"/>
      </bottom>
      <diagonal/>
    </border>
    <border>
      <left style="medium">
        <color auto="1"/>
      </left>
      <right/>
      <top style="medium">
        <color auto="1"/>
      </top>
      <bottom style="thin">
        <color auto="1"/>
      </bottom>
      <diagonal/>
    </border>
    <border>
      <left style="double">
        <color auto="1"/>
      </left>
      <right style="thin">
        <color auto="1"/>
      </right>
      <top/>
      <bottom style="thin">
        <color auto="1"/>
      </bottom>
      <diagonal/>
    </border>
    <border>
      <left style="double">
        <color auto="1"/>
      </left>
      <right/>
      <top style="medium">
        <color auto="1"/>
      </top>
      <bottom style="thin">
        <color auto="1"/>
      </bottom>
      <diagonal/>
    </border>
    <border>
      <left/>
      <right style="medium">
        <color auto="1"/>
      </right>
      <top style="medium">
        <color auto="1"/>
      </top>
      <bottom style="thin">
        <color auto="1"/>
      </bottom>
      <diagonal/>
    </border>
    <border>
      <left style="double">
        <color auto="1"/>
      </left>
      <right/>
      <top style="thin">
        <color auto="1"/>
      </top>
      <bottom/>
      <diagonal/>
    </border>
    <border>
      <left/>
      <right/>
      <top/>
      <bottom style="thin">
        <color auto="1"/>
      </bottom>
      <diagonal/>
    </border>
    <border>
      <left/>
      <right style="thin">
        <color auto="1"/>
      </right>
      <top style="medium">
        <color auto="1"/>
      </top>
      <bottom style="medium">
        <color auto="1"/>
      </bottom>
      <diagonal/>
    </border>
    <border>
      <left/>
      <right style="thin">
        <color auto="1"/>
      </right>
      <top/>
      <bottom style="medium">
        <color auto="1"/>
      </bottom>
      <diagonal/>
    </border>
    <border>
      <left style="thin">
        <color indexed="8"/>
      </left>
      <right/>
      <top/>
      <bottom/>
      <diagonal/>
    </border>
  </borders>
  <cellStyleXfs count="17">
    <xf numFmtId="0" fontId="0" fillId="0" borderId="0"/>
    <xf numFmtId="43" fontId="2" fillId="0" borderId="0" applyFont="0" applyFill="0" applyBorder="0" applyAlignment="0" applyProtection="0"/>
    <xf numFmtId="44" fontId="2" fillId="0" borderId="0" applyFont="0" applyFill="0" applyBorder="0" applyAlignment="0" applyProtection="0"/>
    <xf numFmtId="0" fontId="41" fillId="0" borderId="0"/>
    <xf numFmtId="0" fontId="5" fillId="0" borderId="0"/>
    <xf numFmtId="9" fontId="2" fillId="0" borderId="0" applyFont="0" applyFill="0" applyBorder="0" applyAlignment="0" applyProtection="0"/>
    <xf numFmtId="43" fontId="45" fillId="0" borderId="0" applyFont="0" applyFill="0" applyBorder="0" applyAlignment="0" applyProtection="0"/>
    <xf numFmtId="44" fontId="45" fillId="0" borderId="0" applyFont="0" applyFill="0" applyBorder="0" applyAlignment="0" applyProtection="0"/>
    <xf numFmtId="0" fontId="1" fillId="0" borderId="0"/>
    <xf numFmtId="0" fontId="2" fillId="0" borderId="0"/>
    <xf numFmtId="9" fontId="45" fillId="0" borderId="0" applyFon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3" fillId="27" borderId="0" applyNumberFormat="0" applyBorder="0" applyAlignment="0" applyProtection="0"/>
    <xf numFmtId="0" fontId="54" fillId="28" borderId="0" applyNumberFormat="0" applyBorder="0" applyAlignment="0" applyProtection="0"/>
  </cellStyleXfs>
  <cellXfs count="1361">
    <xf numFmtId="0" fontId="0" fillId="0" borderId="0" xfId="0"/>
    <xf numFmtId="0" fontId="4" fillId="0" borderId="0" xfId="0" applyFont="1" applyAlignment="1">
      <alignment horizontal="centerContinuous"/>
    </xf>
    <xf numFmtId="0" fontId="4" fillId="0" borderId="0" xfId="0" applyFont="1" applyAlignment="1">
      <alignment horizontal="center" wrapText="1"/>
    </xf>
    <xf numFmtId="0" fontId="0" fillId="0" borderId="0" xfId="0" applyAlignment="1">
      <alignment horizontal="center"/>
    </xf>
    <xf numFmtId="0" fontId="4" fillId="0" borderId="0" xfId="0" applyFont="1" applyFill="1" applyBorder="1" applyAlignment="1">
      <alignment horizontal="centerContinuous"/>
    </xf>
    <xf numFmtId="0" fontId="9" fillId="0" borderId="0" xfId="0" applyFont="1" applyBorder="1" applyAlignment="1">
      <alignment horizontal="center"/>
    </xf>
    <xf numFmtId="0" fontId="0" fillId="0" borderId="0" xfId="0" applyBorder="1" applyAlignment="1"/>
    <xf numFmtId="0" fontId="0" fillId="0" borderId="0" xfId="0" applyAlignment="1"/>
    <xf numFmtId="2" fontId="10" fillId="0" borderId="0" xfId="0" applyNumberFormat="1" applyFont="1" applyBorder="1" applyAlignment="1">
      <alignment horizontal="center"/>
    </xf>
    <xf numFmtId="169" fontId="0" fillId="0" borderId="0" xfId="0" applyNumberFormat="1"/>
    <xf numFmtId="0" fontId="0" fillId="0" borderId="0" xfId="0" applyBorder="1" applyAlignment="1">
      <alignment horizontal="center"/>
    </xf>
    <xf numFmtId="0" fontId="4" fillId="0" borderId="0" xfId="0" applyFont="1" applyAlignment="1">
      <alignment horizontal="center"/>
    </xf>
    <xf numFmtId="1" fontId="0" fillId="0" borderId="0" xfId="0" applyNumberFormat="1" applyBorder="1" applyAlignment="1">
      <alignment horizontal="center"/>
    </xf>
    <xf numFmtId="168" fontId="4" fillId="0" borderId="0" xfId="0" applyNumberFormat="1" applyFont="1" applyAlignment="1">
      <alignment horizontal="center"/>
    </xf>
    <xf numFmtId="2" fontId="0" fillId="0" borderId="0" xfId="0" applyNumberFormat="1"/>
    <xf numFmtId="2" fontId="4" fillId="0" borderId="0" xfId="0" applyNumberFormat="1" applyFont="1" applyAlignment="1">
      <alignment horizontal="center"/>
    </xf>
    <xf numFmtId="2" fontId="4" fillId="0" borderId="0" xfId="0" applyNumberFormat="1" applyFont="1" applyFill="1" applyAlignment="1">
      <alignment horizontal="center"/>
    </xf>
    <xf numFmtId="10" fontId="0" fillId="0" borderId="0" xfId="0" applyNumberFormat="1"/>
    <xf numFmtId="2" fontId="4" fillId="0" borderId="0" xfId="0" applyNumberFormat="1" applyFont="1" applyAlignment="1">
      <alignment horizontal="center" wrapText="1"/>
    </xf>
    <xf numFmtId="0" fontId="0" fillId="0" borderId="0" xfId="0" applyAlignment="1">
      <alignment wrapText="1"/>
    </xf>
    <xf numFmtId="0" fontId="0" fillId="0" borderId="0" xfId="0" applyAlignment="1">
      <alignment horizontal="right"/>
    </xf>
    <xf numFmtId="0" fontId="4" fillId="0" borderId="0" xfId="0" applyFont="1"/>
    <xf numFmtId="0" fontId="11" fillId="0" borderId="0" xfId="0" applyFont="1"/>
    <xf numFmtId="171" fontId="0" fillId="0" borderId="0" xfId="0" applyNumberFormat="1"/>
    <xf numFmtId="0" fontId="0" fillId="0" borderId="1" xfId="0"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0" applyBorder="1"/>
    <xf numFmtId="0" fontId="0" fillId="0" borderId="2" xfId="0" applyBorder="1"/>
    <xf numFmtId="0" fontId="0" fillId="0" borderId="0" xfId="0" quotePrefix="1"/>
    <xf numFmtId="0" fontId="0" fillId="2" borderId="0" xfId="0" applyFill="1"/>
    <xf numFmtId="0" fontId="0" fillId="0" borderId="13" xfId="0" applyBorder="1" applyAlignment="1">
      <alignment horizontal="center"/>
    </xf>
    <xf numFmtId="0" fontId="0" fillId="0" borderId="14" xfId="0" applyBorder="1" applyAlignment="1">
      <alignment horizontal="center"/>
    </xf>
    <xf numFmtId="0" fontId="0" fillId="0" borderId="14" xfId="0" applyBorder="1" applyAlignment="1">
      <alignment horizontal="left"/>
    </xf>
    <xf numFmtId="0" fontId="0" fillId="0" borderId="10" xfId="0" applyBorder="1" applyAlignment="1">
      <alignment horizontal="center"/>
    </xf>
    <xf numFmtId="0" fontId="0" fillId="0" borderId="11" xfId="0" applyBorder="1" applyAlignment="1">
      <alignment horizontal="center"/>
    </xf>
    <xf numFmtId="2" fontId="0" fillId="0" borderId="4" xfId="0" applyNumberFormat="1" applyBorder="1" applyAlignment="1">
      <alignment horizontal="center"/>
    </xf>
    <xf numFmtId="167" fontId="0" fillId="0" borderId="5" xfId="0" applyNumberFormat="1" applyBorder="1" applyAlignment="1">
      <alignment horizontal="center"/>
    </xf>
    <xf numFmtId="0" fontId="0" fillId="0" borderId="5" xfId="0" applyBorder="1" applyAlignment="1">
      <alignment horizontal="center"/>
    </xf>
    <xf numFmtId="2" fontId="0" fillId="0" borderId="5" xfId="0" applyNumberFormat="1" applyBorder="1" applyAlignment="1">
      <alignment horizontal="center"/>
    </xf>
    <xf numFmtId="0" fontId="0" fillId="0" borderId="5" xfId="0" applyNumberFormat="1" applyBorder="1" applyAlignment="1">
      <alignment horizontal="center"/>
    </xf>
    <xf numFmtId="1" fontId="0" fillId="0" borderId="6" xfId="0" applyNumberFormat="1" applyBorder="1"/>
    <xf numFmtId="2" fontId="0" fillId="0" borderId="7" xfId="0" applyNumberFormat="1" applyBorder="1" applyAlignment="1">
      <alignment horizontal="center"/>
    </xf>
    <xf numFmtId="167" fontId="0" fillId="0" borderId="8" xfId="0" applyNumberFormat="1" applyBorder="1" applyAlignment="1">
      <alignment horizontal="center"/>
    </xf>
    <xf numFmtId="0" fontId="0" fillId="0" borderId="8" xfId="0" applyBorder="1" applyAlignment="1">
      <alignment horizontal="center"/>
    </xf>
    <xf numFmtId="2" fontId="0" fillId="0" borderId="8" xfId="0" applyNumberFormat="1" applyBorder="1" applyAlignment="1">
      <alignment horizontal="center"/>
    </xf>
    <xf numFmtId="0" fontId="0" fillId="0" borderId="8" xfId="0" applyNumberFormat="1" applyBorder="1" applyAlignment="1">
      <alignment horizontal="center"/>
    </xf>
    <xf numFmtId="1" fontId="0" fillId="0" borderId="9" xfId="0" applyNumberFormat="1" applyBorder="1"/>
    <xf numFmtId="0" fontId="4" fillId="0" borderId="0" xfId="0" applyFont="1" applyFill="1" applyBorder="1"/>
    <xf numFmtId="173" fontId="2" fillId="0" borderId="0" xfId="2" applyNumberFormat="1"/>
    <xf numFmtId="2" fontId="0" fillId="0" borderId="10" xfId="0" applyNumberFormat="1" applyBorder="1" applyAlignment="1">
      <alignment horizontal="center"/>
    </xf>
    <xf numFmtId="167" fontId="0" fillId="0" borderId="11" xfId="0" applyNumberFormat="1" applyBorder="1" applyAlignment="1">
      <alignment horizontal="center"/>
    </xf>
    <xf numFmtId="2" fontId="0" fillId="0" borderId="11" xfId="0" applyNumberFormat="1" applyBorder="1" applyAlignment="1">
      <alignment horizontal="center"/>
    </xf>
    <xf numFmtId="0" fontId="0" fillId="0" borderId="11" xfId="0" applyNumberFormat="1" applyBorder="1" applyAlignment="1">
      <alignment horizontal="center"/>
    </xf>
    <xf numFmtId="1" fontId="0" fillId="0" borderId="12" xfId="0" applyNumberFormat="1" applyBorder="1"/>
    <xf numFmtId="168" fontId="0" fillId="0" borderId="0" xfId="0" applyNumberFormat="1"/>
    <xf numFmtId="0" fontId="0" fillId="0" borderId="16" xfId="0" applyBorder="1"/>
    <xf numFmtId="0" fontId="0" fillId="0" borderId="17" xfId="0" applyBorder="1"/>
    <xf numFmtId="0" fontId="0" fillId="0" borderId="15" xfId="0" applyFill="1" applyBorder="1" applyAlignment="1">
      <alignment horizontal="center"/>
    </xf>
    <xf numFmtId="167" fontId="0" fillId="0" borderId="4" xfId="0" applyNumberFormat="1" applyBorder="1" applyAlignment="1">
      <alignment horizontal="center"/>
    </xf>
    <xf numFmtId="1" fontId="0" fillId="0" borderId="5" xfId="0" applyNumberFormat="1" applyBorder="1" applyAlignment="1">
      <alignment horizontal="center"/>
    </xf>
    <xf numFmtId="167" fontId="0" fillId="0" borderId="7" xfId="0" applyNumberFormat="1" applyBorder="1" applyAlignment="1">
      <alignment horizontal="center"/>
    </xf>
    <xf numFmtId="1" fontId="0" fillId="0" borderId="8" xfId="0" applyNumberFormat="1" applyBorder="1" applyAlignment="1">
      <alignment horizontal="center"/>
    </xf>
    <xf numFmtId="0" fontId="0" fillId="0" borderId="1" xfId="0" applyBorder="1"/>
    <xf numFmtId="0" fontId="0" fillId="0" borderId="3" xfId="0" applyBorder="1"/>
    <xf numFmtId="169" fontId="2" fillId="0" borderId="5" xfId="5" applyNumberFormat="1" applyBorder="1"/>
    <xf numFmtId="167" fontId="2" fillId="0" borderId="5" xfId="5" applyNumberFormat="1" applyFont="1" applyBorder="1"/>
    <xf numFmtId="1" fontId="0" fillId="0" borderId="5" xfId="0" applyNumberFormat="1" applyBorder="1"/>
    <xf numFmtId="173" fontId="2" fillId="0" borderId="5" xfId="2" applyNumberFormat="1" applyBorder="1"/>
    <xf numFmtId="172" fontId="2" fillId="0" borderId="5" xfId="2" applyNumberFormat="1" applyBorder="1"/>
    <xf numFmtId="173" fontId="0" fillId="0" borderId="6" xfId="0" applyNumberFormat="1" applyBorder="1"/>
    <xf numFmtId="169" fontId="2" fillId="0" borderId="8" xfId="5" applyNumberFormat="1" applyBorder="1"/>
    <xf numFmtId="167" fontId="0" fillId="0" borderId="8" xfId="0" applyNumberFormat="1" applyBorder="1"/>
    <xf numFmtId="1" fontId="0" fillId="0" borderId="8" xfId="0" applyNumberFormat="1" applyBorder="1"/>
    <xf numFmtId="173" fontId="2" fillId="0" borderId="8" xfId="2" applyNumberFormat="1" applyBorder="1"/>
    <xf numFmtId="172" fontId="2" fillId="0" borderId="8" xfId="2" applyNumberFormat="1" applyBorder="1"/>
    <xf numFmtId="169" fontId="2" fillId="0" borderId="11" xfId="5" applyNumberFormat="1" applyBorder="1"/>
    <xf numFmtId="167" fontId="0" fillId="0" borderId="11" xfId="0" applyNumberFormat="1" applyBorder="1"/>
    <xf numFmtId="1" fontId="0" fillId="0" borderId="11" xfId="0" applyNumberFormat="1" applyBorder="1"/>
    <xf numFmtId="173" fontId="2" fillId="0" borderId="11" xfId="2" applyNumberFormat="1" applyBorder="1"/>
    <xf numFmtId="172" fontId="2" fillId="0" borderId="11" xfId="2" applyNumberFormat="1" applyBorder="1"/>
    <xf numFmtId="173" fontId="0" fillId="0" borderId="12" xfId="0" applyNumberFormat="1" applyBorder="1"/>
    <xf numFmtId="167" fontId="0" fillId="0" borderId="10" xfId="0" applyNumberFormat="1" applyBorder="1" applyAlignment="1">
      <alignment horizontal="center"/>
    </xf>
    <xf numFmtId="1" fontId="0" fillId="0" borderId="11" xfId="0" applyNumberFormat="1" applyBorder="1" applyAlignment="1">
      <alignment horizontal="center"/>
    </xf>
    <xf numFmtId="0" fontId="0" fillId="0" borderId="18" xfId="0" applyBorder="1"/>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applyBorder="1" applyAlignment="1">
      <alignment horizontal="center"/>
    </xf>
    <xf numFmtId="0" fontId="0" fillId="0" borderId="11" xfId="0" applyFill="1" applyBorder="1" applyAlignment="1">
      <alignment horizontal="center"/>
    </xf>
    <xf numFmtId="44" fontId="2" fillId="0" borderId="0" xfId="2"/>
    <xf numFmtId="44" fontId="0" fillId="0" borderId="0" xfId="0" applyNumberFormat="1"/>
    <xf numFmtId="43" fontId="0" fillId="0" borderId="0" xfId="0" applyNumberFormat="1"/>
    <xf numFmtId="0" fontId="0" fillId="0" borderId="20" xfId="0" applyBorder="1"/>
    <xf numFmtId="0" fontId="0" fillId="0" borderId="21" xfId="0" applyBorder="1"/>
    <xf numFmtId="0" fontId="2" fillId="0" borderId="0" xfId="0" applyFont="1" applyFill="1" applyBorder="1"/>
    <xf numFmtId="176" fontId="2" fillId="0" borderId="4" xfId="0" applyNumberFormat="1" applyFont="1" applyFill="1" applyBorder="1"/>
    <xf numFmtId="0" fontId="2" fillId="0" borderId="5" xfId="0" applyFont="1" applyFill="1" applyBorder="1"/>
    <xf numFmtId="176" fontId="2" fillId="0" borderId="5" xfId="0" applyNumberFormat="1" applyFont="1" applyFill="1" applyBorder="1"/>
    <xf numFmtId="0" fontId="2" fillId="0" borderId="6" xfId="0" applyFont="1" applyFill="1" applyBorder="1"/>
    <xf numFmtId="176" fontId="2" fillId="0" borderId="7" xfId="0" applyNumberFormat="1" applyFont="1" applyFill="1" applyBorder="1"/>
    <xf numFmtId="0" fontId="2" fillId="0" borderId="8" xfId="0" applyFont="1" applyFill="1" applyBorder="1"/>
    <xf numFmtId="176" fontId="2" fillId="0" borderId="8" xfId="0" applyNumberFormat="1" applyFont="1" applyFill="1" applyBorder="1"/>
    <xf numFmtId="0" fontId="2" fillId="0" borderId="9" xfId="0" applyFont="1" applyFill="1" applyBorder="1"/>
    <xf numFmtId="176" fontId="2" fillId="0" borderId="10" xfId="0" applyNumberFormat="1" applyFont="1" applyFill="1" applyBorder="1"/>
    <xf numFmtId="0" fontId="2" fillId="0" borderId="11" xfId="0" applyFont="1" applyFill="1" applyBorder="1"/>
    <xf numFmtId="176" fontId="2" fillId="0" borderId="11" xfId="0" applyNumberFormat="1" applyFont="1" applyFill="1" applyBorder="1"/>
    <xf numFmtId="0" fontId="2" fillId="0" borderId="12" xfId="0" applyFont="1" applyFill="1" applyBorder="1"/>
    <xf numFmtId="0" fontId="0" fillId="0" borderId="0" xfId="0" applyFill="1" applyBorder="1"/>
    <xf numFmtId="173" fontId="0" fillId="0" borderId="0" xfId="0" applyNumberFormat="1"/>
    <xf numFmtId="0" fontId="0" fillId="3" borderId="22" xfId="0" applyFill="1" applyBorder="1"/>
    <xf numFmtId="165" fontId="0" fillId="3" borderId="22" xfId="0" applyNumberFormat="1" applyFill="1" applyBorder="1"/>
    <xf numFmtId="173" fontId="2" fillId="3" borderId="22" xfId="2" applyNumberFormat="1" applyFill="1" applyBorder="1"/>
    <xf numFmtId="0" fontId="4" fillId="0" borderId="23" xfId="0" applyFont="1" applyFill="1" applyBorder="1" applyAlignment="1">
      <alignment horizontal="centerContinuous"/>
    </xf>
    <xf numFmtId="0" fontId="0" fillId="0" borderId="16" xfId="0" applyBorder="1" applyAlignment="1">
      <alignment horizontal="centerContinuous"/>
    </xf>
    <xf numFmtId="0" fontId="0" fillId="0" borderId="17" xfId="0" applyBorder="1" applyAlignment="1">
      <alignment horizontal="centerContinuous"/>
    </xf>
    <xf numFmtId="0" fontId="4" fillId="0" borderId="19" xfId="0" applyFont="1" applyBorder="1"/>
    <xf numFmtId="0" fontId="0" fillId="0" borderId="24" xfId="0" applyBorder="1"/>
    <xf numFmtId="0" fontId="0" fillId="0" borderId="25" xfId="0" applyBorder="1"/>
    <xf numFmtId="0" fontId="4" fillId="0" borderId="23" xfId="0" applyFont="1" applyBorder="1" applyAlignment="1">
      <alignment horizontal="centerContinuous"/>
    </xf>
    <xf numFmtId="0" fontId="4" fillId="4" borderId="0" xfId="0" applyFont="1" applyFill="1" applyBorder="1"/>
    <xf numFmtId="0" fontId="0" fillId="0" borderId="0" xfId="0" applyAlignment="1">
      <alignment horizontal="left"/>
    </xf>
    <xf numFmtId="0" fontId="5" fillId="0" borderId="0" xfId="0" applyFont="1" applyFill="1" applyBorder="1" applyAlignment="1">
      <alignment horizontal="left"/>
    </xf>
    <xf numFmtId="0" fontId="0" fillId="0" borderId="0" xfId="0" applyFill="1" applyBorder="1" applyAlignment="1">
      <alignment horizontal="left"/>
    </xf>
    <xf numFmtId="0" fontId="0" fillId="0" borderId="0" xfId="0" applyFont="1" applyFill="1" applyBorder="1" applyAlignment="1">
      <alignment horizontal="left"/>
    </xf>
    <xf numFmtId="0" fontId="5" fillId="0" borderId="0" xfId="0" applyFont="1" applyFill="1" applyBorder="1" applyAlignment="1"/>
    <xf numFmtId="0" fontId="4" fillId="5" borderId="8" xfId="0" applyFont="1" applyFill="1" applyBorder="1"/>
    <xf numFmtId="0" fontId="0" fillId="5" borderId="8" xfId="0" applyFill="1" applyBorder="1"/>
    <xf numFmtId="0" fontId="0" fillId="0" borderId="0" xfId="0" applyAlignment="1">
      <alignment horizontal="centerContinuous"/>
    </xf>
    <xf numFmtId="0" fontId="0" fillId="0" borderId="0" xfId="0" applyFill="1"/>
    <xf numFmtId="0" fontId="5" fillId="0" borderId="0" xfId="0" applyFont="1" applyFill="1"/>
    <xf numFmtId="0" fontId="0" fillId="8" borderId="8" xfId="0" applyFill="1" applyBorder="1"/>
    <xf numFmtId="1" fontId="0" fillId="0" borderId="0" xfId="0" applyNumberFormat="1"/>
    <xf numFmtId="0" fontId="0" fillId="9" borderId="0" xfId="0" applyFill="1"/>
    <xf numFmtId="173" fontId="0" fillId="0" borderId="21" xfId="0" applyNumberFormat="1" applyBorder="1"/>
    <xf numFmtId="1" fontId="0" fillId="0" borderId="27" xfId="0" applyNumberFormat="1" applyBorder="1"/>
    <xf numFmtId="9" fontId="2" fillId="0" borderId="0" xfId="5"/>
    <xf numFmtId="1" fontId="2" fillId="3" borderId="22" xfId="2" applyNumberFormat="1" applyFill="1" applyBorder="1"/>
    <xf numFmtId="9" fontId="0" fillId="0" borderId="0" xfId="0" applyNumberFormat="1"/>
    <xf numFmtId="0" fontId="0" fillId="0" borderId="28" xfId="0" applyBorder="1"/>
    <xf numFmtId="0" fontId="0" fillId="0" borderId="29" xfId="0" applyBorder="1"/>
    <xf numFmtId="178" fontId="2" fillId="0" borderId="5" xfId="2" applyNumberFormat="1" applyBorder="1"/>
    <xf numFmtId="44" fontId="2" fillId="0" borderId="5" xfId="2" applyBorder="1"/>
    <xf numFmtId="0" fontId="0" fillId="0" borderId="30" xfId="0" applyBorder="1"/>
    <xf numFmtId="178" fontId="2" fillId="0" borderId="8" xfId="2" applyNumberFormat="1" applyBorder="1"/>
    <xf numFmtId="44" fontId="2" fillId="0" borderId="8" xfId="2" applyBorder="1"/>
    <xf numFmtId="0" fontId="0" fillId="0" borderId="31" xfId="0" applyBorder="1"/>
    <xf numFmtId="178" fontId="2" fillId="0" borderId="11" xfId="2" applyNumberFormat="1" applyBorder="1"/>
    <xf numFmtId="44" fontId="2" fillId="0" borderId="11" xfId="2" applyBorder="1"/>
    <xf numFmtId="0" fontId="0" fillId="0" borderId="32" xfId="0" applyBorder="1"/>
    <xf numFmtId="0" fontId="0" fillId="0" borderId="33" xfId="0" applyBorder="1"/>
    <xf numFmtId="0" fontId="0" fillId="0" borderId="34" xfId="0" applyBorder="1"/>
    <xf numFmtId="0" fontId="0" fillId="0" borderId="2" xfId="0" applyFill="1" applyBorder="1"/>
    <xf numFmtId="0" fontId="0" fillId="0" borderId="3" xfId="0" applyFill="1" applyBorder="1"/>
    <xf numFmtId="173" fontId="2" fillId="0" borderId="35" xfId="2" applyNumberFormat="1" applyFill="1" applyBorder="1"/>
    <xf numFmtId="0" fontId="0" fillId="0" borderId="36" xfId="0" applyBorder="1"/>
    <xf numFmtId="1" fontId="0" fillId="0" borderId="4" xfId="0" applyNumberFormat="1" applyBorder="1"/>
    <xf numFmtId="173" fontId="2" fillId="0" borderId="6" xfId="2" applyNumberFormat="1" applyFill="1" applyBorder="1"/>
    <xf numFmtId="0" fontId="0" fillId="0" borderId="37" xfId="0" applyBorder="1"/>
    <xf numFmtId="173" fontId="2" fillId="0" borderId="9" xfId="2" applyNumberFormat="1" applyFill="1" applyBorder="1"/>
    <xf numFmtId="173" fontId="2" fillId="0" borderId="38" xfId="2" applyNumberFormat="1" applyFill="1" applyBorder="1"/>
    <xf numFmtId="0" fontId="0" fillId="0" borderId="39" xfId="0" applyBorder="1"/>
    <xf numFmtId="173" fontId="2" fillId="0" borderId="12" xfId="2" applyNumberFormat="1" applyFill="1" applyBorder="1"/>
    <xf numFmtId="173" fontId="2" fillId="0" borderId="15" xfId="2" applyNumberFormat="1" applyBorder="1"/>
    <xf numFmtId="173" fontId="2" fillId="0" borderId="9" xfId="2" applyNumberFormat="1" applyBorder="1"/>
    <xf numFmtId="173" fontId="2" fillId="0" borderId="12" xfId="2" applyNumberFormat="1" applyBorder="1"/>
    <xf numFmtId="0" fontId="0" fillId="0" borderId="40" xfId="0" applyBorder="1"/>
    <xf numFmtId="0" fontId="0" fillId="0" borderId="41" xfId="0" applyBorder="1"/>
    <xf numFmtId="0" fontId="0" fillId="0" borderId="42" xfId="0" applyBorder="1"/>
    <xf numFmtId="173" fontId="2" fillId="0" borderId="43" xfId="2" applyNumberFormat="1" applyBorder="1"/>
    <xf numFmtId="0" fontId="0" fillId="0" borderId="13" xfId="0" applyBorder="1" applyAlignment="1">
      <alignment wrapText="1"/>
    </xf>
    <xf numFmtId="0" fontId="0" fillId="0" borderId="14" xfId="0" applyBorder="1" applyAlignment="1">
      <alignment wrapText="1"/>
    </xf>
    <xf numFmtId="1" fontId="0" fillId="0" borderId="15" xfId="0" applyNumberFormat="1" applyBorder="1" applyAlignment="1">
      <alignment wrapText="1"/>
    </xf>
    <xf numFmtId="0" fontId="4" fillId="0" borderId="33" xfId="0" applyFont="1" applyFill="1" applyBorder="1" applyAlignment="1">
      <alignment horizontal="centerContinuous"/>
    </xf>
    <xf numFmtId="0" fontId="0" fillId="0" borderId="44" xfId="0" applyBorder="1" applyAlignment="1">
      <alignment horizontal="centerContinuous"/>
    </xf>
    <xf numFmtId="0" fontId="0" fillId="0" borderId="45" xfId="0" applyBorder="1" applyAlignment="1">
      <alignment horizontal="centerContinuous"/>
    </xf>
    <xf numFmtId="0" fontId="4" fillId="8" borderId="13" xfId="0" applyFont="1" applyFill="1" applyBorder="1" applyAlignment="1">
      <alignment horizontal="centerContinuous"/>
    </xf>
    <xf numFmtId="0" fontId="0" fillId="8" borderId="14" xfId="0" applyFill="1" applyBorder="1" applyAlignment="1">
      <alignment horizontal="centerContinuous"/>
    </xf>
    <xf numFmtId="0" fontId="0" fillId="8" borderId="15" xfId="0" applyFill="1" applyBorder="1" applyAlignment="1">
      <alignment horizontal="centerContinuous"/>
    </xf>
    <xf numFmtId="0" fontId="4" fillId="0" borderId="7" xfId="0" applyFont="1" applyBorder="1" applyAlignment="1">
      <alignment horizontal="right" wrapText="1"/>
    </xf>
    <xf numFmtId="0" fontId="20" fillId="0" borderId="8" xfId="0" applyFont="1" applyBorder="1" applyAlignment="1">
      <alignment wrapText="1"/>
    </xf>
    <xf numFmtId="0" fontId="20" fillId="0" borderId="9" xfId="0" applyFont="1" applyBorder="1" applyAlignment="1">
      <alignment wrapText="1"/>
    </xf>
    <xf numFmtId="0" fontId="20" fillId="8" borderId="7" xfId="0" applyFont="1" applyFill="1" applyBorder="1" applyAlignment="1">
      <alignment wrapText="1"/>
    </xf>
    <xf numFmtId="0" fontId="20" fillId="8" borderId="8" xfId="0" applyFont="1" applyFill="1" applyBorder="1" applyAlignment="1">
      <alignment wrapText="1"/>
    </xf>
    <xf numFmtId="0" fontId="20" fillId="8" borderId="9" xfId="0" applyFont="1" applyFill="1" applyBorder="1" applyAlignment="1">
      <alignment wrapText="1"/>
    </xf>
    <xf numFmtId="0" fontId="0" fillId="8" borderId="7" xfId="0" applyFill="1" applyBorder="1"/>
    <xf numFmtId="0" fontId="0" fillId="8" borderId="9" xfId="0" applyFill="1" applyBorder="1"/>
    <xf numFmtId="0" fontId="0" fillId="0" borderId="46" xfId="0" applyBorder="1"/>
    <xf numFmtId="0" fontId="0" fillId="0" borderId="47" xfId="0" applyBorder="1"/>
    <xf numFmtId="0" fontId="0" fillId="0" borderId="48" xfId="0" applyBorder="1"/>
    <xf numFmtId="0" fontId="0" fillId="8" borderId="46" xfId="0" applyFill="1" applyBorder="1"/>
    <xf numFmtId="0" fontId="0" fillId="8" borderId="47" xfId="0" applyFill="1" applyBorder="1"/>
    <xf numFmtId="0" fontId="0" fillId="8" borderId="48" xfId="0" applyFill="1" applyBorder="1"/>
    <xf numFmtId="0" fontId="4" fillId="0" borderId="49" xfId="0" applyFont="1" applyBorder="1"/>
    <xf numFmtId="0" fontId="0" fillId="0" borderId="50" xfId="0" applyBorder="1"/>
    <xf numFmtId="0" fontId="0" fillId="0" borderId="51" xfId="0" applyBorder="1"/>
    <xf numFmtId="0" fontId="0" fillId="8" borderId="49" xfId="0" applyFill="1" applyBorder="1"/>
    <xf numFmtId="0" fontId="0" fillId="8" borderId="50" xfId="0" applyFill="1" applyBorder="1"/>
    <xf numFmtId="0" fontId="0" fillId="8" borderId="51" xfId="0" applyFill="1" applyBorder="1"/>
    <xf numFmtId="0" fontId="0" fillId="8" borderId="10" xfId="0" applyFill="1" applyBorder="1"/>
    <xf numFmtId="0" fontId="0" fillId="8" borderId="11" xfId="0" applyFill="1" applyBorder="1"/>
    <xf numFmtId="0" fontId="0" fillId="8" borderId="12" xfId="0" applyFill="1" applyBorder="1"/>
    <xf numFmtId="0" fontId="0" fillId="0" borderId="31" xfId="0" applyBorder="1" applyAlignment="1">
      <alignment horizontal="centerContinuous"/>
    </xf>
    <xf numFmtId="0" fontId="20" fillId="8" borderId="13" xfId="0" applyFont="1" applyFill="1" applyBorder="1" applyAlignment="1">
      <alignment horizontal="centerContinuous"/>
    </xf>
    <xf numFmtId="0" fontId="4" fillId="0" borderId="7" xfId="0" applyFont="1" applyBorder="1" applyAlignment="1">
      <alignment horizontal="center" wrapText="1"/>
    </xf>
    <xf numFmtId="0" fontId="4" fillId="0" borderId="8" xfId="0" applyFont="1" applyFill="1" applyBorder="1" applyAlignment="1">
      <alignment horizontal="center" wrapText="1"/>
    </xf>
    <xf numFmtId="0" fontId="20" fillId="0" borderId="8" xfId="0" applyFont="1" applyBorder="1" applyAlignment="1">
      <alignment horizontal="center" wrapText="1"/>
    </xf>
    <xf numFmtId="0" fontId="20" fillId="0" borderId="9" xfId="0" applyFont="1" applyBorder="1" applyAlignment="1">
      <alignment horizontal="center" wrapText="1"/>
    </xf>
    <xf numFmtId="0" fontId="0" fillId="0" borderId="8" xfId="0" applyFill="1" applyBorder="1"/>
    <xf numFmtId="0" fontId="4" fillId="10" borderId="22" xfId="0" applyFont="1" applyFill="1" applyBorder="1" applyAlignment="1">
      <alignment horizontal="center" wrapText="1"/>
    </xf>
    <xf numFmtId="0" fontId="4" fillId="10" borderId="22" xfId="0" applyFont="1" applyFill="1" applyBorder="1"/>
    <xf numFmtId="0" fontId="4" fillId="0" borderId="52" xfId="0" applyFont="1" applyBorder="1" applyAlignment="1">
      <alignment horizontal="centerContinuous"/>
    </xf>
    <xf numFmtId="0" fontId="0" fillId="0" borderId="53" xfId="0" applyBorder="1" applyAlignment="1">
      <alignment horizontal="centerContinuous"/>
    </xf>
    <xf numFmtId="0" fontId="0" fillId="0" borderId="54" xfId="0" applyBorder="1" applyAlignment="1">
      <alignment horizontal="centerContinuous"/>
    </xf>
    <xf numFmtId="0" fontId="4" fillId="0" borderId="55" xfId="0" applyFont="1" applyFill="1" applyBorder="1" applyAlignment="1">
      <alignment horizontal="centerContinuous"/>
    </xf>
    <xf numFmtId="0" fontId="0" fillId="0" borderId="56" xfId="0" applyBorder="1" applyAlignment="1">
      <alignment horizontal="centerContinuous"/>
    </xf>
    <xf numFmtId="0" fontId="0" fillId="0" borderId="57" xfId="0" applyBorder="1" applyAlignment="1">
      <alignment horizontal="centerContinuous"/>
    </xf>
    <xf numFmtId="0" fontId="4" fillId="8" borderId="55" xfId="0" applyFont="1" applyFill="1" applyBorder="1" applyAlignment="1">
      <alignment horizontal="centerContinuous"/>
    </xf>
    <xf numFmtId="0" fontId="0" fillId="8" borderId="56" xfId="0" applyFill="1" applyBorder="1" applyAlignment="1">
      <alignment horizontal="centerContinuous"/>
    </xf>
    <xf numFmtId="0" fontId="0" fillId="8" borderId="57" xfId="0" applyFill="1" applyBorder="1" applyAlignment="1">
      <alignment horizontal="centerContinuous"/>
    </xf>
    <xf numFmtId="0" fontId="4" fillId="0" borderId="58" xfId="0" applyFont="1" applyBorder="1"/>
    <xf numFmtId="0" fontId="20" fillId="0" borderId="50" xfId="0" applyFont="1" applyBorder="1" applyAlignment="1">
      <alignment wrapText="1"/>
    </xf>
    <xf numFmtId="0" fontId="20" fillId="0" borderId="59" xfId="0" applyFont="1" applyBorder="1" applyAlignment="1">
      <alignment wrapText="1"/>
    </xf>
    <xf numFmtId="0" fontId="20" fillId="8" borderId="58" xfId="0" applyFont="1" applyFill="1" applyBorder="1" applyAlignment="1">
      <alignment wrapText="1"/>
    </xf>
    <xf numFmtId="0" fontId="20" fillId="8" borderId="50" xfId="0" applyFont="1" applyFill="1" applyBorder="1" applyAlignment="1">
      <alignment wrapText="1"/>
    </xf>
    <xf numFmtId="0" fontId="20" fillId="8" borderId="59" xfId="0" applyFont="1" applyFill="1" applyBorder="1" applyAlignment="1">
      <alignment wrapText="1"/>
    </xf>
    <xf numFmtId="0" fontId="20" fillId="8" borderId="60" xfId="0" applyFont="1" applyFill="1" applyBorder="1" applyAlignment="1">
      <alignment wrapText="1"/>
    </xf>
    <xf numFmtId="0" fontId="0" fillId="0" borderId="62" xfId="0" applyBorder="1"/>
    <xf numFmtId="0" fontId="0" fillId="0" borderId="63" xfId="0" applyBorder="1"/>
    <xf numFmtId="0" fontId="0" fillId="8" borderId="62" xfId="0" applyFill="1" applyBorder="1"/>
    <xf numFmtId="0" fontId="0" fillId="8" borderId="63" xfId="0" applyFill="1" applyBorder="1"/>
    <xf numFmtId="0" fontId="0" fillId="0" borderId="64" xfId="0" applyBorder="1"/>
    <xf numFmtId="0" fontId="0" fillId="0" borderId="65" xfId="0" applyBorder="1"/>
    <xf numFmtId="0" fontId="0" fillId="0" borderId="66" xfId="0" applyBorder="1"/>
    <xf numFmtId="0" fontId="0" fillId="8" borderId="64" xfId="0" applyFill="1" applyBorder="1"/>
    <xf numFmtId="0" fontId="0" fillId="8" borderId="65" xfId="0" applyFill="1" applyBorder="1"/>
    <xf numFmtId="0" fontId="0" fillId="8" borderId="66" xfId="0" applyFill="1" applyBorder="1"/>
    <xf numFmtId="0" fontId="4" fillId="0" borderId="67" xfId="0" applyFont="1" applyBorder="1" applyAlignment="1">
      <alignment horizontal="centerContinuous"/>
    </xf>
    <xf numFmtId="0" fontId="0" fillId="0" borderId="68" xfId="0" applyBorder="1" applyAlignment="1">
      <alignment horizontal="centerContinuous"/>
    </xf>
    <xf numFmtId="0" fontId="0" fillId="0" borderId="69" xfId="0" applyBorder="1" applyAlignment="1">
      <alignment horizontal="centerContinuous"/>
    </xf>
    <xf numFmtId="0" fontId="4" fillId="0" borderId="62" xfId="0" applyFont="1" applyBorder="1"/>
    <xf numFmtId="0" fontId="4" fillId="0" borderId="8" xfId="0" applyFont="1" applyBorder="1" applyAlignment="1">
      <alignment wrapText="1"/>
    </xf>
    <xf numFmtId="0" fontId="4" fillId="0" borderId="63" xfId="0" applyFont="1" applyBorder="1" applyAlignment="1">
      <alignment wrapText="1"/>
    </xf>
    <xf numFmtId="0" fontId="4" fillId="8" borderId="62" xfId="0" applyFont="1" applyFill="1" applyBorder="1" applyAlignment="1">
      <alignment wrapText="1"/>
    </xf>
    <xf numFmtId="0" fontId="4" fillId="8" borderId="8" xfId="0" applyFont="1" applyFill="1" applyBorder="1" applyAlignment="1">
      <alignment wrapText="1"/>
    </xf>
    <xf numFmtId="0" fontId="4" fillId="8" borderId="63" xfId="0" applyFont="1" applyFill="1" applyBorder="1" applyAlignment="1">
      <alignment wrapText="1"/>
    </xf>
    <xf numFmtId="0" fontId="5" fillId="0" borderId="62" xfId="0" applyFont="1" applyBorder="1"/>
    <xf numFmtId="1" fontId="0" fillId="0" borderId="63" xfId="0" applyNumberFormat="1" applyBorder="1"/>
    <xf numFmtId="1" fontId="0" fillId="8" borderId="62" xfId="0" applyNumberFormat="1" applyFill="1" applyBorder="1"/>
    <xf numFmtId="2" fontId="0" fillId="8" borderId="63" xfId="0" applyNumberFormat="1" applyFill="1" applyBorder="1"/>
    <xf numFmtId="0" fontId="0" fillId="0" borderId="44" xfId="0" applyBorder="1" applyAlignment="1">
      <alignment horizontal="left"/>
    </xf>
    <xf numFmtId="0" fontId="0" fillId="0" borderId="44" xfId="0" applyNumberFormat="1" applyBorder="1" applyAlignment="1">
      <alignment horizontal="right"/>
    </xf>
    <xf numFmtId="0" fontId="0" fillId="0" borderId="44" xfId="0" applyBorder="1"/>
    <xf numFmtId="10" fontId="0" fillId="0" borderId="45" xfId="0" applyNumberFormat="1" applyBorder="1"/>
    <xf numFmtId="0" fontId="0" fillId="0" borderId="70" xfId="0" applyBorder="1" applyAlignment="1">
      <alignment horizontal="left"/>
    </xf>
    <xf numFmtId="0" fontId="0" fillId="0" borderId="0" xfId="0" applyBorder="1" applyAlignment="1">
      <alignment horizontal="left"/>
    </xf>
    <xf numFmtId="0" fontId="0" fillId="0" borderId="0" xfId="0" applyNumberFormat="1" applyBorder="1" applyAlignment="1">
      <alignment horizontal="right"/>
    </xf>
    <xf numFmtId="10" fontId="0" fillId="0" borderId="71" xfId="0" applyNumberFormat="1" applyBorder="1"/>
    <xf numFmtId="0" fontId="0" fillId="0" borderId="70" xfId="0" applyBorder="1" applyAlignment="1">
      <alignment horizontal="right"/>
    </xf>
    <xf numFmtId="0" fontId="0" fillId="0" borderId="0" xfId="0" applyBorder="1" applyAlignment="1">
      <alignment horizontal="right"/>
    </xf>
    <xf numFmtId="10" fontId="0" fillId="0" borderId="72" xfId="0" applyNumberFormat="1" applyBorder="1"/>
    <xf numFmtId="0" fontId="4" fillId="0" borderId="44" xfId="0" applyFont="1" applyBorder="1"/>
    <xf numFmtId="0" fontId="0" fillId="0" borderId="45" xfId="0" applyBorder="1"/>
    <xf numFmtId="0" fontId="4" fillId="0" borderId="70" xfId="0" applyFont="1" applyBorder="1"/>
    <xf numFmtId="0" fontId="4" fillId="0" borderId="0" xfId="0" applyFont="1" applyBorder="1"/>
    <xf numFmtId="0" fontId="0" fillId="0" borderId="71" xfId="0" applyBorder="1"/>
    <xf numFmtId="0" fontId="5" fillId="0" borderId="70" xfId="0" applyFont="1" applyBorder="1"/>
    <xf numFmtId="0" fontId="5" fillId="0" borderId="0" xfId="0" applyFont="1" applyBorder="1"/>
    <xf numFmtId="0" fontId="5" fillId="0" borderId="70" xfId="0" applyFont="1" applyBorder="1" applyAlignment="1">
      <alignment horizontal="left"/>
    </xf>
    <xf numFmtId="0" fontId="5" fillId="0" borderId="0" xfId="0" applyFont="1" applyBorder="1" applyAlignment="1">
      <alignment horizontal="left"/>
    </xf>
    <xf numFmtId="0" fontId="4" fillId="0" borderId="44" xfId="0" applyFont="1" applyFill="1" applyBorder="1" applyAlignment="1">
      <alignment horizontal="left"/>
    </xf>
    <xf numFmtId="0" fontId="5" fillId="0" borderId="70" xfId="0" applyFont="1" applyFill="1" applyBorder="1" applyAlignment="1">
      <alignment horizontal="left"/>
    </xf>
    <xf numFmtId="0" fontId="4" fillId="0" borderId="44" xfId="0" applyFont="1" applyFill="1" applyBorder="1"/>
    <xf numFmtId="0" fontId="4" fillId="0" borderId="44" xfId="0" applyFont="1" applyBorder="1" applyAlignment="1">
      <alignment horizontal="left"/>
    </xf>
    <xf numFmtId="0" fontId="0" fillId="0" borderId="70" xfId="0" applyFill="1" applyBorder="1" applyAlignment="1">
      <alignment horizontal="left"/>
    </xf>
    <xf numFmtId="0" fontId="4" fillId="0" borderId="44" xfId="0" applyFont="1" applyFill="1" applyBorder="1" applyAlignment="1"/>
    <xf numFmtId="0" fontId="0" fillId="0" borderId="70" xfId="0" applyFont="1" applyFill="1" applyBorder="1" applyAlignment="1">
      <alignment horizontal="left"/>
    </xf>
    <xf numFmtId="0" fontId="5" fillId="0" borderId="70" xfId="0" applyFont="1" applyFill="1" applyBorder="1" applyAlignment="1"/>
    <xf numFmtId="0" fontId="0" fillId="0" borderId="72" xfId="0" applyBorder="1"/>
    <xf numFmtId="0" fontId="4" fillId="10" borderId="13" xfId="0" applyFont="1" applyFill="1" applyBorder="1" applyAlignment="1">
      <alignment horizontal="left"/>
    </xf>
    <xf numFmtId="0" fontId="0" fillId="0" borderId="34" xfId="0" applyFill="1" applyBorder="1" applyAlignment="1">
      <alignment horizontal="right"/>
    </xf>
    <xf numFmtId="0" fontId="0" fillId="0" borderId="34" xfId="0" applyFill="1" applyBorder="1"/>
    <xf numFmtId="10" fontId="0" fillId="0" borderId="34" xfId="0" applyNumberFormat="1" applyFill="1" applyBorder="1"/>
    <xf numFmtId="0" fontId="4" fillId="10" borderId="13" xfId="0" applyFont="1" applyFill="1" applyBorder="1"/>
    <xf numFmtId="0" fontId="0" fillId="0" borderId="34" xfId="0" applyBorder="1" applyAlignment="1">
      <alignment horizontal="right"/>
    </xf>
    <xf numFmtId="10" fontId="0" fillId="0" borderId="34" xfId="0" applyNumberFormat="1" applyBorder="1"/>
    <xf numFmtId="0" fontId="5" fillId="0" borderId="34" xfId="0" applyFont="1" applyFill="1" applyBorder="1" applyAlignment="1">
      <alignment horizontal="right"/>
    </xf>
    <xf numFmtId="0" fontId="4" fillId="10" borderId="13" xfId="0" applyFont="1" applyFill="1" applyBorder="1" applyAlignment="1"/>
    <xf numFmtId="0" fontId="4" fillId="10" borderId="13" xfId="0" applyFont="1" applyFill="1" applyBorder="1" applyAlignment="1">
      <alignment wrapText="1"/>
    </xf>
    <xf numFmtId="0" fontId="4" fillId="8" borderId="23" xfId="0" applyFont="1" applyFill="1" applyBorder="1" applyAlignment="1">
      <alignment horizontal="centerContinuous"/>
    </xf>
    <xf numFmtId="0" fontId="0" fillId="8" borderId="16" xfId="0" applyFill="1" applyBorder="1" applyAlignment="1">
      <alignment horizontal="centerContinuous"/>
    </xf>
    <xf numFmtId="0" fontId="0" fillId="8" borderId="17" xfId="0" applyFill="1" applyBorder="1" applyAlignment="1">
      <alignment horizontal="centerContinuous"/>
    </xf>
    <xf numFmtId="0" fontId="4" fillId="8" borderId="73" xfId="0" applyFont="1" applyFill="1" applyBorder="1"/>
    <xf numFmtId="0" fontId="4" fillId="8" borderId="74" xfId="0" applyFont="1" applyFill="1" applyBorder="1" applyAlignment="1">
      <alignment horizontal="center" wrapText="1"/>
    </xf>
    <xf numFmtId="0" fontId="4" fillId="8" borderId="75" xfId="0" applyFont="1" applyFill="1" applyBorder="1" applyAlignment="1">
      <alignment horizontal="center" wrapText="1"/>
    </xf>
    <xf numFmtId="0" fontId="0" fillId="8" borderId="13" xfId="0" applyFill="1" applyBorder="1"/>
    <xf numFmtId="2" fontId="0" fillId="8" borderId="14" xfId="0" applyNumberFormat="1" applyFill="1" applyBorder="1"/>
    <xf numFmtId="165" fontId="0" fillId="8" borderId="14" xfId="0" applyNumberFormat="1" applyFill="1" applyBorder="1"/>
    <xf numFmtId="165" fontId="0" fillId="8" borderId="15" xfId="0" applyNumberFormat="1" applyFill="1" applyBorder="1"/>
    <xf numFmtId="2" fontId="0" fillId="8" borderId="8" xfId="0" applyNumberFormat="1" applyFill="1" applyBorder="1"/>
    <xf numFmtId="165" fontId="0" fillId="8" borderId="8" xfId="0" applyNumberFormat="1" applyFill="1" applyBorder="1"/>
    <xf numFmtId="165" fontId="0" fillId="8" borderId="9" xfId="0" applyNumberFormat="1" applyFill="1" applyBorder="1"/>
    <xf numFmtId="2" fontId="0" fillId="8" borderId="11" xfId="0" applyNumberFormat="1" applyFill="1" applyBorder="1"/>
    <xf numFmtId="165" fontId="0" fillId="8" borderId="11" xfId="0" applyNumberFormat="1" applyFill="1" applyBorder="1"/>
    <xf numFmtId="165" fontId="0" fillId="8" borderId="12" xfId="0" applyNumberFormat="1" applyFill="1" applyBorder="1"/>
    <xf numFmtId="0" fontId="4" fillId="8" borderId="58" xfId="0" applyFont="1" applyFill="1" applyBorder="1"/>
    <xf numFmtId="0" fontId="0" fillId="8" borderId="59" xfId="0" applyFill="1" applyBorder="1"/>
    <xf numFmtId="0" fontId="4" fillId="8" borderId="8" xfId="0" applyFont="1" applyFill="1" applyBorder="1"/>
    <xf numFmtId="0" fontId="4" fillId="8" borderId="63" xfId="0" applyFont="1" applyFill="1" applyBorder="1"/>
    <xf numFmtId="165" fontId="0" fillId="0" borderId="0" xfId="0" applyNumberFormat="1" applyFill="1" applyBorder="1"/>
    <xf numFmtId="0" fontId="0" fillId="5" borderId="22" xfId="0" applyFill="1" applyBorder="1"/>
    <xf numFmtId="0" fontId="0" fillId="8" borderId="76" xfId="0" applyFill="1" applyBorder="1"/>
    <xf numFmtId="0" fontId="0" fillId="8" borderId="77" xfId="0" applyFill="1" applyBorder="1"/>
    <xf numFmtId="0" fontId="0" fillId="8" borderId="78" xfId="0" applyFill="1" applyBorder="1" applyAlignment="1">
      <alignment horizontal="centerContinuous"/>
    </xf>
    <xf numFmtId="0" fontId="0" fillId="8" borderId="79" xfId="0" applyFill="1" applyBorder="1" applyAlignment="1">
      <alignment horizontal="centerContinuous"/>
    </xf>
    <xf numFmtId="0" fontId="4" fillId="8" borderId="80" xfId="0" applyFont="1" applyFill="1" applyBorder="1" applyAlignment="1">
      <alignment horizontal="centerContinuous"/>
    </xf>
    <xf numFmtId="0" fontId="4" fillId="8" borderId="50" xfId="0" applyFont="1" applyFill="1" applyBorder="1" applyAlignment="1">
      <alignment wrapText="1"/>
    </xf>
    <xf numFmtId="0" fontId="4" fillId="8" borderId="59" xfId="0" applyFont="1" applyFill="1" applyBorder="1" applyAlignment="1">
      <alignment wrapText="1"/>
    </xf>
    <xf numFmtId="0" fontId="23" fillId="0" borderId="0" xfId="0" applyFont="1"/>
    <xf numFmtId="0" fontId="0" fillId="10" borderId="8" xfId="0" applyFill="1" applyBorder="1"/>
    <xf numFmtId="0" fontId="0" fillId="0" borderId="0" xfId="0" applyFill="1" applyBorder="1" applyAlignment="1">
      <alignment horizontal="right"/>
    </xf>
    <xf numFmtId="0" fontId="0" fillId="8" borderId="81" xfId="0" applyFill="1" applyBorder="1" applyAlignment="1">
      <alignment horizontal="centerContinuous"/>
    </xf>
    <xf numFmtId="0" fontId="0" fillId="8" borderId="82" xfId="0" applyFill="1" applyBorder="1" applyAlignment="1">
      <alignment horizontal="centerContinuous"/>
    </xf>
    <xf numFmtId="0" fontId="0" fillId="8" borderId="30" xfId="0" applyFill="1" applyBorder="1" applyAlignment="1">
      <alignment horizontal="centerContinuous"/>
    </xf>
    <xf numFmtId="0" fontId="4" fillId="8" borderId="81" xfId="0" applyFont="1" applyFill="1" applyBorder="1" applyAlignment="1">
      <alignment horizontal="centerContinuous"/>
    </xf>
    <xf numFmtId="0" fontId="0" fillId="8" borderId="0" xfId="0" applyFill="1"/>
    <xf numFmtId="0" fontId="23" fillId="8" borderId="81" xfId="0" applyFont="1" applyFill="1" applyBorder="1" applyAlignment="1">
      <alignment horizontal="centerContinuous"/>
    </xf>
    <xf numFmtId="0" fontId="0" fillId="8" borderId="83" xfId="0" applyFill="1" applyBorder="1"/>
    <xf numFmtId="0" fontId="4" fillId="8" borderId="67" xfId="0" applyFont="1" applyFill="1" applyBorder="1" applyAlignment="1">
      <alignment horizontal="centerContinuous" wrapText="1"/>
    </xf>
    <xf numFmtId="0" fontId="0" fillId="8" borderId="68" xfId="0" applyFill="1" applyBorder="1" applyAlignment="1">
      <alignment horizontal="centerContinuous" wrapText="1"/>
    </xf>
    <xf numFmtId="0" fontId="0" fillId="8" borderId="68" xfId="0" applyFill="1" applyBorder="1" applyAlignment="1">
      <alignment horizontal="centerContinuous"/>
    </xf>
    <xf numFmtId="0" fontId="0" fillId="8" borderId="69" xfId="0" applyFill="1" applyBorder="1" applyAlignment="1">
      <alignment horizontal="centerContinuous"/>
    </xf>
    <xf numFmtId="0" fontId="3" fillId="8" borderId="8" xfId="0" applyFont="1" applyFill="1" applyBorder="1" applyAlignment="1">
      <alignment horizontal="center"/>
    </xf>
    <xf numFmtId="0" fontId="0" fillId="8" borderId="50" xfId="0" applyFill="1" applyBorder="1" applyAlignment="1">
      <alignment horizontal="center" wrapText="1"/>
    </xf>
    <xf numFmtId="0" fontId="0" fillId="8" borderId="84" xfId="0" applyFill="1" applyBorder="1" applyAlignment="1">
      <alignment wrapText="1"/>
    </xf>
    <xf numFmtId="1" fontId="0" fillId="8" borderId="5" xfId="0" applyNumberFormat="1" applyFill="1" applyBorder="1"/>
    <xf numFmtId="0" fontId="0" fillId="8" borderId="84" xfId="0" applyFill="1" applyBorder="1" applyAlignment="1">
      <alignment horizontal="center" wrapText="1"/>
    </xf>
    <xf numFmtId="0" fontId="0" fillId="8" borderId="59" xfId="0" applyFill="1" applyBorder="1" applyAlignment="1">
      <alignment horizontal="center" wrapText="1"/>
    </xf>
    <xf numFmtId="0" fontId="0" fillId="8" borderId="5" xfId="0" applyFill="1" applyBorder="1" applyAlignment="1">
      <alignment horizontal="right" wrapText="1"/>
    </xf>
    <xf numFmtId="5" fontId="2" fillId="8" borderId="85" xfId="2" applyNumberFormat="1" applyFill="1" applyBorder="1" applyAlignment="1">
      <alignment horizontal="right" wrapText="1"/>
    </xf>
    <xf numFmtId="165" fontId="0" fillId="8" borderId="85" xfId="0" applyNumberFormat="1" applyFill="1" applyBorder="1"/>
    <xf numFmtId="0" fontId="0" fillId="8" borderId="86" xfId="0" applyFill="1" applyBorder="1"/>
    <xf numFmtId="1" fontId="0" fillId="8" borderId="87" xfId="0" applyNumberFormat="1" applyFill="1" applyBorder="1"/>
    <xf numFmtId="165" fontId="0" fillId="8" borderId="88" xfId="0" applyNumberFormat="1" applyFill="1" applyBorder="1"/>
    <xf numFmtId="0" fontId="4" fillId="10" borderId="33" xfId="0" applyFont="1" applyFill="1" applyBorder="1"/>
    <xf numFmtId="0" fontId="4" fillId="0" borderId="0" xfId="0" applyFont="1" applyAlignment="1">
      <alignment horizontal="left"/>
    </xf>
    <xf numFmtId="0" fontId="4" fillId="8" borderId="89" xfId="0" applyFont="1" applyFill="1" applyBorder="1" applyAlignment="1">
      <alignment horizontal="centerContinuous" wrapText="1"/>
    </xf>
    <xf numFmtId="0" fontId="0" fillId="8" borderId="90" xfId="0" applyFill="1" applyBorder="1" applyAlignment="1">
      <alignment horizontal="centerContinuous" wrapText="1"/>
    </xf>
    <xf numFmtId="0" fontId="0" fillId="8" borderId="91" xfId="0" applyFill="1" applyBorder="1" applyAlignment="1">
      <alignment horizontal="centerContinuous" wrapText="1"/>
    </xf>
    <xf numFmtId="0" fontId="0" fillId="8" borderId="69" xfId="0" applyFill="1" applyBorder="1"/>
    <xf numFmtId="0" fontId="0" fillId="11" borderId="13" xfId="0" applyFill="1" applyBorder="1"/>
    <xf numFmtId="0" fontId="0" fillId="11" borderId="15" xfId="0" applyFill="1" applyBorder="1"/>
    <xf numFmtId="0" fontId="0" fillId="11" borderId="10" xfId="0" applyFill="1" applyBorder="1"/>
    <xf numFmtId="0" fontId="0" fillId="11" borderId="12" xfId="0" applyFill="1" applyBorder="1"/>
    <xf numFmtId="0" fontId="0" fillId="0" borderId="47" xfId="0" applyBorder="1" applyAlignment="1">
      <alignment horizontal="center"/>
    </xf>
    <xf numFmtId="166" fontId="0" fillId="0" borderId="14" xfId="0" applyNumberFormat="1" applyBorder="1"/>
    <xf numFmtId="166" fontId="0" fillId="0" borderId="5" xfId="0" applyNumberFormat="1" applyBorder="1"/>
    <xf numFmtId="166" fontId="0" fillId="0" borderId="8" xfId="0" applyNumberFormat="1" applyBorder="1"/>
    <xf numFmtId="166" fontId="0" fillId="0" borderId="47" xfId="0" applyNumberFormat="1" applyBorder="1"/>
    <xf numFmtId="166" fontId="0" fillId="0" borderId="11" xfId="0" applyNumberFormat="1" applyBorder="1"/>
    <xf numFmtId="0" fontId="0" fillId="0" borderId="4" xfId="0" applyBorder="1" applyAlignment="1">
      <alignment wrapText="1"/>
    </xf>
    <xf numFmtId="0" fontId="0" fillId="0" borderId="5" xfId="0" applyBorder="1" applyAlignment="1">
      <alignment wrapText="1"/>
    </xf>
    <xf numFmtId="1" fontId="0" fillId="0" borderId="6" xfId="0" applyNumberFormat="1" applyBorder="1" applyAlignment="1">
      <alignment wrapText="1"/>
    </xf>
    <xf numFmtId="0" fontId="0" fillId="0" borderId="0" xfId="0" applyFill="1" applyBorder="1" applyAlignment="1"/>
    <xf numFmtId="0" fontId="0" fillId="0" borderId="10" xfId="0" applyBorder="1" applyAlignment="1"/>
    <xf numFmtId="0" fontId="0" fillId="0" borderId="11" xfId="0" applyBorder="1" applyAlignment="1"/>
    <xf numFmtId="1" fontId="0" fillId="0" borderId="12" xfId="1" applyNumberFormat="1" applyFont="1" applyBorder="1" applyAlignment="1"/>
    <xf numFmtId="173" fontId="0" fillId="0" borderId="0" xfId="2" applyNumberFormat="1" applyFont="1" applyAlignment="1"/>
    <xf numFmtId="44" fontId="0" fillId="0" borderId="0" xfId="2" applyFont="1" applyAlignment="1"/>
    <xf numFmtId="0" fontId="0" fillId="0" borderId="7" xfId="0" applyBorder="1" applyAlignment="1"/>
    <xf numFmtId="0" fontId="0" fillId="0" borderId="8" xfId="0" applyBorder="1" applyAlignment="1"/>
    <xf numFmtId="1" fontId="0" fillId="0" borderId="9" xfId="0" applyNumberFormat="1" applyBorder="1" applyAlignment="1"/>
    <xf numFmtId="0" fontId="0" fillId="0" borderId="46" xfId="0" applyBorder="1" applyAlignment="1"/>
    <xf numFmtId="0" fontId="0" fillId="0" borderId="47" xfId="0" applyBorder="1" applyAlignment="1"/>
    <xf numFmtId="1" fontId="0" fillId="0" borderId="48" xfId="0" applyNumberFormat="1" applyBorder="1" applyAlignment="1"/>
    <xf numFmtId="0" fontId="4" fillId="0" borderId="92" xfId="0" applyFont="1" applyBorder="1"/>
    <xf numFmtId="0" fontId="4" fillId="0" borderId="45" xfId="0" applyFont="1" applyBorder="1"/>
    <xf numFmtId="0" fontId="4" fillId="0" borderId="36" xfId="0" applyFont="1" applyBorder="1"/>
    <xf numFmtId="0" fontId="4" fillId="0" borderId="93" xfId="0" applyFont="1" applyBorder="1"/>
    <xf numFmtId="0" fontId="4" fillId="0" borderId="94" xfId="0" applyFont="1" applyBorder="1"/>
    <xf numFmtId="0" fontId="4" fillId="0" borderId="36" xfId="0" applyFont="1" applyFill="1" applyBorder="1"/>
    <xf numFmtId="0" fontId="4" fillId="0" borderId="93" xfId="0" applyFont="1" applyFill="1" applyBorder="1"/>
    <xf numFmtId="0" fontId="4" fillId="0" borderId="94" xfId="0" applyFont="1" applyFill="1" applyBorder="1"/>
    <xf numFmtId="0" fontId="5" fillId="0" borderId="0" xfId="0" applyFont="1" applyFill="1" applyBorder="1"/>
    <xf numFmtId="0" fontId="0" fillId="0" borderId="19" xfId="0" applyFill="1" applyBorder="1"/>
    <xf numFmtId="0" fontId="0" fillId="8" borderId="8" xfId="0" applyFill="1" applyBorder="1" applyAlignment="1">
      <alignment horizontal="centerContinuous"/>
    </xf>
    <xf numFmtId="1" fontId="0" fillId="8" borderId="8" xfId="0" applyNumberFormat="1" applyFill="1" applyBorder="1"/>
    <xf numFmtId="0" fontId="4" fillId="8" borderId="8" xfId="0" applyFont="1" applyFill="1" applyBorder="1" applyAlignment="1">
      <alignment horizontal="center"/>
    </xf>
    <xf numFmtId="0" fontId="4" fillId="8" borderId="8" xfId="0" applyFont="1" applyFill="1" applyBorder="1" applyAlignment="1">
      <alignment horizontal="center" wrapText="1"/>
    </xf>
    <xf numFmtId="0" fontId="4" fillId="10" borderId="81" xfId="0" applyFont="1" applyFill="1" applyBorder="1" applyAlignment="1">
      <alignment horizontal="centerContinuous"/>
    </xf>
    <xf numFmtId="0" fontId="4" fillId="10" borderId="30" xfId="0" applyFont="1" applyFill="1" applyBorder="1" applyAlignment="1">
      <alignment horizontal="centerContinuous"/>
    </xf>
    <xf numFmtId="0" fontId="4" fillId="10" borderId="8" xfId="0" applyFont="1" applyFill="1" applyBorder="1"/>
    <xf numFmtId="0" fontId="0" fillId="3" borderId="95" xfId="0" applyFill="1" applyBorder="1"/>
    <xf numFmtId="0" fontId="4" fillId="3" borderId="96" xfId="0" applyFont="1" applyFill="1" applyBorder="1" applyAlignment="1">
      <alignment horizontal="center"/>
    </xf>
    <xf numFmtId="0" fontId="4" fillId="3" borderId="97" xfId="0" applyFont="1" applyFill="1" applyBorder="1" applyAlignment="1">
      <alignment horizontal="center"/>
    </xf>
    <xf numFmtId="0" fontId="4" fillId="3" borderId="98" xfId="0" applyFont="1" applyFill="1" applyBorder="1" applyAlignment="1">
      <alignment horizontal="center"/>
    </xf>
    <xf numFmtId="0" fontId="4" fillId="3" borderId="99" xfId="0" applyFont="1" applyFill="1" applyBorder="1" applyAlignment="1">
      <alignment horizontal="center"/>
    </xf>
    <xf numFmtId="0" fontId="4" fillId="3" borderId="100" xfId="0" applyFont="1" applyFill="1" applyBorder="1" applyAlignment="1">
      <alignment horizontal="center"/>
    </xf>
    <xf numFmtId="0" fontId="4" fillId="3" borderId="101" xfId="0" applyFont="1" applyFill="1" applyBorder="1"/>
    <xf numFmtId="3" fontId="4" fillId="3" borderId="102" xfId="0" applyNumberFormat="1" applyFont="1" applyFill="1" applyBorder="1"/>
    <xf numFmtId="3" fontId="4" fillId="3" borderId="103" xfId="0" applyNumberFormat="1" applyFont="1" applyFill="1" applyBorder="1"/>
    <xf numFmtId="0" fontId="5" fillId="3" borderId="104" xfId="0" applyFont="1" applyFill="1" applyBorder="1" applyAlignment="1">
      <alignment horizontal="left"/>
    </xf>
    <xf numFmtId="3" fontId="6" fillId="3" borderId="8" xfId="0" applyNumberFormat="1" applyFont="1" applyFill="1" applyBorder="1"/>
    <xf numFmtId="3" fontId="0" fillId="3" borderId="105" xfId="0" applyNumberFormat="1" applyFill="1" applyBorder="1"/>
    <xf numFmtId="0" fontId="4" fillId="3" borderId="104" xfId="0" applyFont="1" applyFill="1" applyBorder="1"/>
    <xf numFmtId="3" fontId="4" fillId="3" borderId="8" xfId="0" applyNumberFormat="1" applyFont="1" applyFill="1" applyBorder="1"/>
    <xf numFmtId="3" fontId="4" fillId="3" borderId="105" xfId="0" applyNumberFormat="1" applyFont="1" applyFill="1" applyBorder="1"/>
    <xf numFmtId="0" fontId="5" fillId="3" borderId="104" xfId="0" applyFont="1" applyFill="1" applyBorder="1" applyAlignment="1">
      <alignment horizontal="left" indent="1"/>
    </xf>
    <xf numFmtId="3" fontId="7" fillId="3" borderId="8" xfId="0" applyNumberFormat="1" applyFont="1" applyFill="1" applyBorder="1"/>
    <xf numFmtId="3" fontId="22" fillId="3" borderId="8" xfId="0" applyNumberFormat="1" applyFont="1" applyFill="1" applyBorder="1"/>
    <xf numFmtId="3" fontId="5" fillId="3" borderId="105" xfId="0" applyNumberFormat="1" applyFont="1" applyFill="1" applyBorder="1"/>
    <xf numFmtId="0" fontId="4" fillId="3" borderId="106" xfId="0" applyFont="1" applyFill="1" applyBorder="1" applyAlignment="1">
      <alignment horizontal="right"/>
    </xf>
    <xf numFmtId="3" fontId="22" fillId="3" borderId="47" xfId="0" applyNumberFormat="1" applyFont="1" applyFill="1" applyBorder="1"/>
    <xf numFmtId="3" fontId="22" fillId="3" borderId="107" xfId="0" applyNumberFormat="1" applyFont="1" applyFill="1" applyBorder="1"/>
    <xf numFmtId="3" fontId="7" fillId="3" borderId="47" xfId="0" applyNumberFormat="1" applyFont="1" applyFill="1" applyBorder="1"/>
    <xf numFmtId="0" fontId="4" fillId="3" borderId="108" xfId="0" applyFont="1" applyFill="1" applyBorder="1"/>
    <xf numFmtId="3" fontId="22" fillId="3" borderId="109" xfId="0" applyNumberFormat="1" applyFont="1" applyFill="1" applyBorder="1"/>
    <xf numFmtId="3" fontId="22" fillId="3" borderId="110" xfId="0" applyNumberFormat="1" applyFont="1" applyFill="1" applyBorder="1"/>
    <xf numFmtId="0" fontId="4" fillId="3" borderId="111" xfId="0" applyFont="1" applyFill="1" applyBorder="1"/>
    <xf numFmtId="3" fontId="22" fillId="3" borderId="42" xfId="0" applyNumberFormat="1" applyFont="1" applyFill="1" applyBorder="1"/>
    <xf numFmtId="3" fontId="22" fillId="3" borderId="97" xfId="0" applyNumberFormat="1" applyFont="1" applyFill="1" applyBorder="1"/>
    <xf numFmtId="3" fontId="4" fillId="3" borderId="42" xfId="0" applyNumberFormat="1" applyFont="1" applyFill="1" applyBorder="1"/>
    <xf numFmtId="3" fontId="4" fillId="3" borderId="97" xfId="0" applyNumberFormat="1" applyFont="1" applyFill="1" applyBorder="1"/>
    <xf numFmtId="1" fontId="4" fillId="3" borderId="97" xfId="0" applyNumberFormat="1" applyFont="1" applyFill="1" applyBorder="1"/>
    <xf numFmtId="0" fontId="4" fillId="3" borderId="112" xfId="0" applyFont="1" applyFill="1" applyBorder="1"/>
    <xf numFmtId="3" fontId="5" fillId="3" borderId="113" xfId="0" applyNumberFormat="1" applyFont="1" applyFill="1" applyBorder="1"/>
    <xf numFmtId="1" fontId="0" fillId="3" borderId="114" xfId="0" applyNumberFormat="1" applyFill="1" applyBorder="1"/>
    <xf numFmtId="0" fontId="4" fillId="3" borderId="111" xfId="0" applyFont="1" applyFill="1" applyBorder="1" applyAlignment="1">
      <alignment horizontal="right"/>
    </xf>
    <xf numFmtId="3" fontId="5" fillId="3" borderId="42" xfId="0" applyNumberFormat="1" applyFont="1" applyFill="1" applyBorder="1"/>
    <xf numFmtId="1" fontId="5" fillId="3" borderId="97" xfId="0" applyNumberFormat="1" applyFont="1" applyFill="1" applyBorder="1"/>
    <xf numFmtId="0" fontId="4" fillId="3" borderId="115" xfId="0" applyFont="1" applyFill="1" applyBorder="1" applyAlignment="1">
      <alignment horizontal="right"/>
    </xf>
    <xf numFmtId="3" fontId="5" fillId="3" borderId="116" xfId="0" applyNumberFormat="1" applyFont="1" applyFill="1" applyBorder="1"/>
    <xf numFmtId="1" fontId="0" fillId="3" borderId="100" xfId="0" applyNumberFormat="1" applyFill="1" applyBorder="1"/>
    <xf numFmtId="1" fontId="0" fillId="3" borderId="97" xfId="0" applyNumberFormat="1" applyFill="1" applyBorder="1"/>
    <xf numFmtId="10" fontId="22" fillId="3" borderId="42" xfId="0" applyNumberFormat="1" applyFont="1" applyFill="1" applyBorder="1"/>
    <xf numFmtId="1" fontId="22" fillId="3" borderId="117" xfId="0" applyNumberFormat="1" applyFont="1" applyFill="1" applyBorder="1"/>
    <xf numFmtId="0" fontId="0" fillId="3" borderId="112" xfId="0" applyFill="1" applyBorder="1"/>
    <xf numFmtId="0" fontId="5" fillId="3" borderId="113" xfId="0" applyFont="1" applyFill="1" applyBorder="1"/>
    <xf numFmtId="0" fontId="0" fillId="3" borderId="97" xfId="0" applyFill="1" applyBorder="1"/>
    <xf numFmtId="10" fontId="5" fillId="3" borderId="42" xfId="0" applyNumberFormat="1" applyFont="1" applyFill="1" applyBorder="1"/>
    <xf numFmtId="10" fontId="0" fillId="3" borderId="97" xfId="0" applyNumberFormat="1" applyFill="1" applyBorder="1"/>
    <xf numFmtId="0" fontId="0" fillId="3" borderId="111" xfId="0" applyFill="1" applyBorder="1"/>
    <xf numFmtId="0" fontId="5" fillId="3" borderId="42" xfId="0" applyFont="1" applyFill="1" applyBorder="1"/>
    <xf numFmtId="0" fontId="8" fillId="3" borderId="111" xfId="0" applyFont="1" applyFill="1" applyBorder="1"/>
    <xf numFmtId="166" fontId="8" fillId="3" borderId="42" xfId="0" applyNumberFormat="1" applyFont="1" applyFill="1" applyBorder="1"/>
    <xf numFmtId="0" fontId="8" fillId="3" borderId="115" xfId="0" applyFont="1" applyFill="1" applyBorder="1"/>
    <xf numFmtId="166" fontId="8" fillId="3" borderId="116" xfId="0" applyNumberFormat="1" applyFont="1" applyFill="1" applyBorder="1"/>
    <xf numFmtId="166" fontId="8" fillId="3" borderId="100" xfId="0" applyNumberFormat="1" applyFont="1" applyFill="1" applyBorder="1"/>
    <xf numFmtId="0" fontId="0" fillId="3" borderId="118" xfId="0" applyFill="1" applyBorder="1"/>
    <xf numFmtId="0" fontId="4" fillId="3" borderId="119" xfId="0" applyFont="1" applyFill="1" applyBorder="1" applyAlignment="1">
      <alignment horizontal="center"/>
    </xf>
    <xf numFmtId="0" fontId="4" fillId="3" borderId="114" xfId="0" applyFont="1" applyFill="1" applyBorder="1" applyAlignment="1">
      <alignment horizontal="center"/>
    </xf>
    <xf numFmtId="173" fontId="0" fillId="0" borderId="0" xfId="0" applyNumberFormat="1" applyBorder="1"/>
    <xf numFmtId="1" fontId="0" fillId="0" borderId="0" xfId="0" applyNumberFormat="1" applyBorder="1"/>
    <xf numFmtId="0" fontId="0" fillId="11" borderId="41" xfId="0" applyFill="1" applyBorder="1"/>
    <xf numFmtId="0" fontId="0" fillId="11" borderId="43" xfId="0" applyFill="1" applyBorder="1"/>
    <xf numFmtId="0" fontId="0" fillId="10" borderId="22" xfId="0" applyFill="1" applyBorder="1"/>
    <xf numFmtId="0" fontId="4" fillId="10" borderId="22" xfId="0" applyFont="1" applyFill="1" applyBorder="1" applyAlignment="1">
      <alignment horizontal="center"/>
    </xf>
    <xf numFmtId="0" fontId="4" fillId="3" borderId="22" xfId="0" applyFont="1" applyFill="1" applyBorder="1" applyAlignment="1">
      <alignment horizontal="center"/>
    </xf>
    <xf numFmtId="4" fontId="0" fillId="3" borderId="22" xfId="0" applyNumberFormat="1" applyFill="1" applyBorder="1"/>
    <xf numFmtId="0" fontId="0" fillId="12" borderId="22" xfId="0" applyFill="1" applyBorder="1"/>
    <xf numFmtId="0" fontId="4" fillId="10" borderId="120" xfId="0" applyFont="1" applyFill="1" applyBorder="1"/>
    <xf numFmtId="0" fontId="4" fillId="3" borderId="22" xfId="0" applyFont="1" applyFill="1" applyBorder="1"/>
    <xf numFmtId="0" fontId="4" fillId="10" borderId="67" xfId="0" applyFont="1" applyFill="1" applyBorder="1"/>
    <xf numFmtId="0" fontId="4" fillId="3" borderId="67" xfId="0" applyFont="1" applyFill="1" applyBorder="1"/>
    <xf numFmtId="0" fontId="4" fillId="3" borderId="67" xfId="0" applyFont="1" applyFill="1" applyBorder="1" applyAlignment="1">
      <alignment horizontal="right"/>
    </xf>
    <xf numFmtId="0" fontId="4" fillId="3" borderId="22" xfId="0" applyFont="1" applyFill="1" applyBorder="1" applyAlignment="1">
      <alignment wrapText="1"/>
    </xf>
    <xf numFmtId="1" fontId="0" fillId="3" borderId="22" xfId="0" applyNumberFormat="1" applyFill="1" applyBorder="1"/>
    <xf numFmtId="164" fontId="0" fillId="3" borderId="22" xfId="0" applyNumberFormat="1" applyFill="1" applyBorder="1"/>
    <xf numFmtId="0" fontId="4" fillId="3" borderId="22" xfId="0" applyFont="1" applyFill="1" applyBorder="1" applyAlignment="1" applyProtection="1">
      <alignment horizontal="center"/>
    </xf>
    <xf numFmtId="0" fontId="4" fillId="10" borderId="121" xfId="0" applyFont="1" applyFill="1" applyBorder="1" applyAlignment="1">
      <alignment horizontal="center" wrapText="1"/>
    </xf>
    <xf numFmtId="0" fontId="4" fillId="0" borderId="0" xfId="0" applyFont="1" applyFill="1" applyBorder="1" applyProtection="1"/>
    <xf numFmtId="0" fontId="2" fillId="8" borderId="4" xfId="0" applyFont="1" applyFill="1" applyBorder="1"/>
    <xf numFmtId="1" fontId="2" fillId="8" borderId="5" xfId="0" applyNumberFormat="1" applyFont="1" applyFill="1" applyBorder="1" applyAlignment="1">
      <alignment horizontal="right" wrapText="1"/>
    </xf>
    <xf numFmtId="0" fontId="2" fillId="8" borderId="5" xfId="0" applyFont="1" applyFill="1" applyBorder="1" applyAlignment="1">
      <alignment horizontal="right" wrapText="1"/>
    </xf>
    <xf numFmtId="0" fontId="2" fillId="8" borderId="7" xfId="0" applyFont="1" applyFill="1" applyBorder="1"/>
    <xf numFmtId="0" fontId="2" fillId="8" borderId="8" xfId="0" applyFont="1" applyFill="1" applyBorder="1" applyAlignment="1">
      <alignment horizontal="right"/>
    </xf>
    <xf numFmtId="0" fontId="2" fillId="8" borderId="10" xfId="0" applyFont="1" applyFill="1" applyBorder="1"/>
    <xf numFmtId="0" fontId="2" fillId="8" borderId="11" xfId="0" applyFont="1" applyFill="1" applyBorder="1" applyAlignment="1">
      <alignment horizontal="right"/>
    </xf>
    <xf numFmtId="0" fontId="2" fillId="8" borderId="13" xfId="0" applyFont="1" applyFill="1" applyBorder="1"/>
    <xf numFmtId="1" fontId="2" fillId="8" borderId="14" xfId="0" applyNumberFormat="1" applyFont="1" applyFill="1" applyBorder="1" applyAlignment="1">
      <alignment horizontal="right" wrapText="1"/>
    </xf>
    <xf numFmtId="0" fontId="2" fillId="8" borderId="14" xfId="0" applyFont="1" applyFill="1" applyBorder="1" applyAlignment="1">
      <alignment horizontal="right" wrapText="1"/>
    </xf>
    <xf numFmtId="0" fontId="2" fillId="8" borderId="15" xfId="0" applyFont="1" applyFill="1" applyBorder="1" applyAlignment="1">
      <alignment horizontal="right" wrapText="1"/>
    </xf>
    <xf numFmtId="0" fontId="2" fillId="8" borderId="6" xfId="0" applyFont="1" applyFill="1" applyBorder="1" applyAlignment="1">
      <alignment horizontal="right" wrapText="1"/>
    </xf>
    <xf numFmtId="0" fontId="2" fillId="8" borderId="20" xfId="0" applyFont="1" applyFill="1" applyBorder="1"/>
    <xf numFmtId="1" fontId="2" fillId="8" borderId="21" xfId="0" applyNumberFormat="1" applyFont="1" applyFill="1" applyBorder="1" applyAlignment="1">
      <alignment horizontal="right" wrapText="1"/>
    </xf>
    <xf numFmtId="0" fontId="2" fillId="8" borderId="21" xfId="0" applyFont="1" applyFill="1" applyBorder="1" applyAlignment="1">
      <alignment horizontal="right" wrapText="1"/>
    </xf>
    <xf numFmtId="0" fontId="2" fillId="8" borderId="27" xfId="0" applyFont="1" applyFill="1" applyBorder="1" applyAlignment="1">
      <alignment horizontal="right" wrapText="1"/>
    </xf>
    <xf numFmtId="0" fontId="2" fillId="8" borderId="14" xfId="0" applyFont="1" applyFill="1" applyBorder="1" applyAlignment="1">
      <alignment horizontal="right"/>
    </xf>
    <xf numFmtId="0" fontId="2" fillId="8" borderId="15" xfId="0" applyFont="1" applyFill="1" applyBorder="1" applyAlignment="1">
      <alignment horizontal="right"/>
    </xf>
    <xf numFmtId="0" fontId="2" fillId="8" borderId="9" xfId="0" applyFont="1" applyFill="1" applyBorder="1" applyAlignment="1">
      <alignment horizontal="right"/>
    </xf>
    <xf numFmtId="0" fontId="2" fillId="8" borderId="12" xfId="0" applyFont="1" applyFill="1" applyBorder="1" applyAlignment="1">
      <alignment horizontal="right"/>
    </xf>
    <xf numFmtId="0" fontId="0" fillId="8" borderId="41" xfId="0" applyFill="1" applyBorder="1"/>
    <xf numFmtId="0" fontId="20" fillId="8" borderId="42" xfId="0" applyFont="1" applyFill="1" applyBorder="1" applyAlignment="1">
      <alignment horizontal="center" wrapText="1"/>
    </xf>
    <xf numFmtId="0" fontId="20" fillId="8" borderId="122" xfId="0" applyFont="1" applyFill="1" applyBorder="1" applyAlignment="1">
      <alignment horizontal="center" wrapText="1"/>
    </xf>
    <xf numFmtId="0" fontId="2" fillId="8" borderId="21" xfId="0" applyFont="1" applyFill="1" applyBorder="1" applyAlignment="1">
      <alignment horizontal="right"/>
    </xf>
    <xf numFmtId="0" fontId="2" fillId="8" borderId="27" xfId="0" applyFont="1" applyFill="1" applyBorder="1" applyAlignment="1">
      <alignment horizontal="right"/>
    </xf>
    <xf numFmtId="1" fontId="0" fillId="0" borderId="2" xfId="0" applyNumberFormat="1" applyBorder="1"/>
    <xf numFmtId="0" fontId="4" fillId="13" borderId="0" xfId="0" applyFont="1" applyFill="1" applyAlignment="1">
      <alignment horizontal="centerContinuous"/>
    </xf>
    <xf numFmtId="0" fontId="0" fillId="13" borderId="0" xfId="0" applyFill="1"/>
    <xf numFmtId="0" fontId="5" fillId="10" borderId="22" xfId="0" applyFont="1" applyFill="1" applyBorder="1" applyAlignment="1">
      <alignment horizontal="center"/>
    </xf>
    <xf numFmtId="0" fontId="4" fillId="10" borderId="68" xfId="0" applyFont="1" applyFill="1" applyBorder="1"/>
    <xf numFmtId="3" fontId="0" fillId="0" borderId="0" xfId="0" applyNumberFormat="1" applyFill="1" applyBorder="1"/>
    <xf numFmtId="3" fontId="0" fillId="10" borderId="22" xfId="0" applyNumberFormat="1" applyFill="1" applyBorder="1"/>
    <xf numFmtId="0" fontId="4" fillId="3" borderId="68" xfId="0" applyFont="1" applyFill="1" applyBorder="1"/>
    <xf numFmtId="0" fontId="4" fillId="3" borderId="68" xfId="0" applyFont="1" applyFill="1" applyBorder="1" applyAlignment="1">
      <alignment horizontal="right"/>
    </xf>
    <xf numFmtId="0" fontId="0" fillId="12" borderId="30" xfId="0" applyFill="1" applyBorder="1"/>
    <xf numFmtId="3" fontId="4" fillId="3" borderId="22" xfId="0" applyNumberFormat="1" applyFont="1" applyFill="1" applyBorder="1" applyAlignment="1">
      <alignment horizontal="center"/>
    </xf>
    <xf numFmtId="165" fontId="0" fillId="3" borderId="22" xfId="0" applyNumberFormat="1" applyFill="1" applyBorder="1" applyProtection="1">
      <protection locked="0"/>
    </xf>
    <xf numFmtId="0" fontId="4" fillId="3" borderId="121" xfId="0" applyFont="1" applyFill="1" applyBorder="1" applyAlignment="1">
      <alignment horizontal="center"/>
    </xf>
    <xf numFmtId="0" fontId="4" fillId="5" borderId="58" xfId="0" applyFont="1" applyFill="1" applyBorder="1"/>
    <xf numFmtId="0" fontId="4" fillId="5" borderId="50" xfId="0" applyFont="1" applyFill="1" applyBorder="1"/>
    <xf numFmtId="0" fontId="4" fillId="5" borderId="59" xfId="0" applyFont="1" applyFill="1" applyBorder="1"/>
    <xf numFmtId="0" fontId="4" fillId="5" borderId="62" xfId="0" applyFont="1" applyFill="1" applyBorder="1"/>
    <xf numFmtId="0" fontId="4" fillId="5" borderId="63" xfId="0" applyFont="1" applyFill="1" applyBorder="1"/>
    <xf numFmtId="0" fontId="4" fillId="5" borderId="64" xfId="0" applyFont="1" applyFill="1" applyBorder="1"/>
    <xf numFmtId="0" fontId="4" fillId="5" borderId="65" xfId="0" applyFont="1" applyFill="1" applyBorder="1"/>
    <xf numFmtId="0" fontId="4" fillId="5" borderId="66" xfId="0" applyFont="1" applyFill="1" applyBorder="1"/>
    <xf numFmtId="0" fontId="0" fillId="0" borderId="68" xfId="0" applyFill="1" applyBorder="1"/>
    <xf numFmtId="0" fontId="4" fillId="3" borderId="123" xfId="0" applyFont="1" applyFill="1" applyBorder="1" applyAlignment="1">
      <alignment horizontal="center"/>
    </xf>
    <xf numFmtId="2" fontId="4" fillId="5" borderId="65" xfId="0" applyNumberFormat="1" applyFont="1" applyFill="1" applyBorder="1"/>
    <xf numFmtId="2" fontId="4" fillId="5" borderId="66" xfId="0" applyNumberFormat="1" applyFont="1" applyFill="1" applyBorder="1"/>
    <xf numFmtId="2" fontId="4" fillId="5" borderId="8" xfId="0" applyNumberFormat="1" applyFont="1" applyFill="1" applyBorder="1"/>
    <xf numFmtId="2" fontId="4" fillId="5" borderId="63" xfId="0" applyNumberFormat="1" applyFont="1" applyFill="1" applyBorder="1"/>
    <xf numFmtId="165" fontId="0" fillId="5" borderId="22" xfId="0" applyNumberFormat="1" applyFill="1" applyBorder="1"/>
    <xf numFmtId="174" fontId="4" fillId="5" borderId="8" xfId="0" applyNumberFormat="1" applyFont="1" applyFill="1" applyBorder="1"/>
    <xf numFmtId="174" fontId="4" fillId="5" borderId="63" xfId="0" applyNumberFormat="1" applyFont="1" applyFill="1" applyBorder="1"/>
    <xf numFmtId="0" fontId="0" fillId="0" borderId="56" xfId="0" applyFill="1" applyBorder="1"/>
    <xf numFmtId="3" fontId="0" fillId="3" borderId="22" xfId="0" applyNumberFormat="1" applyFill="1" applyBorder="1" applyProtection="1">
      <protection locked="0"/>
    </xf>
    <xf numFmtId="0" fontId="0" fillId="3" borderId="22" xfId="0" applyFill="1" applyBorder="1" applyAlignment="1">
      <alignment wrapText="1"/>
    </xf>
    <xf numFmtId="0" fontId="0" fillId="5" borderId="13" xfId="0" applyFill="1" applyBorder="1"/>
    <xf numFmtId="0" fontId="0" fillId="5" borderId="15" xfId="0" applyFill="1" applyBorder="1"/>
    <xf numFmtId="0" fontId="0" fillId="5" borderId="10" xfId="0" applyFill="1" applyBorder="1"/>
    <xf numFmtId="0" fontId="0" fillId="5" borderId="12" xfId="0" applyFill="1" applyBorder="1"/>
    <xf numFmtId="0" fontId="0" fillId="12" borderId="39" xfId="0" applyFill="1" applyBorder="1" applyAlignment="1">
      <alignment horizontal="right"/>
    </xf>
    <xf numFmtId="0" fontId="0" fillId="12" borderId="124" xfId="0" applyFill="1" applyBorder="1" applyAlignment="1">
      <alignment horizontal="right"/>
    </xf>
    <xf numFmtId="0" fontId="0" fillId="12" borderId="31" xfId="0" applyFill="1" applyBorder="1"/>
    <xf numFmtId="0" fontId="5" fillId="12" borderId="39" xfId="0" applyFont="1" applyFill="1" applyBorder="1" applyAlignment="1">
      <alignment horizontal="right"/>
    </xf>
    <xf numFmtId="0" fontId="5" fillId="12" borderId="124" xfId="0" applyFont="1" applyFill="1" applyBorder="1" applyAlignment="1">
      <alignment horizontal="right"/>
    </xf>
    <xf numFmtId="0" fontId="0" fillId="12" borderId="124" xfId="0" applyFill="1" applyBorder="1" applyAlignment="1">
      <alignment horizontal="left"/>
    </xf>
    <xf numFmtId="0" fontId="4" fillId="12" borderId="22" xfId="0" applyFont="1" applyFill="1" applyBorder="1"/>
    <xf numFmtId="0" fontId="4" fillId="10" borderId="8" xfId="0" applyFont="1" applyFill="1" applyBorder="1" applyAlignment="1">
      <alignment horizontal="center" wrapText="1"/>
    </xf>
    <xf numFmtId="0" fontId="0" fillId="10" borderId="8" xfId="0" applyFill="1" applyBorder="1" applyAlignment="1">
      <alignment horizontal="center"/>
    </xf>
    <xf numFmtId="0" fontId="4" fillId="10" borderId="8" xfId="0" applyFont="1" applyFill="1" applyBorder="1" applyAlignment="1">
      <alignment horizontal="center"/>
    </xf>
    <xf numFmtId="0" fontId="5" fillId="10" borderId="8" xfId="0" applyFont="1" applyFill="1" applyBorder="1" applyAlignment="1">
      <alignment horizontal="center"/>
    </xf>
    <xf numFmtId="0" fontId="24" fillId="0" borderId="0" xfId="0" applyFont="1" applyAlignment="1">
      <alignment horizontal="centerContinuous" wrapText="1"/>
    </xf>
    <xf numFmtId="0" fontId="5" fillId="3" borderId="121" xfId="0" applyFont="1" applyFill="1" applyBorder="1" applyAlignment="1">
      <alignment horizontal="right"/>
    </xf>
    <xf numFmtId="0" fontId="24" fillId="0" borderId="0" xfId="0" applyFont="1" applyAlignment="1">
      <alignment horizontal="left"/>
    </xf>
    <xf numFmtId="0" fontId="0" fillId="5" borderId="0" xfId="0" applyFill="1"/>
    <xf numFmtId="166" fontId="0" fillId="5" borderId="125" xfId="0" applyNumberFormat="1" applyFill="1" applyBorder="1"/>
    <xf numFmtId="0" fontId="0" fillId="5" borderId="126" xfId="0" applyFill="1" applyBorder="1"/>
    <xf numFmtId="0" fontId="0" fillId="5" borderId="40" xfId="0" applyFill="1" applyBorder="1"/>
    <xf numFmtId="2" fontId="0" fillId="5" borderId="127" xfId="0" applyNumberFormat="1" applyFill="1" applyBorder="1"/>
    <xf numFmtId="0" fontId="0" fillId="5" borderId="31" xfId="0" applyFill="1" applyBorder="1"/>
    <xf numFmtId="1" fontId="0" fillId="5" borderId="127" xfId="0" applyNumberFormat="1" applyFill="1" applyBorder="1"/>
    <xf numFmtId="0" fontId="4" fillId="3" borderId="22" xfId="0" applyFont="1" applyFill="1" applyBorder="1" applyAlignment="1">
      <alignment horizontal="left"/>
    </xf>
    <xf numFmtId="5" fontId="0" fillId="3" borderId="22" xfId="2" applyNumberFormat="1" applyFont="1" applyFill="1" applyBorder="1" applyAlignment="1"/>
    <xf numFmtId="0" fontId="4" fillId="0" borderId="0" xfId="0" quotePrefix="1" applyFont="1"/>
    <xf numFmtId="0" fontId="4" fillId="0" borderId="0" xfId="0" applyFont="1" applyAlignment="1">
      <alignment horizontal="right"/>
    </xf>
    <xf numFmtId="0" fontId="4" fillId="3" borderId="67" xfId="0" applyFont="1" applyFill="1" applyBorder="1" applyAlignment="1">
      <alignment horizontal="left"/>
    </xf>
    <xf numFmtId="0" fontId="20" fillId="8" borderId="19" xfId="0" applyFont="1" applyFill="1" applyBorder="1" applyAlignment="1">
      <alignment horizontal="center" wrapText="1"/>
    </xf>
    <xf numFmtId="0" fontId="2" fillId="8" borderId="125" xfId="0" applyFont="1" applyFill="1" applyBorder="1" applyAlignment="1">
      <alignment horizontal="right" wrapText="1"/>
    </xf>
    <xf numFmtId="0" fontId="2" fillId="8" borderId="84" xfId="0" applyFont="1" applyFill="1" applyBorder="1" applyAlignment="1">
      <alignment horizontal="right" wrapText="1"/>
    </xf>
    <xf numFmtId="0" fontId="0" fillId="8" borderId="128" xfId="0" applyFill="1" applyBorder="1"/>
    <xf numFmtId="0" fontId="20" fillId="8" borderId="79" xfId="0" applyFont="1" applyFill="1" applyBorder="1" applyAlignment="1">
      <alignment horizontal="center" wrapText="1"/>
    </xf>
    <xf numFmtId="0" fontId="0" fillId="8" borderId="129" xfId="0" applyFill="1" applyBorder="1"/>
    <xf numFmtId="5" fontId="2" fillId="8" borderId="88" xfId="2" applyNumberFormat="1" applyFill="1" applyBorder="1"/>
    <xf numFmtId="165" fontId="0" fillId="0" borderId="0" xfId="0" applyNumberFormat="1"/>
    <xf numFmtId="0" fontId="4" fillId="10" borderId="121" xfId="0" applyFont="1" applyFill="1" applyBorder="1" applyAlignment="1">
      <alignment wrapText="1"/>
    </xf>
    <xf numFmtId="169" fontId="0" fillId="10" borderId="8" xfId="0" applyNumberFormat="1" applyFill="1" applyBorder="1" applyAlignment="1">
      <alignment horizontal="center"/>
    </xf>
    <xf numFmtId="0" fontId="0" fillId="8" borderId="8" xfId="0" applyFill="1" applyBorder="1" applyAlignment="1">
      <alignment wrapText="1"/>
    </xf>
    <xf numFmtId="9" fontId="2" fillId="8" borderId="8" xfId="5" applyFill="1" applyBorder="1"/>
    <xf numFmtId="0" fontId="20" fillId="0" borderId="0" xfId="0" applyFont="1" applyAlignment="1">
      <alignment horizontal="center" wrapText="1"/>
    </xf>
    <xf numFmtId="0" fontId="0" fillId="8" borderId="8" xfId="0" applyFill="1" applyBorder="1" applyAlignment="1">
      <alignment horizontal="center" wrapText="1"/>
    </xf>
    <xf numFmtId="0" fontId="0" fillId="8" borderId="8" xfId="0" applyFill="1" applyBorder="1" applyAlignment="1">
      <alignment horizontal="center"/>
    </xf>
    <xf numFmtId="164" fontId="0" fillId="8" borderId="8" xfId="0" applyNumberFormat="1" applyFill="1" applyBorder="1"/>
    <xf numFmtId="170" fontId="0" fillId="8" borderId="8" xfId="0" applyNumberFormat="1" applyFill="1" applyBorder="1"/>
    <xf numFmtId="179" fontId="0" fillId="8" borderId="8" xfId="0" applyNumberFormat="1" applyFill="1" applyBorder="1"/>
    <xf numFmtId="1" fontId="0" fillId="10" borderId="22" xfId="0" applyNumberFormat="1" applyFill="1" applyBorder="1"/>
    <xf numFmtId="165" fontId="2" fillId="3" borderId="22" xfId="2" applyNumberFormat="1" applyFill="1" applyBorder="1" applyAlignment="1">
      <alignment horizontal="right"/>
    </xf>
    <xf numFmtId="165" fontId="2" fillId="3" borderId="22" xfId="2" applyNumberFormat="1" applyFill="1" applyBorder="1"/>
    <xf numFmtId="2" fontId="5" fillId="3" borderId="22" xfId="0" applyNumberFormat="1" applyFont="1" applyFill="1" applyBorder="1" applyProtection="1"/>
    <xf numFmtId="0" fontId="5" fillId="3" borderId="22" xfId="0" applyFont="1" applyFill="1" applyBorder="1" applyProtection="1"/>
    <xf numFmtId="165" fontId="5" fillId="3" borderId="22" xfId="0" applyNumberFormat="1" applyFont="1" applyFill="1" applyBorder="1"/>
    <xf numFmtId="3" fontId="5" fillId="3" borderId="22" xfId="0" applyNumberFormat="1" applyFont="1" applyFill="1" applyBorder="1"/>
    <xf numFmtId="0" fontId="5" fillId="12" borderId="22" xfId="0" applyFont="1" applyFill="1" applyBorder="1" applyAlignment="1">
      <alignment horizontal="center"/>
    </xf>
    <xf numFmtId="0" fontId="5" fillId="10" borderId="22" xfId="0" applyFont="1" applyFill="1" applyBorder="1"/>
    <xf numFmtId="0" fontId="5" fillId="10" borderId="22" xfId="0" applyFont="1" applyFill="1" applyBorder="1" applyProtection="1"/>
    <xf numFmtId="0" fontId="5" fillId="3" borderId="22" xfId="0" applyFont="1" applyFill="1" applyBorder="1"/>
    <xf numFmtId="0" fontId="0" fillId="14" borderId="58" xfId="0" applyFill="1" applyBorder="1"/>
    <xf numFmtId="0" fontId="0" fillId="14" borderId="50" xfId="0" applyFill="1" applyBorder="1"/>
    <xf numFmtId="0" fontId="0" fillId="14" borderId="59" xfId="0" applyFill="1" applyBorder="1"/>
    <xf numFmtId="0" fontId="0" fillId="14" borderId="64" xfId="0" applyFill="1" applyBorder="1"/>
    <xf numFmtId="0" fontId="0" fillId="14" borderId="65" xfId="0" applyFill="1" applyBorder="1"/>
    <xf numFmtId="0" fontId="0" fillId="14" borderId="66" xfId="0" applyFill="1" applyBorder="1"/>
    <xf numFmtId="1" fontId="0" fillId="14" borderId="65" xfId="0" applyNumberFormat="1" applyFill="1" applyBorder="1"/>
    <xf numFmtId="165" fontId="0" fillId="14" borderId="66" xfId="0" applyNumberFormat="1" applyFill="1" applyBorder="1"/>
    <xf numFmtId="165" fontId="0" fillId="14" borderId="65" xfId="0" applyNumberFormat="1" applyFill="1" applyBorder="1"/>
    <xf numFmtId="1" fontId="0" fillId="3" borderId="22" xfId="0" applyNumberFormat="1" applyFill="1" applyBorder="1" applyProtection="1">
      <protection locked="0"/>
    </xf>
    <xf numFmtId="0" fontId="4" fillId="14" borderId="58" xfId="0" applyFont="1" applyFill="1" applyBorder="1"/>
    <xf numFmtId="165" fontId="0" fillId="8" borderId="47" xfId="0" applyNumberFormat="1" applyFill="1" applyBorder="1"/>
    <xf numFmtId="0" fontId="4" fillId="8" borderId="58" xfId="0" applyFont="1" applyFill="1" applyBorder="1" applyAlignment="1">
      <alignment horizontal="center" wrapText="1"/>
    </xf>
    <xf numFmtId="0" fontId="4" fillId="8" borderId="50" xfId="0" applyFont="1" applyFill="1" applyBorder="1" applyAlignment="1">
      <alignment horizontal="center" wrapText="1"/>
    </xf>
    <xf numFmtId="0" fontId="4" fillId="8" borderId="59" xfId="0" applyFont="1" applyFill="1" applyBorder="1" applyAlignment="1">
      <alignment horizontal="center" wrapText="1"/>
    </xf>
    <xf numFmtId="165" fontId="0" fillId="8" borderId="63" xfId="0" applyNumberFormat="1" applyFill="1" applyBorder="1"/>
    <xf numFmtId="1" fontId="0" fillId="8" borderId="65" xfId="0" applyNumberFormat="1" applyFill="1" applyBorder="1"/>
    <xf numFmtId="165" fontId="0" fillId="8" borderId="66" xfId="0" applyNumberFormat="1" applyFill="1" applyBorder="1"/>
    <xf numFmtId="0" fontId="4" fillId="8" borderId="59" xfId="0" applyFont="1" applyFill="1" applyBorder="1" applyAlignment="1">
      <alignment horizontal="center"/>
    </xf>
    <xf numFmtId="9" fontId="2" fillId="8" borderId="63" xfId="5" applyFill="1" applyBorder="1"/>
    <xf numFmtId="9" fontId="2" fillId="8" borderId="66" xfId="5" applyFill="1" applyBorder="1"/>
    <xf numFmtId="3" fontId="0" fillId="8" borderId="8" xfId="0" applyNumberFormat="1" applyFill="1" applyBorder="1"/>
    <xf numFmtId="3" fontId="0" fillId="8" borderId="65" xfId="0" applyNumberFormat="1" applyFill="1" applyBorder="1"/>
    <xf numFmtId="3" fontId="0" fillId="0" borderId="56" xfId="0" applyNumberFormat="1" applyFill="1" applyBorder="1"/>
    <xf numFmtId="0" fontId="20" fillId="0" borderId="0" xfId="0" applyFont="1" applyFill="1" applyBorder="1" applyAlignment="1">
      <alignment horizontal="center" wrapText="1"/>
    </xf>
    <xf numFmtId="0" fontId="20" fillId="8" borderId="58" xfId="0" applyFont="1" applyFill="1" applyBorder="1" applyAlignment="1">
      <alignment horizontal="center" wrapText="1"/>
    </xf>
    <xf numFmtId="0" fontId="20" fillId="8" borderId="50" xfId="0" applyFont="1" applyFill="1" applyBorder="1" applyAlignment="1">
      <alignment horizontal="center" wrapText="1"/>
    </xf>
    <xf numFmtId="0" fontId="20" fillId="8" borderId="59" xfId="0" applyFont="1" applyFill="1" applyBorder="1" applyAlignment="1">
      <alignment horizontal="center" wrapText="1"/>
    </xf>
    <xf numFmtId="0" fontId="4" fillId="15" borderId="58" xfId="0" applyFont="1" applyFill="1" applyBorder="1"/>
    <xf numFmtId="0" fontId="4" fillId="15" borderId="50" xfId="0" applyFont="1" applyFill="1" applyBorder="1"/>
    <xf numFmtId="0" fontId="4" fillId="15" borderId="59" xfId="0" applyFont="1" applyFill="1" applyBorder="1"/>
    <xf numFmtId="0" fontId="4" fillId="15" borderId="62" xfId="0" applyFont="1" applyFill="1" applyBorder="1"/>
    <xf numFmtId="174" fontId="4" fillId="15" borderId="8" xfId="0" applyNumberFormat="1" applyFont="1" applyFill="1" applyBorder="1"/>
    <xf numFmtId="174" fontId="4" fillId="15" borderId="63" xfId="0" applyNumberFormat="1" applyFont="1" applyFill="1" applyBorder="1"/>
    <xf numFmtId="0" fontId="4" fillId="15" borderId="64" xfId="0" applyFont="1" applyFill="1" applyBorder="1"/>
    <xf numFmtId="0" fontId="4" fillId="15" borderId="65" xfId="0" applyFont="1" applyFill="1" applyBorder="1"/>
    <xf numFmtId="0" fontId="5" fillId="0" borderId="0" xfId="0" applyFont="1"/>
    <xf numFmtId="165" fontId="0" fillId="10" borderId="22" xfId="0" applyNumberFormat="1" applyFill="1" applyBorder="1"/>
    <xf numFmtId="10" fontId="5" fillId="0" borderId="0" xfId="0" applyNumberFormat="1" applyFont="1"/>
    <xf numFmtId="180" fontId="0" fillId="8" borderId="8" xfId="0" applyNumberFormat="1" applyFill="1" applyBorder="1"/>
    <xf numFmtId="3" fontId="0" fillId="3" borderId="107" xfId="0" applyNumberFormat="1" applyFill="1" applyBorder="1"/>
    <xf numFmtId="0" fontId="0" fillId="16" borderId="68" xfId="0" applyFill="1" applyBorder="1" applyAlignment="1">
      <alignment horizontal="centerContinuous"/>
    </xf>
    <xf numFmtId="0" fontId="0" fillId="16" borderId="69" xfId="0" applyFill="1" applyBorder="1" applyAlignment="1">
      <alignment horizontal="centerContinuous"/>
    </xf>
    <xf numFmtId="3" fontId="5" fillId="8" borderId="8" xfId="0" applyNumberFormat="1" applyFont="1" applyFill="1" applyBorder="1"/>
    <xf numFmtId="3" fontId="5" fillId="0" borderId="0" xfId="0" applyNumberFormat="1" applyFont="1" applyFill="1" applyBorder="1"/>
    <xf numFmtId="0" fontId="5" fillId="0" borderId="0" xfId="0" applyFont="1" applyAlignment="1">
      <alignment horizontal="left"/>
    </xf>
    <xf numFmtId="3" fontId="6" fillId="0" borderId="0" xfId="0" applyNumberFormat="1" applyFont="1" applyFill="1" applyBorder="1"/>
    <xf numFmtId="170" fontId="6" fillId="8" borderId="8" xfId="0" applyNumberFormat="1" applyFont="1" applyFill="1" applyBorder="1"/>
    <xf numFmtId="164" fontId="5" fillId="8" borderId="8" xfId="0" applyNumberFormat="1" applyFont="1" applyFill="1" applyBorder="1"/>
    <xf numFmtId="164" fontId="6" fillId="8" borderId="8" xfId="0" applyNumberFormat="1" applyFont="1" applyFill="1" applyBorder="1"/>
    <xf numFmtId="165" fontId="5" fillId="8" borderId="8" xfId="0" applyNumberFormat="1" applyFont="1" applyFill="1" applyBorder="1"/>
    <xf numFmtId="10" fontId="7" fillId="8" borderId="8" xfId="0" applyNumberFormat="1" applyFont="1" applyFill="1" applyBorder="1"/>
    <xf numFmtId="0" fontId="4" fillId="0" borderId="0" xfId="0" applyFont="1" applyFill="1" applyBorder="1" applyAlignment="1">
      <alignment horizontal="center" wrapText="1"/>
    </xf>
    <xf numFmtId="10" fontId="0" fillId="8" borderId="8" xfId="0" applyNumberFormat="1" applyFill="1" applyBorder="1"/>
    <xf numFmtId="0" fontId="4" fillId="3" borderId="106" xfId="0" applyFont="1" applyFill="1" applyBorder="1" applyAlignment="1">
      <alignment horizontal="left"/>
    </xf>
    <xf numFmtId="0" fontId="0" fillId="12" borderId="0" xfId="0" applyFill="1" applyBorder="1" applyAlignment="1">
      <alignment horizontal="right"/>
    </xf>
    <xf numFmtId="0" fontId="0" fillId="12" borderId="0" xfId="0" applyFill="1" applyBorder="1" applyAlignment="1">
      <alignment horizontal="left"/>
    </xf>
    <xf numFmtId="0" fontId="0" fillId="12" borderId="0" xfId="0" applyFill="1" applyBorder="1"/>
    <xf numFmtId="10" fontId="0" fillId="0" borderId="0" xfId="0" applyNumberFormat="1" applyBorder="1"/>
    <xf numFmtId="0" fontId="0" fillId="0" borderId="0" xfId="0" applyNumberFormat="1"/>
    <xf numFmtId="0" fontId="10" fillId="0" borderId="0" xfId="0" applyNumberFormat="1" applyFont="1"/>
    <xf numFmtId="180" fontId="2" fillId="0" borderId="0" xfId="5" applyNumberFormat="1" applyFont="1"/>
    <xf numFmtId="9" fontId="2" fillId="0" borderId="0" xfId="5" applyAlignment="1">
      <alignment horizontal="center"/>
    </xf>
    <xf numFmtId="2" fontId="4" fillId="0" borderId="0" xfId="5" applyNumberFormat="1" applyFont="1" applyAlignment="1">
      <alignment horizontal="center"/>
    </xf>
    <xf numFmtId="2" fontId="25" fillId="0" borderId="0" xfId="0" applyNumberFormat="1" applyFont="1" applyAlignment="1">
      <alignment horizontal="center"/>
    </xf>
    <xf numFmtId="2" fontId="25" fillId="0" borderId="0" xfId="0" applyNumberFormat="1" applyFont="1" applyBorder="1" applyAlignment="1">
      <alignment horizontal="center"/>
    </xf>
    <xf numFmtId="0" fontId="9" fillId="0" borderId="55" xfId="0" applyFont="1" applyBorder="1" applyAlignment="1">
      <alignment horizontal="centerContinuous"/>
    </xf>
    <xf numFmtId="0" fontId="0" fillId="0" borderId="56" xfId="0" applyBorder="1"/>
    <xf numFmtId="0" fontId="4" fillId="0" borderId="56" xfId="0" applyFont="1" applyBorder="1" applyAlignment="1">
      <alignment horizontal="centerContinuous"/>
    </xf>
    <xf numFmtId="0" fontId="0" fillId="0" borderId="61" xfId="0" applyBorder="1" applyAlignment="1">
      <alignment horizontal="right"/>
    </xf>
    <xf numFmtId="0" fontId="0" fillId="0" borderId="0" xfId="0" applyNumberFormat="1" applyBorder="1"/>
    <xf numFmtId="2" fontId="0" fillId="0" borderId="0" xfId="0" applyNumberFormat="1" applyBorder="1"/>
    <xf numFmtId="2" fontId="0" fillId="0" borderId="130" xfId="0" applyNumberFormat="1" applyBorder="1"/>
    <xf numFmtId="0" fontId="4" fillId="14" borderId="55" xfId="0" applyFont="1" applyFill="1" applyBorder="1" applyAlignment="1">
      <alignment horizontal="center"/>
    </xf>
    <xf numFmtId="2" fontId="4" fillId="14" borderId="57" xfId="0" applyNumberFormat="1" applyFont="1" applyFill="1" applyBorder="1" applyAlignment="1">
      <alignment horizontal="center"/>
    </xf>
    <xf numFmtId="0" fontId="0" fillId="0" borderId="130" xfId="0" applyBorder="1"/>
    <xf numFmtId="0" fontId="4" fillId="14" borderId="61" xfId="0" applyFont="1" applyFill="1" applyBorder="1" applyAlignment="1">
      <alignment horizontal="center"/>
    </xf>
    <xf numFmtId="10" fontId="4" fillId="14" borderId="130" xfId="0" applyNumberFormat="1" applyFont="1" applyFill="1" applyBorder="1" applyAlignment="1">
      <alignment horizontal="center"/>
    </xf>
    <xf numFmtId="0" fontId="4" fillId="14" borderId="131" xfId="0" applyFont="1" applyFill="1" applyBorder="1" applyAlignment="1">
      <alignment horizontal="center"/>
    </xf>
    <xf numFmtId="10" fontId="4" fillId="14" borderId="132" xfId="0" applyNumberFormat="1" applyFont="1" applyFill="1" applyBorder="1" applyAlignment="1">
      <alignment horizontal="center"/>
    </xf>
    <xf numFmtId="0" fontId="0" fillId="0" borderId="131" xfId="0" applyBorder="1" applyAlignment="1">
      <alignment horizontal="right"/>
    </xf>
    <xf numFmtId="0" fontId="0" fillId="0" borderId="133" xfId="0" applyBorder="1"/>
    <xf numFmtId="0" fontId="0" fillId="0" borderId="133" xfId="0" applyBorder="1" applyAlignment="1">
      <alignment horizontal="right"/>
    </xf>
    <xf numFmtId="2" fontId="0" fillId="0" borderId="133" xfId="0" applyNumberFormat="1" applyBorder="1"/>
    <xf numFmtId="0" fontId="0" fillId="0" borderId="132" xfId="0" applyBorder="1"/>
    <xf numFmtId="166" fontId="0" fillId="0" borderId="0" xfId="0" applyNumberFormat="1"/>
    <xf numFmtId="2" fontId="0" fillId="10" borderId="8" xfId="0" applyNumberFormat="1" applyFill="1" applyBorder="1" applyAlignment="1">
      <alignment horizontal="center"/>
    </xf>
    <xf numFmtId="1" fontId="0" fillId="10" borderId="8" xfId="0" applyNumberFormat="1" applyFill="1" applyBorder="1" applyAlignment="1">
      <alignment horizontal="center"/>
    </xf>
    <xf numFmtId="168" fontId="0" fillId="10" borderId="8" xfId="0" applyNumberFormat="1" applyFill="1" applyBorder="1" applyAlignment="1">
      <alignment horizontal="center"/>
    </xf>
    <xf numFmtId="10" fontId="0" fillId="10" borderId="8" xfId="0" applyNumberFormat="1" applyFill="1" applyBorder="1"/>
    <xf numFmtId="0" fontId="0" fillId="10" borderId="8" xfId="0" applyFill="1" applyBorder="1" applyAlignment="1"/>
    <xf numFmtId="0" fontId="4" fillId="0" borderId="8" xfId="0" applyFont="1" applyFill="1" applyBorder="1" applyAlignment="1">
      <alignment horizontal="center"/>
    </xf>
    <xf numFmtId="0" fontId="0" fillId="0" borderId="8" xfId="0" quotePrefix="1" applyBorder="1"/>
    <xf numFmtId="0" fontId="0" fillId="0" borderId="0" xfId="0" quotePrefix="1" applyBorder="1"/>
    <xf numFmtId="0" fontId="0" fillId="0" borderId="58" xfId="0" applyBorder="1" applyAlignment="1">
      <alignment horizontal="center"/>
    </xf>
    <xf numFmtId="0" fontId="0" fillId="0" borderId="50" xfId="0" applyBorder="1" applyAlignment="1">
      <alignment horizontal="center"/>
    </xf>
    <xf numFmtId="0" fontId="0" fillId="0" borderId="59" xfId="0" applyBorder="1" applyAlignment="1">
      <alignment horizontal="center"/>
    </xf>
    <xf numFmtId="0" fontId="0" fillId="0" borderId="62" xfId="0" quotePrefix="1" applyBorder="1"/>
    <xf numFmtId="0" fontId="0" fillId="0" borderId="64" xfId="0" quotePrefix="1" applyBorder="1"/>
    <xf numFmtId="0" fontId="0" fillId="0" borderId="65" xfId="0" quotePrefix="1" applyBorder="1"/>
    <xf numFmtId="0" fontId="4" fillId="0" borderId="68" xfId="0" applyFont="1" applyBorder="1" applyAlignment="1">
      <alignment horizontal="centerContinuous"/>
    </xf>
    <xf numFmtId="0" fontId="4" fillId="0" borderId="69" xfId="0" applyFont="1" applyBorder="1" applyAlignment="1">
      <alignment horizontal="centerContinuous"/>
    </xf>
    <xf numFmtId="1" fontId="6" fillId="3" borderId="47" xfId="0" applyNumberFormat="1" applyFont="1" applyFill="1" applyBorder="1" applyAlignment="1">
      <alignment horizontal="right"/>
    </xf>
    <xf numFmtId="3" fontId="0" fillId="0" borderId="62" xfId="0" applyNumberFormat="1" applyBorder="1"/>
    <xf numFmtId="3" fontId="0" fillId="0" borderId="8" xfId="0" applyNumberFormat="1" applyBorder="1"/>
    <xf numFmtId="3" fontId="0" fillId="0" borderId="63" xfId="0" applyNumberFormat="1" applyBorder="1"/>
    <xf numFmtId="3" fontId="0" fillId="0" borderId="64" xfId="0" applyNumberFormat="1" applyBorder="1"/>
    <xf numFmtId="3" fontId="0" fillId="0" borderId="65" xfId="0" applyNumberFormat="1" applyBorder="1"/>
    <xf numFmtId="3" fontId="0" fillId="0" borderId="66" xfId="0" applyNumberFormat="1" applyBorder="1"/>
    <xf numFmtId="0" fontId="5" fillId="16" borderId="89" xfId="0" applyFont="1" applyFill="1" applyBorder="1" applyAlignment="1">
      <alignment horizontal="centerContinuous"/>
    </xf>
    <xf numFmtId="0" fontId="0" fillId="0" borderId="0" xfId="0" applyAlignment="1">
      <alignment horizontal="centerContinuous" wrapText="1"/>
    </xf>
    <xf numFmtId="0" fontId="4" fillId="0" borderId="0" xfId="0" applyFont="1" applyAlignment="1">
      <alignment horizontal="centerContinuous" wrapText="1"/>
    </xf>
    <xf numFmtId="0" fontId="9" fillId="0" borderId="0" xfId="0" applyFont="1"/>
    <xf numFmtId="0" fontId="4" fillId="0" borderId="0" xfId="0" applyFont="1" applyAlignment="1">
      <alignment wrapText="1"/>
    </xf>
    <xf numFmtId="0" fontId="4" fillId="10" borderId="22" xfId="0" applyFont="1" applyFill="1" applyBorder="1" applyAlignment="1">
      <alignment wrapText="1"/>
    </xf>
    <xf numFmtId="0" fontId="4" fillId="0" borderId="0" xfId="0" applyFont="1" applyFill="1" applyBorder="1" applyAlignment="1"/>
    <xf numFmtId="166" fontId="0" fillId="0" borderId="0" xfId="0" applyNumberFormat="1" applyFill="1" applyBorder="1"/>
    <xf numFmtId="0" fontId="0" fillId="12" borderId="8" xfId="0" applyFill="1" applyBorder="1"/>
    <xf numFmtId="0" fontId="26" fillId="0" borderId="119" xfId="0" applyFont="1" applyBorder="1"/>
    <xf numFmtId="0" fontId="9" fillId="0" borderId="134" xfId="0" applyFont="1" applyBorder="1"/>
    <xf numFmtId="0" fontId="27" fillId="0" borderId="134" xfId="0" applyFont="1" applyBorder="1"/>
    <xf numFmtId="0" fontId="27" fillId="0" borderId="135" xfId="0" applyFont="1" applyBorder="1"/>
    <xf numFmtId="0" fontId="26" fillId="0" borderId="96" xfId="0" applyFont="1" applyBorder="1"/>
    <xf numFmtId="0" fontId="0" fillId="0" borderId="136" xfId="0" applyBorder="1"/>
    <xf numFmtId="0" fontId="4" fillId="0" borderId="96" xfId="0" applyFont="1" applyBorder="1"/>
    <xf numFmtId="0" fontId="0" fillId="0" borderId="96" xfId="0" applyBorder="1"/>
    <xf numFmtId="0" fontId="4" fillId="0" borderId="96" xfId="0" applyFont="1" applyFill="1" applyBorder="1" applyAlignment="1"/>
    <xf numFmtId="0" fontId="4" fillId="0" borderId="96" xfId="0" applyFont="1" applyBorder="1" applyAlignment="1">
      <alignment wrapText="1"/>
    </xf>
    <xf numFmtId="0" fontId="0" fillId="0" borderId="0" xfId="0" applyBorder="1" applyAlignment="1">
      <alignment wrapText="1"/>
    </xf>
    <xf numFmtId="0" fontId="0" fillId="0" borderId="136" xfId="0" applyBorder="1" applyAlignment="1">
      <alignment wrapText="1"/>
    </xf>
    <xf numFmtId="0" fontId="4" fillId="0" borderId="99" xfId="0" applyFont="1" applyBorder="1"/>
    <xf numFmtId="0" fontId="4" fillId="0" borderId="137" xfId="0" applyFont="1" applyBorder="1"/>
    <xf numFmtId="1" fontId="2" fillId="0" borderId="137" xfId="2" applyNumberFormat="1" applyFill="1" applyBorder="1"/>
    <xf numFmtId="0" fontId="0" fillId="0" borderId="137" xfId="0" applyBorder="1"/>
    <xf numFmtId="0" fontId="0" fillId="0" borderId="138" xfId="0" applyBorder="1"/>
    <xf numFmtId="0" fontId="4" fillId="0" borderId="19" xfId="0" applyFont="1" applyFill="1" applyBorder="1"/>
    <xf numFmtId="0" fontId="4" fillId="0" borderId="0" xfId="0" applyFont="1" applyFill="1" applyBorder="1" applyAlignment="1">
      <alignment wrapText="1"/>
    </xf>
    <xf numFmtId="0" fontId="28" fillId="0" borderId="0" xfId="0" applyFont="1"/>
    <xf numFmtId="0" fontId="4" fillId="0" borderId="134" xfId="0" applyFont="1" applyBorder="1"/>
    <xf numFmtId="0" fontId="0" fillId="0" borderId="134" xfId="0" applyBorder="1"/>
    <xf numFmtId="0" fontId="0" fillId="0" borderId="135" xfId="0" applyBorder="1"/>
    <xf numFmtId="0" fontId="4" fillId="0" borderId="96" xfId="0" applyFont="1" applyBorder="1" applyAlignment="1"/>
    <xf numFmtId="0" fontId="5" fillId="0" borderId="0" xfId="0" applyFont="1" applyBorder="1" applyAlignment="1"/>
    <xf numFmtId="1" fontId="5" fillId="0" borderId="0" xfId="0" applyNumberFormat="1" applyFont="1" applyBorder="1" applyAlignment="1"/>
    <xf numFmtId="0" fontId="26" fillId="0" borderId="99" xfId="0" applyFont="1" applyBorder="1"/>
    <xf numFmtId="0" fontId="22" fillId="0" borderId="134" xfId="0" applyFont="1" applyBorder="1"/>
    <xf numFmtId="0" fontId="9" fillId="0" borderId="96" xfId="0" applyFont="1" applyBorder="1"/>
    <xf numFmtId="0" fontId="4" fillId="0" borderId="96" xfId="0" applyFont="1" applyBorder="1" applyAlignment="1">
      <alignment horizontal="left"/>
    </xf>
    <xf numFmtId="0" fontId="4" fillId="0" borderId="99" xfId="0" applyFont="1" applyBorder="1" applyAlignment="1">
      <alignment horizontal="left" indent="1"/>
    </xf>
    <xf numFmtId="0" fontId="4" fillId="0" borderId="137" xfId="0" applyFont="1" applyBorder="1" applyAlignment="1">
      <alignment horizontal="left" indent="1"/>
    </xf>
    <xf numFmtId="0" fontId="0" fillId="0" borderId="137" xfId="0" applyBorder="1" applyAlignment="1">
      <alignment horizontal="left" indent="1"/>
    </xf>
    <xf numFmtId="0" fontId="4" fillId="5" borderId="104" xfId="0" applyFont="1" applyFill="1" applyBorder="1"/>
    <xf numFmtId="0" fontId="4" fillId="0" borderId="139" xfId="0" applyFont="1" applyBorder="1"/>
    <xf numFmtId="3" fontId="5" fillId="3" borderId="22" xfId="0" applyNumberFormat="1" applyFont="1" applyFill="1" applyBorder="1" applyAlignment="1">
      <alignment horizontal="right"/>
    </xf>
    <xf numFmtId="0" fontId="4" fillId="5" borderId="140" xfId="0" applyFont="1" applyFill="1" applyBorder="1" applyAlignment="1">
      <alignment horizontal="left" indent="1"/>
    </xf>
    <xf numFmtId="0" fontId="4" fillId="5" borderId="8" xfId="0" applyFont="1" applyFill="1" applyBorder="1" applyAlignment="1"/>
    <xf numFmtId="165" fontId="4" fillId="3" borderId="8" xfId="0" applyNumberFormat="1" applyFont="1" applyFill="1" applyBorder="1"/>
    <xf numFmtId="0" fontId="4" fillId="3" borderId="8" xfId="0" applyFont="1" applyFill="1" applyBorder="1"/>
    <xf numFmtId="166" fontId="4" fillId="3" borderId="8" xfId="0" applyNumberFormat="1" applyFont="1" applyFill="1" applyBorder="1"/>
    <xf numFmtId="0" fontId="4" fillId="5" borderId="140" xfId="0" applyFont="1" applyFill="1" applyBorder="1" applyAlignment="1"/>
    <xf numFmtId="165" fontId="0" fillId="5" borderId="8" xfId="0" applyNumberFormat="1" applyFill="1" applyBorder="1"/>
    <xf numFmtId="0" fontId="4" fillId="0" borderId="0" xfId="0" applyFont="1" applyAlignment="1"/>
    <xf numFmtId="1" fontId="4" fillId="3" borderId="8" xfId="0" applyNumberFormat="1" applyFont="1" applyFill="1" applyBorder="1"/>
    <xf numFmtId="165" fontId="4" fillId="5" borderId="8" xfId="0" applyNumberFormat="1" applyFont="1" applyFill="1" applyBorder="1"/>
    <xf numFmtId="166" fontId="4" fillId="5" borderId="8" xfId="0" applyNumberFormat="1" applyFont="1" applyFill="1" applyBorder="1"/>
    <xf numFmtId="166" fontId="4" fillId="5" borderId="63" xfId="0" applyNumberFormat="1" applyFont="1" applyFill="1" applyBorder="1"/>
    <xf numFmtId="0" fontId="4" fillId="5" borderId="141" xfId="0" applyFont="1" applyFill="1" applyBorder="1"/>
    <xf numFmtId="1" fontId="4" fillId="5" borderId="66" xfId="0" applyNumberFormat="1" applyFont="1" applyFill="1" applyBorder="1"/>
    <xf numFmtId="4" fontId="4" fillId="5" borderId="8" xfId="0" applyNumberFormat="1" applyFont="1" applyFill="1" applyBorder="1"/>
    <xf numFmtId="168" fontId="4" fillId="5" borderId="8" xfId="0" applyNumberFormat="1" applyFont="1" applyFill="1" applyBorder="1"/>
    <xf numFmtId="0" fontId="4" fillId="0" borderId="0" xfId="0" applyFont="1" applyBorder="1" applyAlignment="1"/>
    <xf numFmtId="165" fontId="4" fillId="5" borderId="8" xfId="0" applyNumberFormat="1" applyFont="1" applyFill="1" applyBorder="1" applyAlignment="1"/>
    <xf numFmtId="0" fontId="0" fillId="5" borderId="1" xfId="0" applyFill="1" applyBorder="1"/>
    <xf numFmtId="164" fontId="0" fillId="5" borderId="3" xfId="0" applyNumberFormat="1" applyFill="1" applyBorder="1"/>
    <xf numFmtId="164" fontId="0" fillId="3" borderId="22" xfId="2" applyNumberFormat="1" applyFont="1" applyFill="1" applyBorder="1"/>
    <xf numFmtId="3" fontId="4" fillId="3" borderId="8" xfId="0" applyNumberFormat="1" applyFont="1" applyFill="1" applyBorder="1" applyProtection="1">
      <protection locked="0"/>
    </xf>
    <xf numFmtId="165" fontId="4" fillId="3" borderId="8" xfId="0" applyNumberFormat="1" applyFont="1" applyFill="1" applyBorder="1" applyProtection="1">
      <protection locked="0"/>
    </xf>
    <xf numFmtId="0" fontId="4" fillId="0" borderId="96" xfId="0" applyFont="1" applyFill="1" applyBorder="1"/>
    <xf numFmtId="0" fontId="9" fillId="0" borderId="137" xfId="0" applyFont="1" applyBorder="1"/>
    <xf numFmtId="0" fontId="4" fillId="5" borderId="22" xfId="0" applyFont="1" applyFill="1" applyBorder="1"/>
    <xf numFmtId="0" fontId="9" fillId="0" borderId="99" xfId="0" applyFont="1" applyBorder="1"/>
    <xf numFmtId="0" fontId="9" fillId="0" borderId="0" xfId="0" applyFont="1" applyBorder="1"/>
    <xf numFmtId="0" fontId="22" fillId="0" borderId="0" xfId="0" applyFont="1" applyBorder="1"/>
    <xf numFmtId="0" fontId="5" fillId="5" borderId="8" xfId="0" applyFont="1" applyFill="1" applyBorder="1"/>
    <xf numFmtId="0" fontId="22" fillId="0" borderId="137" xfId="0" applyFont="1" applyBorder="1"/>
    <xf numFmtId="11" fontId="0" fillId="5" borderId="8" xfId="0" applyNumberFormat="1" applyFill="1" applyBorder="1"/>
    <xf numFmtId="11" fontId="4" fillId="5" borderId="8" xfId="0" applyNumberFormat="1" applyFont="1" applyFill="1" applyBorder="1"/>
    <xf numFmtId="165" fontId="2" fillId="0" borderId="0" xfId="2" applyNumberFormat="1" applyFill="1" applyBorder="1"/>
    <xf numFmtId="11" fontId="2" fillId="5" borderId="8" xfId="2" applyNumberFormat="1" applyFill="1" applyBorder="1"/>
    <xf numFmtId="4" fontId="2" fillId="5" borderId="8" xfId="2" applyNumberFormat="1" applyFill="1" applyBorder="1"/>
    <xf numFmtId="171" fontId="4" fillId="5" borderId="8" xfId="0" applyNumberFormat="1" applyFont="1" applyFill="1" applyBorder="1"/>
    <xf numFmtId="179" fontId="4" fillId="5" borderId="8" xfId="0" applyNumberFormat="1" applyFont="1" applyFill="1" applyBorder="1"/>
    <xf numFmtId="164" fontId="4" fillId="5" borderId="8" xfId="0" applyNumberFormat="1" applyFont="1" applyFill="1" applyBorder="1"/>
    <xf numFmtId="10" fontId="4" fillId="5" borderId="8" xfId="0" applyNumberFormat="1" applyFont="1" applyFill="1" applyBorder="1"/>
    <xf numFmtId="166" fontId="4" fillId="0" borderId="0" xfId="0" applyNumberFormat="1" applyFont="1" applyFill="1" applyBorder="1"/>
    <xf numFmtId="10" fontId="0" fillId="0" borderId="0" xfId="0" applyNumberFormat="1" applyFill="1" applyBorder="1"/>
    <xf numFmtId="165" fontId="4" fillId="0" borderId="0" xfId="0" applyNumberFormat="1" applyFont="1" applyFill="1" applyBorder="1"/>
    <xf numFmtId="1" fontId="4" fillId="5" borderId="8" xfId="0" applyNumberFormat="1" applyFont="1" applyFill="1" applyBorder="1"/>
    <xf numFmtId="0" fontId="0" fillId="0" borderId="136" xfId="0" applyBorder="1" applyAlignment="1"/>
    <xf numFmtId="166" fontId="4" fillId="5" borderId="8" xfId="0" applyNumberFormat="1" applyFont="1" applyFill="1" applyBorder="1" applyAlignment="1"/>
    <xf numFmtId="10" fontId="4" fillId="5" borderId="8" xfId="0" applyNumberFormat="1" applyFont="1" applyFill="1" applyBorder="1" applyAlignment="1"/>
    <xf numFmtId="182" fontId="0" fillId="5" borderId="8" xfId="0" applyNumberFormat="1" applyFill="1" applyBorder="1"/>
    <xf numFmtId="182" fontId="4" fillId="5" borderId="8" xfId="0" applyNumberFormat="1" applyFont="1" applyFill="1" applyBorder="1"/>
    <xf numFmtId="1" fontId="4" fillId="3" borderId="8" xfId="2" applyNumberFormat="1" applyFont="1" applyFill="1" applyBorder="1"/>
    <xf numFmtId="173" fontId="4" fillId="3" borderId="8" xfId="2" applyNumberFormat="1" applyFont="1" applyFill="1" applyBorder="1" applyAlignment="1">
      <alignment horizontal="right"/>
    </xf>
    <xf numFmtId="3" fontId="4" fillId="3" borderId="8" xfId="0" applyNumberFormat="1" applyFont="1" applyFill="1" applyBorder="1" applyAlignment="1"/>
    <xf numFmtId="166" fontId="4" fillId="3" borderId="8" xfId="0" applyNumberFormat="1" applyFont="1" applyFill="1" applyBorder="1" applyAlignment="1"/>
    <xf numFmtId="165" fontId="4" fillId="3" borderId="8" xfId="0" applyNumberFormat="1" applyFont="1" applyFill="1" applyBorder="1" applyAlignment="1"/>
    <xf numFmtId="181" fontId="4" fillId="3" borderId="8" xfId="0" applyNumberFormat="1" applyFont="1" applyFill="1" applyBorder="1"/>
    <xf numFmtId="2" fontId="4" fillId="3" borderId="8" xfId="0" applyNumberFormat="1" applyFont="1" applyFill="1" applyBorder="1" applyProtection="1"/>
    <xf numFmtId="0" fontId="4" fillId="3" borderId="8" xfId="0" applyFont="1" applyFill="1" applyBorder="1" applyProtection="1"/>
    <xf numFmtId="3" fontId="4" fillId="3" borderId="47" xfId="0" applyNumberFormat="1" applyFont="1" applyFill="1" applyBorder="1"/>
    <xf numFmtId="0" fontId="26" fillId="0" borderId="0" xfId="0" applyFont="1"/>
    <xf numFmtId="6" fontId="0" fillId="0" borderId="0" xfId="0" applyNumberFormat="1" applyBorder="1"/>
    <xf numFmtId="10" fontId="0" fillId="0" borderId="18" xfId="0" applyNumberFormat="1" applyBorder="1"/>
    <xf numFmtId="0" fontId="0" fillId="0" borderId="18" xfId="0" applyFill="1" applyBorder="1" applyAlignment="1">
      <alignment horizontal="right"/>
    </xf>
    <xf numFmtId="0" fontId="0" fillId="0" borderId="18" xfId="0" applyFill="1" applyBorder="1"/>
    <xf numFmtId="0" fontId="0" fillId="0" borderId="0" xfId="0" applyFill="1" applyBorder="1" applyAlignment="1">
      <alignment horizontal="centerContinuous"/>
    </xf>
    <xf numFmtId="183" fontId="0" fillId="0" borderId="0" xfId="0" applyNumberFormat="1"/>
    <xf numFmtId="175" fontId="0" fillId="0" borderId="0" xfId="0" applyNumberFormat="1"/>
    <xf numFmtId="0" fontId="0" fillId="17" borderId="0" xfId="0" applyFill="1"/>
    <xf numFmtId="0" fontId="0" fillId="17" borderId="13" xfId="0" applyFill="1" applyBorder="1" applyAlignment="1">
      <alignment horizontal="center"/>
    </xf>
    <xf numFmtId="0" fontId="0" fillId="17" borderId="14" xfId="0" applyFill="1" applyBorder="1" applyAlignment="1">
      <alignment horizontal="center"/>
    </xf>
    <xf numFmtId="0" fontId="0" fillId="17" borderId="15" xfId="0" applyFill="1" applyBorder="1" applyAlignment="1">
      <alignment horizontal="center"/>
    </xf>
    <xf numFmtId="0" fontId="0" fillId="17" borderId="10" xfId="0" applyFill="1" applyBorder="1" applyAlignment="1">
      <alignment horizontal="center"/>
    </xf>
    <xf numFmtId="0" fontId="0" fillId="17" borderId="11" xfId="0" applyFill="1" applyBorder="1" applyAlignment="1">
      <alignment horizontal="center"/>
    </xf>
    <xf numFmtId="0" fontId="0" fillId="17" borderId="12" xfId="0" applyFill="1" applyBorder="1"/>
    <xf numFmtId="0" fontId="0" fillId="17" borderId="20" xfId="0" applyFill="1" applyBorder="1"/>
    <xf numFmtId="0" fontId="0" fillId="17" borderId="21" xfId="0" applyFill="1" applyBorder="1"/>
    <xf numFmtId="0" fontId="0" fillId="17" borderId="27" xfId="0" applyFill="1" applyBorder="1"/>
    <xf numFmtId="0" fontId="4" fillId="0" borderId="142" xfId="0" applyFont="1" applyBorder="1"/>
    <xf numFmtId="0" fontId="4" fillId="0" borderId="37" xfId="0" applyFont="1" applyBorder="1"/>
    <xf numFmtId="0" fontId="4" fillId="0" borderId="39" xfId="0" applyFont="1" applyBorder="1"/>
    <xf numFmtId="0" fontId="4" fillId="0" borderId="33" xfId="0" applyFont="1" applyBorder="1"/>
    <xf numFmtId="0" fontId="30" fillId="0" borderId="0" xfId="0" applyFont="1"/>
    <xf numFmtId="176" fontId="5" fillId="0" borderId="8" xfId="0" applyNumberFormat="1" applyFont="1" applyBorder="1"/>
    <xf numFmtId="0" fontId="0" fillId="0" borderId="143" xfId="0" applyBorder="1"/>
    <xf numFmtId="0" fontId="0" fillId="0" borderId="144" xfId="0" applyBorder="1"/>
    <xf numFmtId="0" fontId="0" fillId="0" borderId="145" xfId="0" applyBorder="1"/>
    <xf numFmtId="0" fontId="4" fillId="19" borderId="0" xfId="0" applyFont="1" applyFill="1" applyAlignment="1">
      <alignment horizontal="left"/>
    </xf>
    <xf numFmtId="0" fontId="4" fillId="19" borderId="67" xfId="0" applyFont="1" applyFill="1" applyBorder="1"/>
    <xf numFmtId="0" fontId="4" fillId="19" borderId="68" xfId="0" applyFont="1" applyFill="1" applyBorder="1"/>
    <xf numFmtId="0" fontId="0" fillId="19" borderId="22" xfId="0" applyFill="1" applyBorder="1"/>
    <xf numFmtId="3" fontId="0" fillId="19" borderId="22" xfId="0" applyNumberFormat="1" applyFill="1" applyBorder="1"/>
    <xf numFmtId="0" fontId="0" fillId="19" borderId="2" xfId="0" applyFill="1" applyBorder="1"/>
    <xf numFmtId="173" fontId="0" fillId="19" borderId="21" xfId="0" applyNumberFormat="1" applyFill="1" applyBorder="1"/>
    <xf numFmtId="1" fontId="0" fillId="19" borderId="2" xfId="0" applyNumberFormat="1" applyFill="1" applyBorder="1"/>
    <xf numFmtId="3" fontId="4" fillId="19" borderId="22" xfId="0" applyNumberFormat="1" applyFont="1" applyFill="1" applyBorder="1" applyAlignment="1">
      <alignment horizontal="center"/>
    </xf>
    <xf numFmtId="1" fontId="0" fillId="19" borderId="22" xfId="0" applyNumberFormat="1" applyFill="1" applyBorder="1"/>
    <xf numFmtId="164" fontId="0" fillId="19" borderId="22" xfId="0" applyNumberFormat="1" applyFill="1" applyBorder="1"/>
    <xf numFmtId="0" fontId="4" fillId="19" borderId="67" xfId="0" applyFont="1" applyFill="1" applyBorder="1" applyAlignment="1">
      <alignment horizontal="right"/>
    </xf>
    <xf numFmtId="0" fontId="4" fillId="19" borderId="68" xfId="0" applyFont="1" applyFill="1" applyBorder="1" applyAlignment="1">
      <alignment horizontal="right"/>
    </xf>
    <xf numFmtId="165" fontId="0" fillId="19" borderId="22" xfId="0" applyNumberFormat="1" applyFill="1" applyBorder="1"/>
    <xf numFmtId="0" fontId="4" fillId="19" borderId="22" xfId="0" applyFont="1" applyFill="1" applyBorder="1"/>
    <xf numFmtId="0" fontId="4" fillId="19" borderId="89" xfId="0" applyFont="1" applyFill="1" applyBorder="1" applyAlignment="1">
      <alignment horizontal="centerContinuous" wrapText="1"/>
    </xf>
    <xf numFmtId="0" fontId="0" fillId="19" borderId="90" xfId="0" applyFill="1" applyBorder="1" applyAlignment="1">
      <alignment horizontal="centerContinuous" wrapText="1"/>
    </xf>
    <xf numFmtId="0" fontId="0" fillId="19" borderId="91" xfId="0" applyFill="1" applyBorder="1" applyAlignment="1">
      <alignment horizontal="centerContinuous" wrapText="1"/>
    </xf>
    <xf numFmtId="0" fontId="0" fillId="19" borderId="68" xfId="0" applyFill="1" applyBorder="1" applyAlignment="1">
      <alignment horizontal="centerContinuous"/>
    </xf>
    <xf numFmtId="0" fontId="0" fillId="19" borderId="69" xfId="0" applyFill="1" applyBorder="1"/>
    <xf numFmtId="0" fontId="0" fillId="19" borderId="41" xfId="0" applyFill="1" applyBorder="1"/>
    <xf numFmtId="0" fontId="20" fillId="19" borderId="42" xfId="0" applyFont="1" applyFill="1" applyBorder="1" applyAlignment="1">
      <alignment horizontal="center" wrapText="1"/>
    </xf>
    <xf numFmtId="0" fontId="20" fillId="19" borderId="122" xfId="0" applyFont="1" applyFill="1" applyBorder="1" applyAlignment="1">
      <alignment horizontal="center" wrapText="1"/>
    </xf>
    <xf numFmtId="0" fontId="2" fillId="19" borderId="13" xfId="0" applyFont="1" applyFill="1" applyBorder="1"/>
    <xf numFmtId="1" fontId="2" fillId="19" borderId="14" xfId="0" applyNumberFormat="1" applyFont="1" applyFill="1" applyBorder="1" applyAlignment="1">
      <alignment horizontal="right" wrapText="1"/>
    </xf>
    <xf numFmtId="0" fontId="2" fillId="19" borderId="14" xfId="0" applyFont="1" applyFill="1" applyBorder="1" applyAlignment="1">
      <alignment horizontal="right" wrapText="1"/>
    </xf>
    <xf numFmtId="0" fontId="2" fillId="19" borderId="15" xfId="0" applyFont="1" applyFill="1" applyBorder="1" applyAlignment="1">
      <alignment horizontal="right" wrapText="1"/>
    </xf>
    <xf numFmtId="0" fontId="2" fillId="19" borderId="4" xfId="0" applyFont="1" applyFill="1" applyBorder="1"/>
    <xf numFmtId="1" fontId="2" fillId="19" borderId="5" xfId="0" applyNumberFormat="1" applyFont="1" applyFill="1" applyBorder="1" applyAlignment="1">
      <alignment horizontal="right" wrapText="1"/>
    </xf>
    <xf numFmtId="0" fontId="2" fillId="19" borderId="5" xfId="0" applyFont="1" applyFill="1" applyBorder="1" applyAlignment="1">
      <alignment horizontal="right" wrapText="1"/>
    </xf>
    <xf numFmtId="0" fontId="2" fillId="19" borderId="6" xfId="0" applyFont="1" applyFill="1" applyBorder="1" applyAlignment="1">
      <alignment horizontal="right" wrapText="1"/>
    </xf>
    <xf numFmtId="0" fontId="2" fillId="19" borderId="7" xfId="0" applyFont="1" applyFill="1" applyBorder="1"/>
    <xf numFmtId="0" fontId="2" fillId="19" borderId="8" xfId="0" applyFont="1" applyFill="1" applyBorder="1" applyAlignment="1">
      <alignment horizontal="right"/>
    </xf>
    <xf numFmtId="0" fontId="2" fillId="19" borderId="9" xfId="0" applyFont="1" applyFill="1" applyBorder="1" applyAlignment="1">
      <alignment horizontal="right"/>
    </xf>
    <xf numFmtId="0" fontId="2" fillId="19" borderId="20" xfId="0" applyFont="1" applyFill="1" applyBorder="1"/>
    <xf numFmtId="1" fontId="2" fillId="19" borderId="21" xfId="0" applyNumberFormat="1" applyFont="1" applyFill="1" applyBorder="1" applyAlignment="1">
      <alignment horizontal="right" wrapText="1"/>
    </xf>
    <xf numFmtId="0" fontId="2" fillId="19" borderId="21" xfId="0" applyFont="1" applyFill="1" applyBorder="1" applyAlignment="1">
      <alignment horizontal="right"/>
    </xf>
    <xf numFmtId="0" fontId="2" fillId="19" borderId="27" xfId="0" applyFont="1" applyFill="1" applyBorder="1" applyAlignment="1">
      <alignment horizontal="right"/>
    </xf>
    <xf numFmtId="0" fontId="2" fillId="19" borderId="21" xfId="0" applyFont="1" applyFill="1" applyBorder="1" applyAlignment="1">
      <alignment horizontal="right" wrapText="1"/>
    </xf>
    <xf numFmtId="0" fontId="2" fillId="19" borderId="27" xfId="0" applyFont="1" applyFill="1" applyBorder="1" applyAlignment="1">
      <alignment horizontal="right" wrapText="1"/>
    </xf>
    <xf numFmtId="0" fontId="2" fillId="19" borderId="14" xfId="0" applyFont="1" applyFill="1" applyBorder="1" applyAlignment="1">
      <alignment horizontal="right"/>
    </xf>
    <xf numFmtId="0" fontId="2" fillId="19" borderId="15" xfId="0" applyFont="1" applyFill="1" applyBorder="1" applyAlignment="1">
      <alignment horizontal="right"/>
    </xf>
    <xf numFmtId="0" fontId="2" fillId="19" borderId="10" xfId="0" applyFont="1" applyFill="1" applyBorder="1"/>
    <xf numFmtId="0" fontId="2" fillId="19" borderId="11" xfId="0" applyFont="1" applyFill="1" applyBorder="1" applyAlignment="1">
      <alignment horizontal="right"/>
    </xf>
    <xf numFmtId="0" fontId="2" fillId="19" borderId="12" xfId="0" applyFont="1" applyFill="1" applyBorder="1" applyAlignment="1">
      <alignment horizontal="right"/>
    </xf>
    <xf numFmtId="0" fontId="0" fillId="19" borderId="8" xfId="0" applyFill="1" applyBorder="1"/>
    <xf numFmtId="0" fontId="4" fillId="0" borderId="0" xfId="0" applyFont="1" applyFill="1" applyAlignment="1">
      <alignment horizontal="centerContinuous"/>
    </xf>
    <xf numFmtId="0" fontId="0" fillId="0" borderId="0" xfId="0" applyFill="1" applyAlignment="1">
      <alignment horizontal="centerContinuous"/>
    </xf>
    <xf numFmtId="0" fontId="24" fillId="0" borderId="0" xfId="0" applyFont="1" applyFill="1" applyAlignment="1">
      <alignment horizontal="centerContinuous" wrapText="1"/>
    </xf>
    <xf numFmtId="0" fontId="4" fillId="0" borderId="0" xfId="0" applyFont="1" applyFill="1" applyAlignment="1">
      <alignment horizontal="left"/>
    </xf>
    <xf numFmtId="0" fontId="4" fillId="0" borderId="22" xfId="0" applyFont="1" applyFill="1" applyBorder="1" applyAlignment="1">
      <alignment horizontal="center" wrapText="1"/>
    </xf>
    <xf numFmtId="0" fontId="4" fillId="0" borderId="67" xfId="0" applyFont="1" applyFill="1" applyBorder="1"/>
    <xf numFmtId="0" fontId="4" fillId="0" borderId="68" xfId="0" applyFont="1" applyFill="1" applyBorder="1"/>
    <xf numFmtId="0" fontId="0" fillId="0" borderId="22" xfId="0" applyFill="1" applyBorder="1"/>
    <xf numFmtId="0" fontId="4" fillId="0" borderId="0" xfId="0" applyFont="1" applyFill="1"/>
    <xf numFmtId="0" fontId="0" fillId="0" borderId="1" xfId="0" applyFill="1" applyBorder="1"/>
    <xf numFmtId="0" fontId="0" fillId="0" borderId="20" xfId="0" applyFill="1" applyBorder="1"/>
    <xf numFmtId="0" fontId="11" fillId="0" borderId="0" xfId="0" applyFont="1" applyFill="1"/>
    <xf numFmtId="0" fontId="4" fillId="0" borderId="0" xfId="0" quotePrefix="1" applyFont="1" applyFill="1"/>
    <xf numFmtId="3" fontId="0" fillId="0" borderId="146" xfId="0" applyNumberFormat="1" applyFill="1" applyBorder="1"/>
    <xf numFmtId="3" fontId="0" fillId="0" borderId="27" xfId="0" applyNumberFormat="1" applyFill="1" applyBorder="1"/>
    <xf numFmtId="1" fontId="0" fillId="19" borderId="146" xfId="0" applyNumberFormat="1" applyFill="1" applyBorder="1"/>
    <xf numFmtId="0" fontId="0" fillId="19" borderId="29" xfId="0" applyFill="1" applyBorder="1"/>
    <xf numFmtId="0" fontId="5" fillId="0" borderId="37" xfId="0" applyFont="1" applyBorder="1"/>
    <xf numFmtId="0" fontId="0" fillId="0" borderId="147" xfId="0" applyBorder="1"/>
    <xf numFmtId="0" fontId="0" fillId="0" borderId="73" xfId="0" applyBorder="1"/>
    <xf numFmtId="0" fontId="0" fillId="0" borderId="74" xfId="0" applyBorder="1"/>
    <xf numFmtId="0" fontId="0" fillId="0" borderId="81" xfId="0" applyBorder="1"/>
    <xf numFmtId="0" fontId="0" fillId="0" borderId="127" xfId="0" applyBorder="1"/>
    <xf numFmtId="0" fontId="0" fillId="0" borderId="148" xfId="0" applyBorder="1"/>
    <xf numFmtId="0" fontId="5" fillId="13" borderId="0" xfId="0" applyFont="1" applyFill="1"/>
    <xf numFmtId="0" fontId="5" fillId="0" borderId="3" xfId="0" applyFont="1" applyFill="1" applyBorder="1"/>
    <xf numFmtId="0" fontId="5" fillId="0" borderId="29" xfId="0" applyFont="1" applyFill="1" applyBorder="1"/>
    <xf numFmtId="0" fontId="5" fillId="19" borderId="29" xfId="0" applyFont="1" applyFill="1" applyBorder="1"/>
    <xf numFmtId="0" fontId="5" fillId="0" borderId="2" xfId="0" applyFont="1" applyBorder="1"/>
    <xf numFmtId="0" fontId="0" fillId="0" borderId="93" xfId="0" applyBorder="1"/>
    <xf numFmtId="0" fontId="0" fillId="0" borderId="94" xfId="0" applyBorder="1"/>
    <xf numFmtId="0" fontId="4" fillId="0" borderId="32" xfId="0" applyFont="1" applyBorder="1"/>
    <xf numFmtId="0" fontId="0" fillId="0" borderId="1" xfId="0" applyBorder="1" applyAlignment="1">
      <alignment horizontal="centerContinuous"/>
    </xf>
    <xf numFmtId="0" fontId="0" fillId="0" borderId="2" xfId="0" applyBorder="1" applyAlignment="1">
      <alignment horizontal="centerContinuous"/>
    </xf>
    <xf numFmtId="0" fontId="0" fillId="0" borderId="3" xfId="0" applyBorder="1" applyAlignment="1">
      <alignment horizontal="centerContinuous"/>
    </xf>
    <xf numFmtId="0" fontId="4" fillId="0" borderId="1" xfId="0" applyFont="1" applyBorder="1"/>
    <xf numFmtId="0" fontId="4" fillId="0" borderId="2" xfId="0" applyFont="1" applyBorder="1"/>
    <xf numFmtId="0" fontId="4" fillId="0" borderId="74" xfId="0" applyFont="1" applyBorder="1"/>
    <xf numFmtId="0" fontId="4" fillId="0" borderId="73" xfId="0" applyFont="1" applyBorder="1"/>
    <xf numFmtId="0" fontId="0" fillId="0" borderId="149" xfId="0" applyBorder="1"/>
    <xf numFmtId="0" fontId="0" fillId="0" borderId="150" xfId="0" applyBorder="1"/>
    <xf numFmtId="0" fontId="4" fillId="0" borderId="144" xfId="0" applyFont="1" applyFill="1" applyBorder="1"/>
    <xf numFmtId="0" fontId="4" fillId="0" borderId="32" xfId="0" applyFont="1" applyFill="1" applyBorder="1"/>
    <xf numFmtId="0" fontId="0" fillId="0" borderId="84" xfId="0" applyBorder="1"/>
    <xf numFmtId="0" fontId="0" fillId="0" borderId="29" xfId="0" applyBorder="1" applyAlignment="1">
      <alignment horizontal="centerContinuous"/>
    </xf>
    <xf numFmtId="0" fontId="5" fillId="0" borderId="0" xfId="0" applyFont="1" applyAlignment="1">
      <alignment vertical="center"/>
    </xf>
    <xf numFmtId="0" fontId="0" fillId="0" borderId="0" xfId="0" applyAlignment="1">
      <alignment vertical="center"/>
    </xf>
    <xf numFmtId="167" fontId="0" fillId="0" borderId="0" xfId="0" applyNumberFormat="1" applyBorder="1"/>
    <xf numFmtId="0" fontId="4" fillId="0" borderId="153" xfId="0" applyFont="1" applyBorder="1"/>
    <xf numFmtId="0" fontId="0" fillId="0" borderId="58" xfId="0" applyBorder="1" applyAlignment="1">
      <alignment horizontal="centerContinuous"/>
    </xf>
    <xf numFmtId="0" fontId="0" fillId="0" borderId="50" xfId="0" applyBorder="1" applyAlignment="1">
      <alignment horizontal="centerContinuous"/>
    </xf>
    <xf numFmtId="0" fontId="0" fillId="0" borderId="59" xfId="0" applyBorder="1" applyAlignment="1">
      <alignment horizontal="centerContinuous"/>
    </xf>
    <xf numFmtId="167" fontId="0" fillId="0" borderId="62" xfId="0" applyNumberFormat="1" applyBorder="1"/>
    <xf numFmtId="167" fontId="0" fillId="0" borderId="63" xfId="0" applyNumberFormat="1" applyBorder="1"/>
    <xf numFmtId="0" fontId="4" fillId="0" borderId="154" xfId="0" applyFont="1" applyBorder="1"/>
    <xf numFmtId="0" fontId="0" fillId="0" borderId="58" xfId="0" applyBorder="1"/>
    <xf numFmtId="0" fontId="0" fillId="0" borderId="63" xfId="0" applyBorder="1" applyAlignment="1">
      <alignment horizontal="right"/>
    </xf>
    <xf numFmtId="0" fontId="0" fillId="0" borderId="59" xfId="0" applyBorder="1"/>
    <xf numFmtId="167" fontId="0" fillId="0" borderId="65" xfId="0" applyNumberFormat="1" applyBorder="1"/>
    <xf numFmtId="167" fontId="0" fillId="0" borderId="66" xfId="0" applyNumberFormat="1" applyBorder="1"/>
    <xf numFmtId="0" fontId="0" fillId="0" borderId="89" xfId="0" applyBorder="1"/>
    <xf numFmtId="0" fontId="0" fillId="0" borderId="90" xfId="0" applyBorder="1" applyAlignment="1">
      <alignment wrapText="1"/>
    </xf>
    <xf numFmtId="0" fontId="0" fillId="0" borderId="128" xfId="0" applyBorder="1" applyAlignment="1">
      <alignment wrapText="1"/>
    </xf>
    <xf numFmtId="0" fontId="0" fillId="0" borderId="155" xfId="0" applyBorder="1"/>
    <xf numFmtId="0" fontId="0" fillId="0" borderId="55" xfId="0" applyBorder="1"/>
    <xf numFmtId="0" fontId="0" fillId="0" borderId="61" xfId="0" applyBorder="1"/>
    <xf numFmtId="0" fontId="5" fillId="0" borderId="61" xfId="0" applyFont="1" applyBorder="1"/>
    <xf numFmtId="0" fontId="0" fillId="0" borderId="131" xfId="0" applyBorder="1"/>
    <xf numFmtId="167" fontId="0" fillId="0" borderId="7" xfId="0" applyNumberFormat="1" applyBorder="1"/>
    <xf numFmtId="0" fontId="0" fillId="0" borderId="157" xfId="0" applyBorder="1"/>
    <xf numFmtId="0" fontId="0" fillId="0" borderId="158" xfId="0" applyBorder="1"/>
    <xf numFmtId="0" fontId="0" fillId="10" borderId="69" xfId="0" applyFill="1" applyBorder="1"/>
    <xf numFmtId="2" fontId="0" fillId="3" borderId="69" xfId="0" applyNumberFormat="1" applyFill="1" applyBorder="1" applyProtection="1"/>
    <xf numFmtId="0" fontId="0" fillId="3" borderId="69" xfId="0" applyFill="1" applyBorder="1" applyProtection="1"/>
    <xf numFmtId="0" fontId="0" fillId="3" borderId="69" xfId="0" applyFill="1" applyBorder="1"/>
    <xf numFmtId="3" fontId="0" fillId="3" borderId="69" xfId="0" applyNumberFormat="1" applyFill="1" applyBorder="1"/>
    <xf numFmtId="165" fontId="0" fillId="3" borderId="69" xfId="0" applyNumberFormat="1" applyFill="1" applyBorder="1"/>
    <xf numFmtId="0" fontId="4" fillId="5" borderId="159" xfId="0" applyFont="1" applyFill="1" applyBorder="1"/>
    <xf numFmtId="0" fontId="4" fillId="5" borderId="54" xfId="0" applyFont="1" applyFill="1" applyBorder="1"/>
    <xf numFmtId="2" fontId="4" fillId="5" borderId="30" xfId="0" applyNumberFormat="1" applyFont="1" applyFill="1" applyBorder="1"/>
    <xf numFmtId="0" fontId="5" fillId="0" borderId="0" xfId="0" applyFont="1" applyFill="1" applyBorder="1" applyAlignment="1">
      <alignment wrapText="1"/>
    </xf>
    <xf numFmtId="0" fontId="5" fillId="0" borderId="8" xfId="0" applyFont="1" applyFill="1" applyBorder="1"/>
    <xf numFmtId="2" fontId="0" fillId="0" borderId="8" xfId="0" applyNumberFormat="1" applyBorder="1"/>
    <xf numFmtId="0" fontId="5" fillId="0" borderId="65" xfId="0" applyFont="1" applyFill="1" applyBorder="1"/>
    <xf numFmtId="2" fontId="0" fillId="0" borderId="65" xfId="0" applyNumberFormat="1" applyBorder="1"/>
    <xf numFmtId="0" fontId="5" fillId="0" borderId="90" xfId="0" applyFont="1" applyFill="1" applyBorder="1" applyAlignment="1">
      <alignment wrapText="1"/>
    </xf>
    <xf numFmtId="0" fontId="5" fillId="0" borderId="90" xfId="0" applyFont="1" applyBorder="1" applyAlignment="1">
      <alignment wrapText="1"/>
    </xf>
    <xf numFmtId="0" fontId="5" fillId="0" borderId="89" xfId="0" applyFont="1" applyBorder="1" applyAlignment="1">
      <alignment wrapText="1"/>
    </xf>
    <xf numFmtId="0" fontId="0" fillId="0" borderId="65" xfId="0" applyFill="1" applyBorder="1"/>
    <xf numFmtId="0" fontId="5" fillId="0" borderId="0" xfId="0" applyFont="1" applyAlignment="1">
      <alignment horizontal="right"/>
    </xf>
    <xf numFmtId="177" fontId="0" fillId="0" borderId="85" xfId="1" applyNumberFormat="1" applyFont="1" applyBorder="1"/>
    <xf numFmtId="177" fontId="0" fillId="0" borderId="88" xfId="1" applyNumberFormat="1" applyFont="1" applyBorder="1"/>
    <xf numFmtId="0" fontId="5" fillId="0" borderId="0" xfId="0" applyFont="1" applyBorder="1" applyAlignment="1">
      <alignment wrapText="1"/>
    </xf>
    <xf numFmtId="0" fontId="0" fillId="0" borderId="87" xfId="0" applyBorder="1"/>
    <xf numFmtId="177" fontId="0" fillId="0" borderId="0" xfId="1" applyNumberFormat="1" applyFont="1" applyBorder="1"/>
    <xf numFmtId="177" fontId="0" fillId="0" borderId="8" xfId="1" applyNumberFormat="1" applyFont="1" applyBorder="1"/>
    <xf numFmtId="177" fontId="0" fillId="0" borderId="65" xfId="1" applyNumberFormat="1" applyFont="1" applyBorder="1"/>
    <xf numFmtId="0" fontId="0" fillId="0" borderId="0" xfId="0" applyAlignment="1">
      <alignment vertical="center" textRotation="90"/>
    </xf>
    <xf numFmtId="167" fontId="0" fillId="0" borderId="0" xfId="0" applyNumberFormat="1"/>
    <xf numFmtId="0" fontId="41" fillId="0" borderId="0" xfId="3"/>
    <xf numFmtId="3" fontId="41" fillId="0" borderId="0" xfId="3" applyNumberFormat="1"/>
    <xf numFmtId="6" fontId="41" fillId="0" borderId="0" xfId="3" applyNumberFormat="1"/>
    <xf numFmtId="11" fontId="41" fillId="0" borderId="0" xfId="3" applyNumberFormat="1"/>
    <xf numFmtId="0" fontId="41" fillId="19" borderId="0" xfId="3" applyFill="1"/>
    <xf numFmtId="3" fontId="41" fillId="19" borderId="0" xfId="3" applyNumberFormat="1" applyFill="1"/>
    <xf numFmtId="6" fontId="41" fillId="19" borderId="0" xfId="3" applyNumberFormat="1" applyFill="1"/>
    <xf numFmtId="0" fontId="41" fillId="0" borderId="0" xfId="3" applyFill="1"/>
    <xf numFmtId="3" fontId="41" fillId="0" borderId="0" xfId="3" applyNumberFormat="1" applyFill="1"/>
    <xf numFmtId="6" fontId="41" fillId="0" borderId="0" xfId="3" applyNumberFormat="1" applyFill="1"/>
    <xf numFmtId="177" fontId="0" fillId="0" borderId="0" xfId="1" applyNumberFormat="1" applyFont="1"/>
    <xf numFmtId="177" fontId="0" fillId="0" borderId="0" xfId="1" applyNumberFormat="1" applyFont="1" applyAlignment="1">
      <alignment horizontal="center" vertical="center"/>
    </xf>
    <xf numFmtId="2" fontId="5" fillId="0" borderId="0" xfId="4" applyNumberFormat="1"/>
    <xf numFmtId="2" fontId="0" fillId="0" borderId="0" xfId="0" applyNumberFormat="1" applyFill="1" applyBorder="1"/>
    <xf numFmtId="0" fontId="0" fillId="0" borderId="0" xfId="0" applyFill="1" applyAlignment="1">
      <alignment horizontal="center" vertical="center" wrapText="1"/>
    </xf>
    <xf numFmtId="3" fontId="22" fillId="3" borderId="165" xfId="0" applyNumberFormat="1" applyFont="1" applyFill="1" applyBorder="1"/>
    <xf numFmtId="0" fontId="4" fillId="3" borderId="140" xfId="0" applyFont="1" applyFill="1" applyBorder="1"/>
    <xf numFmtId="0" fontId="4" fillId="3" borderId="140" xfId="0" applyFont="1" applyFill="1" applyBorder="1" applyAlignment="1">
      <alignment horizontal="right"/>
    </xf>
    <xf numFmtId="0" fontId="5" fillId="3" borderId="140" xfId="0" applyFont="1" applyFill="1" applyBorder="1" applyAlignment="1">
      <alignment horizontal="left" indent="1"/>
    </xf>
    <xf numFmtId="3" fontId="5" fillId="3" borderId="8" xfId="0" applyNumberFormat="1" applyFont="1" applyFill="1" applyBorder="1" applyAlignment="1"/>
    <xf numFmtId="167" fontId="4" fillId="20" borderId="8" xfId="0" applyNumberFormat="1" applyFont="1" applyFill="1" applyBorder="1"/>
    <xf numFmtId="2" fontId="4" fillId="20" borderId="8" xfId="0" applyNumberFormat="1" applyFont="1" applyFill="1" applyBorder="1"/>
    <xf numFmtId="0" fontId="4" fillId="20" borderId="8" xfId="0" applyFont="1" applyFill="1" applyBorder="1"/>
    <xf numFmtId="1" fontId="4" fillId="21" borderId="8" xfId="0" applyNumberFormat="1" applyFont="1" applyFill="1" applyBorder="1"/>
    <xf numFmtId="167" fontId="4" fillId="21" borderId="8" xfId="0" applyNumberFormat="1" applyFont="1" applyFill="1" applyBorder="1"/>
    <xf numFmtId="1" fontId="4" fillId="21" borderId="8" xfId="1" applyNumberFormat="1" applyFont="1" applyFill="1" applyBorder="1" applyAlignment="1">
      <alignment horizontal="right"/>
    </xf>
    <xf numFmtId="1" fontId="4" fillId="20" borderId="8" xfId="0" applyNumberFormat="1" applyFont="1" applyFill="1" applyBorder="1"/>
    <xf numFmtId="0" fontId="0" fillId="0" borderId="0" xfId="0" applyFont="1" applyFill="1" applyBorder="1"/>
    <xf numFmtId="167" fontId="0" fillId="20" borderId="8" xfId="0" applyNumberFormat="1" applyFill="1" applyBorder="1"/>
    <xf numFmtId="0" fontId="4" fillId="22" borderId="8" xfId="0" applyFont="1" applyFill="1" applyBorder="1"/>
    <xf numFmtId="0" fontId="0" fillId="22" borderId="8" xfId="0" applyFill="1" applyBorder="1"/>
    <xf numFmtId="177" fontId="36" fillId="22" borderId="8" xfId="1" applyNumberFormat="1" applyFont="1" applyFill="1" applyBorder="1"/>
    <xf numFmtId="0" fontId="4" fillId="15" borderId="8" xfId="0" applyFont="1" applyFill="1" applyBorder="1"/>
    <xf numFmtId="0" fontId="4" fillId="15" borderId="63" xfId="0" applyFont="1" applyFill="1" applyBorder="1"/>
    <xf numFmtId="177" fontId="4" fillId="15" borderId="65" xfId="1" applyNumberFormat="1" applyFont="1" applyFill="1" applyBorder="1"/>
    <xf numFmtId="177" fontId="4" fillId="15" borderId="66" xfId="1" applyNumberFormat="1" applyFont="1" applyFill="1" applyBorder="1"/>
    <xf numFmtId="2" fontId="0" fillId="20" borderId="8" xfId="0" applyNumberFormat="1" applyFill="1" applyBorder="1"/>
    <xf numFmtId="0" fontId="0" fillId="23" borderId="8" xfId="0" applyFill="1" applyBorder="1"/>
    <xf numFmtId="0" fontId="5" fillId="23" borderId="8" xfId="0" applyFont="1" applyFill="1" applyBorder="1"/>
    <xf numFmtId="167" fontId="0" fillId="23" borderId="8" xfId="0" applyNumberFormat="1" applyFill="1" applyBorder="1"/>
    <xf numFmtId="2" fontId="0" fillId="23" borderId="8" xfId="0" applyNumberFormat="1" applyFill="1" applyBorder="1"/>
    <xf numFmtId="1" fontId="0" fillId="20" borderId="8" xfId="0" applyNumberFormat="1" applyFill="1" applyBorder="1"/>
    <xf numFmtId="1" fontId="0" fillId="23" borderId="8" xfId="0" applyNumberFormat="1" applyFill="1" applyBorder="1"/>
    <xf numFmtId="0" fontId="0" fillId="0" borderId="89" xfId="0" applyBorder="1" applyAlignment="1">
      <alignment horizontal="center"/>
    </xf>
    <xf numFmtId="0" fontId="0" fillId="0" borderId="90" xfId="0" applyBorder="1" applyAlignment="1">
      <alignment horizontal="center"/>
    </xf>
    <xf numFmtId="0" fontId="0" fillId="0" borderId="128" xfId="0" applyBorder="1" applyAlignment="1">
      <alignment horizontal="center"/>
    </xf>
    <xf numFmtId="0" fontId="0" fillId="0" borderId="156" xfId="0" applyBorder="1"/>
    <xf numFmtId="169" fontId="0" fillId="0" borderId="58" xfId="5" applyNumberFormat="1" applyFont="1" applyBorder="1" applyAlignment="1">
      <alignment horizontal="center"/>
    </xf>
    <xf numFmtId="169" fontId="0" fillId="0" borderId="50" xfId="5" applyNumberFormat="1" applyFont="1" applyBorder="1" applyAlignment="1">
      <alignment horizontal="center"/>
    </xf>
    <xf numFmtId="169" fontId="0" fillId="0" borderId="59" xfId="5" applyNumberFormat="1" applyFont="1" applyBorder="1" applyAlignment="1">
      <alignment horizontal="center"/>
    </xf>
    <xf numFmtId="2" fontId="0" fillId="0" borderId="157" xfId="0" applyNumberFormat="1" applyBorder="1"/>
    <xf numFmtId="169" fontId="0" fillId="0" borderId="62" xfId="5" applyNumberFormat="1" applyFont="1" applyBorder="1"/>
    <xf numFmtId="169" fontId="0" fillId="0" borderId="8" xfId="5" applyNumberFormat="1" applyFont="1" applyBorder="1"/>
    <xf numFmtId="184" fontId="0" fillId="0" borderId="63" xfId="5" applyNumberFormat="1" applyFont="1" applyBorder="1"/>
    <xf numFmtId="169" fontId="0" fillId="0" borderId="62" xfId="5" applyNumberFormat="1" applyFont="1" applyBorder="1" applyAlignment="1">
      <alignment horizontal="center"/>
    </xf>
    <xf numFmtId="169" fontId="0" fillId="0" borderId="8" xfId="5" applyNumberFormat="1" applyFont="1" applyBorder="1" applyAlignment="1">
      <alignment horizontal="center"/>
    </xf>
    <xf numFmtId="169" fontId="0" fillId="0" borderId="63" xfId="5" applyNumberFormat="1" applyFont="1" applyBorder="1" applyAlignment="1">
      <alignment horizontal="center"/>
    </xf>
    <xf numFmtId="169" fontId="0" fillId="0" borderId="64" xfId="5" applyNumberFormat="1" applyFont="1" applyBorder="1" applyAlignment="1">
      <alignment horizontal="center"/>
    </xf>
    <xf numFmtId="169" fontId="0" fillId="0" borderId="65" xfId="5" applyNumberFormat="1" applyFont="1" applyBorder="1" applyAlignment="1">
      <alignment horizontal="center"/>
    </xf>
    <xf numFmtId="169" fontId="0" fillId="0" borderId="66" xfId="5" applyNumberFormat="1" applyFont="1" applyBorder="1" applyAlignment="1">
      <alignment horizontal="center"/>
    </xf>
    <xf numFmtId="2" fontId="0" fillId="0" borderId="158" xfId="0" applyNumberFormat="1" applyBorder="1"/>
    <xf numFmtId="169" fontId="0" fillId="0" borderId="64" xfId="5" applyNumberFormat="1" applyFont="1" applyBorder="1"/>
    <xf numFmtId="169" fontId="0" fillId="0" borderId="65" xfId="5" applyNumberFormat="1" applyFont="1" applyBorder="1"/>
    <xf numFmtId="184" fontId="0" fillId="0" borderId="66" xfId="5" applyNumberFormat="1" applyFont="1" applyBorder="1"/>
    <xf numFmtId="0" fontId="0" fillId="0" borderId="60" xfId="0" applyBorder="1"/>
    <xf numFmtId="184" fontId="0" fillId="0" borderId="159" xfId="5" applyNumberFormat="1" applyFont="1" applyBorder="1"/>
    <xf numFmtId="0" fontId="0" fillId="0" borderId="90" xfId="0" applyFill="1" applyBorder="1" applyAlignment="1">
      <alignment horizontal="center"/>
    </xf>
    <xf numFmtId="0" fontId="0" fillId="0" borderId="0" xfId="0" applyBorder="1" applyAlignment="1">
      <alignment horizontal="centerContinuous"/>
    </xf>
    <xf numFmtId="0" fontId="4" fillId="0" borderId="0" xfId="0" applyFont="1" applyFill="1" applyAlignment="1">
      <alignment horizontal="center" wrapText="1"/>
    </xf>
    <xf numFmtId="166" fontId="5" fillId="0" borderId="0" xfId="0" applyNumberFormat="1" applyFont="1" applyFill="1" applyAlignment="1">
      <alignment horizontal="right" wrapText="1"/>
    </xf>
    <xf numFmtId="2" fontId="5" fillId="0" borderId="0" xfId="4" applyNumberFormat="1" applyFill="1"/>
    <xf numFmtId="0" fontId="5" fillId="0" borderId="0" xfId="0" applyFont="1" applyAlignment="1">
      <alignment horizontal="center" wrapText="1"/>
    </xf>
    <xf numFmtId="0" fontId="0" fillId="0" borderId="0" xfId="0" applyFont="1" applyAlignment="1">
      <alignment horizontal="center"/>
    </xf>
    <xf numFmtId="0" fontId="42" fillId="0" borderId="0" xfId="0" applyFont="1" applyFill="1" applyBorder="1" applyAlignment="1">
      <alignment horizontal="center" shrinkToFit="1"/>
    </xf>
    <xf numFmtId="0" fontId="40" fillId="0" borderId="0" xfId="0" applyFont="1" applyFill="1" applyAlignment="1">
      <alignment horizontal="center" wrapText="1"/>
    </xf>
    <xf numFmtId="0" fontId="40" fillId="0" borderId="0" xfId="0" applyFont="1" applyFill="1" applyAlignment="1">
      <alignment horizontal="center" vertical="center" wrapText="1"/>
    </xf>
    <xf numFmtId="0" fontId="0" fillId="0" borderId="99" xfId="0" applyBorder="1"/>
    <xf numFmtId="0" fontId="43" fillId="0" borderId="119" xfId="0" applyFont="1" applyBorder="1"/>
    <xf numFmtId="0" fontId="4" fillId="20" borderId="8" xfId="0" applyFont="1" applyFill="1" applyBorder="1" applyAlignment="1">
      <alignment horizontal="right"/>
    </xf>
    <xf numFmtId="10" fontId="4" fillId="20" borderId="8" xfId="5" applyNumberFormat="1" applyFont="1" applyFill="1" applyBorder="1" applyAlignment="1">
      <alignment horizontal="right"/>
    </xf>
    <xf numFmtId="0" fontId="4" fillId="10" borderId="63" xfId="0" applyFont="1" applyFill="1" applyBorder="1" applyProtection="1">
      <protection locked="0"/>
    </xf>
    <xf numFmtId="0" fontId="4" fillId="6" borderId="22" xfId="0" applyNumberFormat="1" applyFont="1" applyFill="1" applyBorder="1" applyAlignment="1" applyProtection="1">
      <alignment horizontal="right"/>
      <protection locked="0"/>
    </xf>
    <xf numFmtId="0" fontId="4" fillId="12" borderId="22" xfId="0" applyFont="1" applyFill="1" applyBorder="1" applyProtection="1">
      <protection locked="0"/>
    </xf>
    <xf numFmtId="0" fontId="4" fillId="10" borderId="22" xfId="0" applyFont="1" applyFill="1" applyBorder="1" applyProtection="1">
      <protection locked="0"/>
    </xf>
    <xf numFmtId="0" fontId="11" fillId="24" borderId="22" xfId="0" applyFont="1" applyFill="1" applyBorder="1" applyProtection="1">
      <protection locked="0"/>
    </xf>
    <xf numFmtId="0" fontId="11" fillId="24" borderId="22" xfId="0" quotePrefix="1" applyFont="1" applyFill="1" applyBorder="1" applyProtection="1">
      <protection locked="0"/>
    </xf>
    <xf numFmtId="168" fontId="4" fillId="10" borderId="63" xfId="0" applyNumberFormat="1" applyFont="1" applyFill="1" applyBorder="1" applyProtection="1">
      <protection locked="0"/>
    </xf>
    <xf numFmtId="1" fontId="4" fillId="10" borderId="63" xfId="0" applyNumberFormat="1" applyFont="1" applyFill="1" applyBorder="1" applyProtection="1">
      <protection locked="0"/>
    </xf>
    <xf numFmtId="2" fontId="4" fillId="10" borderId="63" xfId="0" applyNumberFormat="1" applyFont="1" applyFill="1" applyBorder="1" applyProtection="1">
      <protection locked="0"/>
    </xf>
    <xf numFmtId="0" fontId="4" fillId="10" borderId="63" xfId="0" applyFont="1" applyFill="1" applyBorder="1" applyAlignment="1" applyProtection="1">
      <alignment horizontal="right"/>
      <protection locked="0"/>
    </xf>
    <xf numFmtId="169" fontId="4" fillId="10" borderId="63" xfId="0" applyNumberFormat="1" applyFont="1" applyFill="1" applyBorder="1" applyProtection="1">
      <protection locked="0"/>
    </xf>
    <xf numFmtId="0" fontId="4" fillId="10" borderId="152" xfId="0" applyFont="1" applyFill="1" applyBorder="1" applyProtection="1">
      <protection locked="0"/>
    </xf>
    <xf numFmtId="0" fontId="4" fillId="10" borderId="66" xfId="0" applyFont="1" applyFill="1" applyBorder="1" applyProtection="1">
      <protection locked="0"/>
    </xf>
    <xf numFmtId="0" fontId="4" fillId="10" borderId="85" xfId="0" applyFont="1" applyFill="1" applyBorder="1" applyProtection="1"/>
    <xf numFmtId="0" fontId="4" fillId="10" borderId="63" xfId="0" applyFont="1" applyFill="1" applyBorder="1" applyProtection="1"/>
    <xf numFmtId="0" fontId="4" fillId="0" borderId="0" xfId="0" applyFont="1" applyAlignment="1" applyProtection="1">
      <alignment horizontal="centerContinuous"/>
    </xf>
    <xf numFmtId="0" fontId="0" fillId="0" borderId="0" xfId="0" applyAlignment="1" applyProtection="1">
      <alignment horizontal="centerContinuous"/>
    </xf>
    <xf numFmtId="0" fontId="0" fillId="0" borderId="0" xfId="0" applyProtection="1"/>
    <xf numFmtId="0" fontId="24" fillId="0" borderId="0" xfId="0" applyFont="1" applyAlignment="1" applyProtection="1">
      <alignment horizontal="centerContinuous" wrapText="1"/>
    </xf>
    <xf numFmtId="0" fontId="4" fillId="6" borderId="22" xfId="0" applyFont="1" applyFill="1" applyBorder="1" applyAlignment="1" applyProtection="1">
      <alignment horizontal="left"/>
    </xf>
    <xf numFmtId="0" fontId="4" fillId="0" borderId="0" xfId="0" applyFont="1" applyAlignment="1" applyProtection="1">
      <alignment horizontal="left"/>
    </xf>
    <xf numFmtId="0" fontId="4" fillId="10" borderId="22" xfId="0" applyFont="1" applyFill="1" applyBorder="1" applyAlignment="1" applyProtection="1">
      <alignment horizontal="centerContinuous"/>
    </xf>
    <xf numFmtId="0" fontId="0" fillId="10" borderId="22" xfId="0" applyFill="1" applyBorder="1" applyAlignment="1" applyProtection="1">
      <alignment horizontal="centerContinuous"/>
    </xf>
    <xf numFmtId="0" fontId="4" fillId="10" borderId="22" xfId="0" applyFont="1" applyFill="1" applyBorder="1" applyAlignment="1" applyProtection="1">
      <alignment horizontal="center" wrapText="1"/>
    </xf>
    <xf numFmtId="0" fontId="4" fillId="12" borderId="22" xfId="0" applyFont="1" applyFill="1" applyBorder="1" applyAlignment="1" applyProtection="1">
      <alignment horizontal="centerContinuous" wrapText="1"/>
    </xf>
    <xf numFmtId="0" fontId="4" fillId="10" borderId="166" xfId="0" applyFont="1" applyFill="1" applyBorder="1" applyAlignment="1" applyProtection="1">
      <alignment horizontal="left" vertical="center"/>
    </xf>
    <xf numFmtId="0" fontId="4" fillId="10" borderId="59" xfId="0" applyFont="1" applyFill="1" applyBorder="1" applyAlignment="1" applyProtection="1">
      <alignment horizontal="centerContinuous" vertical="center" wrapText="1"/>
    </xf>
    <xf numFmtId="0" fontId="4" fillId="12" borderId="22" xfId="0" applyFont="1" applyFill="1" applyBorder="1" applyProtection="1"/>
    <xf numFmtId="0" fontId="4" fillId="10" borderId="160" xfId="0" applyFont="1" applyFill="1" applyBorder="1" applyProtection="1"/>
    <xf numFmtId="0" fontId="4" fillId="10" borderId="62" xfId="0" applyFont="1" applyFill="1" applyBorder="1" applyProtection="1"/>
    <xf numFmtId="0" fontId="0" fillId="0" borderId="0" xfId="0" quotePrefix="1" applyProtection="1"/>
    <xf numFmtId="0" fontId="11" fillId="24" borderId="22" xfId="0" applyFont="1" applyFill="1" applyBorder="1" applyProtection="1"/>
    <xf numFmtId="168" fontId="4" fillId="0" borderId="0" xfId="0" applyNumberFormat="1" applyFont="1" applyFill="1" applyBorder="1" applyProtection="1"/>
    <xf numFmtId="0" fontId="5" fillId="0" borderId="0" xfId="0" applyFont="1" applyFill="1" applyBorder="1" applyProtection="1"/>
    <xf numFmtId="1" fontId="4" fillId="0" borderId="0" xfId="0" applyNumberFormat="1" applyFont="1" applyFill="1" applyBorder="1" applyProtection="1"/>
    <xf numFmtId="169" fontId="4" fillId="0" borderId="0" xfId="0" applyNumberFormat="1" applyFont="1" applyFill="1" applyBorder="1" applyProtection="1"/>
    <xf numFmtId="0" fontId="4" fillId="0" borderId="22" xfId="0" applyFont="1" applyBorder="1" applyAlignment="1" applyProtection="1">
      <alignment horizontal="center"/>
    </xf>
    <xf numFmtId="0" fontId="4" fillId="10" borderId="151" xfId="0" applyFont="1" applyFill="1" applyBorder="1" applyProtection="1"/>
    <xf numFmtId="0" fontId="4" fillId="10" borderId="64" xfId="0" applyFont="1" applyFill="1" applyBorder="1" applyProtection="1"/>
    <xf numFmtId="0" fontId="4" fillId="18" borderId="67" xfId="0" applyFont="1" applyFill="1" applyBorder="1" applyAlignment="1" applyProtection="1">
      <alignment horizontal="centerContinuous"/>
    </xf>
    <xf numFmtId="0" fontId="0" fillId="18" borderId="69" xfId="0" applyFill="1" applyBorder="1" applyAlignment="1" applyProtection="1">
      <alignment horizontal="centerContinuous"/>
    </xf>
    <xf numFmtId="0" fontId="4" fillId="3" borderId="58" xfId="0" applyFont="1" applyFill="1" applyBorder="1" applyAlignment="1" applyProtection="1">
      <alignment horizontal="left"/>
    </xf>
    <xf numFmtId="165" fontId="4" fillId="3" borderId="59" xfId="0" applyNumberFormat="1" applyFont="1" applyFill="1" applyBorder="1" applyProtection="1"/>
    <xf numFmtId="0" fontId="4" fillId="3" borderId="62" xfId="0" applyFont="1" applyFill="1" applyBorder="1" applyAlignment="1" applyProtection="1">
      <alignment horizontal="left"/>
    </xf>
    <xf numFmtId="165" fontId="4" fillId="3" borderId="63" xfId="0" applyNumberFormat="1" applyFont="1" applyFill="1" applyBorder="1" applyProtection="1"/>
    <xf numFmtId="0" fontId="4" fillId="3" borderId="62" xfId="0" applyFont="1" applyFill="1" applyBorder="1" applyProtection="1"/>
    <xf numFmtId="3" fontId="4" fillId="3" borderId="63" xfId="0" applyNumberFormat="1" applyFont="1" applyFill="1" applyBorder="1" applyProtection="1"/>
    <xf numFmtId="0" fontId="4" fillId="3" borderId="64" xfId="0" applyFont="1" applyFill="1" applyBorder="1" applyProtection="1"/>
    <xf numFmtId="10" fontId="4" fillId="3" borderId="66" xfId="0" applyNumberFormat="1" applyFont="1" applyFill="1" applyBorder="1" applyProtection="1"/>
    <xf numFmtId="0" fontId="4" fillId="0" borderId="0" xfId="0" applyFont="1" applyProtection="1"/>
    <xf numFmtId="0" fontId="4" fillId="3" borderId="89" xfId="0" applyFont="1" applyFill="1" applyBorder="1" applyAlignment="1" applyProtection="1">
      <alignment horizontal="center"/>
    </xf>
    <xf numFmtId="171" fontId="4" fillId="3" borderId="90" xfId="0" applyNumberFormat="1" applyFont="1" applyFill="1" applyBorder="1" applyProtection="1"/>
    <xf numFmtId="0" fontId="4" fillId="3" borderId="128" xfId="0" applyFont="1" applyFill="1" applyBorder="1" applyAlignment="1" applyProtection="1">
      <alignment horizontal="center"/>
    </xf>
    <xf numFmtId="0" fontId="4" fillId="3" borderId="160" xfId="0" applyFont="1" applyFill="1" applyBorder="1" applyAlignment="1" applyProtection="1">
      <alignment horizontal="right"/>
    </xf>
    <xf numFmtId="171" fontId="4" fillId="3" borderId="5" xfId="0" applyNumberFormat="1" applyFont="1" applyFill="1" applyBorder="1" applyProtection="1"/>
    <xf numFmtId="10" fontId="4" fillId="3" borderId="85" xfId="0" applyNumberFormat="1" applyFont="1" applyFill="1" applyBorder="1" applyProtection="1"/>
    <xf numFmtId="0" fontId="4" fillId="3" borderId="62" xfId="0" applyFont="1" applyFill="1" applyBorder="1" applyAlignment="1" applyProtection="1">
      <alignment horizontal="right"/>
    </xf>
    <xf numFmtId="171" fontId="4" fillId="3" borderId="8" xfId="0" applyNumberFormat="1" applyFont="1" applyFill="1" applyBorder="1" applyProtection="1"/>
    <xf numFmtId="10" fontId="4" fillId="3" borderId="63" xfId="0" applyNumberFormat="1" applyFont="1" applyFill="1" applyBorder="1" applyProtection="1"/>
    <xf numFmtId="0" fontId="4" fillId="3" borderId="64" xfId="0" applyFont="1" applyFill="1" applyBorder="1" applyAlignment="1" applyProtection="1">
      <alignment horizontal="right"/>
    </xf>
    <xf numFmtId="171" fontId="4" fillId="3" borderId="65" xfId="0" applyNumberFormat="1" applyFont="1" applyFill="1" applyBorder="1" applyProtection="1"/>
    <xf numFmtId="0" fontId="38" fillId="0" borderId="0" xfId="0" applyFont="1" applyAlignment="1">
      <alignment vertical="center"/>
    </xf>
    <xf numFmtId="0" fontId="41" fillId="0" borderId="0" xfId="0" applyFont="1" applyAlignment="1">
      <alignment wrapText="1" shrinkToFit="1"/>
    </xf>
    <xf numFmtId="0" fontId="42" fillId="0" borderId="0" xfId="0" applyFont="1" applyFill="1" applyBorder="1" applyAlignment="1">
      <alignment wrapText="1" shrinkToFit="1"/>
    </xf>
    <xf numFmtId="0" fontId="40" fillId="0" borderId="0" xfId="0" applyFont="1" applyAlignment="1">
      <alignment wrapText="1" shrinkToFit="1"/>
    </xf>
    <xf numFmtId="0" fontId="0" fillId="0" borderId="61" xfId="0" applyBorder="1" applyAlignment="1" applyProtection="1">
      <alignment vertical="center" wrapText="1"/>
    </xf>
    <xf numFmtId="0" fontId="20" fillId="0" borderId="0" xfId="0" applyFont="1" applyFill="1" applyBorder="1" applyAlignment="1" applyProtection="1">
      <alignment horizontal="center" wrapText="1"/>
    </xf>
    <xf numFmtId="0" fontId="4" fillId="10" borderId="67" xfId="0" applyFont="1" applyFill="1" applyBorder="1" applyAlignment="1">
      <alignment horizontal="left"/>
    </xf>
    <xf numFmtId="0" fontId="4" fillId="10" borderId="69" xfId="0" applyFont="1" applyFill="1" applyBorder="1" applyAlignment="1">
      <alignment horizontal="left"/>
    </xf>
    <xf numFmtId="0" fontId="2" fillId="10" borderId="22" xfId="0" applyFont="1" applyFill="1" applyBorder="1"/>
    <xf numFmtId="0" fontId="2" fillId="0" borderId="172" xfId="0" applyFont="1" applyBorder="1" applyAlignment="1">
      <alignment wrapText="1"/>
    </xf>
    <xf numFmtId="1" fontId="0" fillId="0" borderId="25" xfId="0" applyNumberFormat="1" applyBorder="1"/>
    <xf numFmtId="1" fontId="0" fillId="0" borderId="159" xfId="0" applyNumberFormat="1" applyBorder="1"/>
    <xf numFmtId="0" fontId="0" fillId="0" borderId="50" xfId="0" applyFill="1" applyBorder="1"/>
    <xf numFmtId="0" fontId="5" fillId="0" borderId="50" xfId="0" applyFont="1" applyFill="1" applyBorder="1"/>
    <xf numFmtId="2" fontId="0" fillId="0" borderId="50" xfId="0" applyNumberFormat="1" applyBorder="1"/>
    <xf numFmtId="177" fontId="0" fillId="0" borderId="50" xfId="1" applyNumberFormat="1" applyFont="1" applyBorder="1"/>
    <xf numFmtId="177" fontId="0" fillId="0" borderId="59" xfId="1" applyNumberFormat="1" applyFont="1" applyBorder="1"/>
    <xf numFmtId="1" fontId="0" fillId="0" borderId="173" xfId="0" applyNumberFormat="1" applyBorder="1"/>
    <xf numFmtId="0" fontId="0" fillId="0" borderId="130" xfId="0" applyBorder="1" applyAlignment="1">
      <alignment vertical="center"/>
    </xf>
    <xf numFmtId="0" fontId="0" fillId="0" borderId="0" xfId="0" applyBorder="1" applyAlignment="1">
      <alignment vertical="center"/>
    </xf>
    <xf numFmtId="0" fontId="4" fillId="0" borderId="0" xfId="0" applyFont="1" applyFill="1" applyBorder="1" applyAlignment="1">
      <alignment horizontal="centerContinuous" wrapText="1"/>
    </xf>
    <xf numFmtId="0" fontId="20" fillId="0" borderId="0" xfId="0" applyFont="1" applyFill="1" applyBorder="1" applyAlignment="1">
      <alignment wrapText="1"/>
    </xf>
    <xf numFmtId="0" fontId="0" fillId="0" borderId="0" xfId="0" applyFill="1" applyBorder="1" applyAlignment="1">
      <alignment horizontal="center" vertical="center" wrapText="1"/>
    </xf>
    <xf numFmtId="186" fontId="0" fillId="0" borderId="0" xfId="1" applyNumberFormat="1" applyFont="1"/>
    <xf numFmtId="166" fontId="0" fillId="0" borderId="63" xfId="0" applyNumberFormat="1" applyBorder="1"/>
    <xf numFmtId="166" fontId="0" fillId="0" borderId="66" xfId="0" applyNumberFormat="1" applyBorder="1"/>
    <xf numFmtId="0" fontId="0" fillId="0" borderId="0" xfId="0" applyAlignment="1">
      <alignment horizontal="center" vertical="center" wrapText="1"/>
    </xf>
    <xf numFmtId="166" fontId="0" fillId="0" borderId="0" xfId="0" applyNumberFormat="1" applyAlignment="1"/>
    <xf numFmtId="2" fontId="0" fillId="0" borderId="0" xfId="0" applyNumberFormat="1" applyAlignment="1"/>
    <xf numFmtId="0" fontId="0" fillId="0" borderId="0" xfId="0"/>
    <xf numFmtId="0" fontId="4" fillId="0" borderId="0" xfId="0" applyFont="1"/>
    <xf numFmtId="0" fontId="0" fillId="0" borderId="8" xfId="0" applyBorder="1"/>
    <xf numFmtId="167" fontId="0" fillId="0" borderId="8" xfId="0" applyNumberFormat="1" applyBorder="1"/>
    <xf numFmtId="0" fontId="0" fillId="0" borderId="0" xfId="0" applyFill="1" applyBorder="1"/>
    <xf numFmtId="0" fontId="4" fillId="5" borderId="8" xfId="0" applyFont="1" applyFill="1" applyBorder="1"/>
    <xf numFmtId="0" fontId="0" fillId="5" borderId="8" xfId="0" applyFill="1" applyBorder="1"/>
    <xf numFmtId="0" fontId="0" fillId="0" borderId="0" xfId="0" applyAlignment="1">
      <alignment horizontal="centerContinuous"/>
    </xf>
    <xf numFmtId="0" fontId="4" fillId="5" borderId="8" xfId="0" applyFont="1" applyFill="1" applyBorder="1" applyAlignment="1">
      <alignment horizontal="right"/>
    </xf>
    <xf numFmtId="0" fontId="0" fillId="6" borderId="0" xfId="0" applyFill="1" applyBorder="1"/>
    <xf numFmtId="1" fontId="0" fillId="0" borderId="19" xfId="0" applyNumberFormat="1" applyFill="1" applyBorder="1"/>
    <xf numFmtId="1" fontId="0" fillId="5" borderId="8" xfId="0" applyNumberFormat="1" applyFill="1" applyBorder="1" applyAlignment="1">
      <alignment horizontal="right"/>
    </xf>
    <xf numFmtId="1" fontId="0" fillId="0" borderId="19" xfId="0" applyNumberFormat="1" applyFill="1" applyBorder="1" applyAlignment="1">
      <alignment horizontal="right"/>
    </xf>
    <xf numFmtId="1" fontId="0" fillId="0" borderId="0" xfId="0" applyNumberFormat="1" applyFill="1" applyBorder="1"/>
    <xf numFmtId="0" fontId="0" fillId="0" borderId="0" xfId="0" applyFill="1"/>
    <xf numFmtId="0" fontId="2" fillId="0" borderId="0" xfId="0" applyFont="1" applyFill="1"/>
    <xf numFmtId="0" fontId="19" fillId="7" borderId="26" xfId="0" applyFont="1" applyFill="1" applyBorder="1" applyAlignment="1">
      <alignment horizontal="center" vertical="center" wrapText="1"/>
    </xf>
    <xf numFmtId="0" fontId="0" fillId="5" borderId="0" xfId="0" applyFill="1" applyBorder="1"/>
    <xf numFmtId="0" fontId="24" fillId="0" borderId="0" xfId="0" applyFont="1" applyAlignment="1">
      <alignment horizontal="centerContinuous" wrapText="1"/>
    </xf>
    <xf numFmtId="0" fontId="2" fillId="0" borderId="0" xfId="0" applyFont="1"/>
    <xf numFmtId="0" fontId="4" fillId="0" borderId="0" xfId="0" applyFont="1" applyAlignment="1"/>
    <xf numFmtId="0" fontId="30" fillId="0" borderId="0" xfId="0" applyFont="1"/>
    <xf numFmtId="167" fontId="18" fillId="4" borderId="26" xfId="0" applyNumberFormat="1" applyFont="1" applyFill="1" applyBorder="1" applyAlignment="1">
      <alignment wrapText="1"/>
    </xf>
    <xf numFmtId="167" fontId="18" fillId="4" borderId="8" xfId="0" applyNumberFormat="1" applyFont="1" applyFill="1" applyBorder="1" applyAlignment="1">
      <alignment wrapText="1"/>
    </xf>
    <xf numFmtId="0" fontId="31" fillId="0" borderId="0" xfId="0" applyFont="1"/>
    <xf numFmtId="0" fontId="30" fillId="0" borderId="0" xfId="0" applyFont="1" applyFill="1"/>
    <xf numFmtId="167" fontId="18" fillId="4" borderId="161" xfId="0" applyNumberFormat="1" applyFont="1" applyFill="1" applyBorder="1" applyAlignment="1">
      <alignment wrapText="1"/>
    </xf>
    <xf numFmtId="167" fontId="18" fillId="4" borderId="162" xfId="0" applyNumberFormat="1" applyFont="1" applyFill="1" applyBorder="1" applyAlignment="1">
      <alignment wrapText="1"/>
    </xf>
    <xf numFmtId="167" fontId="18" fillId="0" borderId="8" xfId="0" applyNumberFormat="1" applyFont="1" applyFill="1" applyBorder="1" applyAlignment="1">
      <alignment wrapText="1"/>
    </xf>
    <xf numFmtId="167" fontId="29" fillId="0" borderId="8" xfId="0" applyNumberFormat="1" applyFont="1" applyFill="1" applyBorder="1"/>
    <xf numFmtId="167" fontId="29" fillId="0" borderId="0" xfId="0" applyNumberFormat="1" applyFont="1"/>
    <xf numFmtId="167" fontId="29" fillId="10" borderId="8" xfId="0" applyNumberFormat="1" applyFont="1" applyFill="1" applyBorder="1"/>
    <xf numFmtId="167" fontId="29" fillId="5" borderId="8" xfId="0" applyNumberFormat="1" applyFont="1" applyFill="1" applyBorder="1"/>
    <xf numFmtId="167" fontId="18" fillId="4" borderId="163" xfId="0" applyNumberFormat="1" applyFont="1" applyFill="1" applyBorder="1" applyAlignment="1">
      <alignment wrapText="1"/>
    </xf>
    <xf numFmtId="167" fontId="18" fillId="4" borderId="164" xfId="0" applyNumberFormat="1" applyFont="1" applyFill="1" applyBorder="1" applyAlignment="1">
      <alignment wrapText="1"/>
    </xf>
    <xf numFmtId="167" fontId="29" fillId="0" borderId="8" xfId="0" applyNumberFormat="1" applyFont="1" applyBorder="1"/>
    <xf numFmtId="167" fontId="29" fillId="0" borderId="30" xfId="0" applyNumberFormat="1" applyFont="1" applyFill="1" applyBorder="1"/>
    <xf numFmtId="167" fontId="18" fillId="10" borderId="26" xfId="0" applyNumberFormat="1" applyFont="1" applyFill="1" applyBorder="1" applyAlignment="1">
      <alignment wrapText="1"/>
    </xf>
    <xf numFmtId="167" fontId="18" fillId="0" borderId="26" xfId="0" applyNumberFormat="1" applyFont="1" applyFill="1" applyBorder="1" applyAlignment="1">
      <alignment wrapText="1"/>
    </xf>
    <xf numFmtId="167" fontId="0" fillId="0" borderId="8" xfId="0" applyNumberFormat="1" applyFill="1" applyBorder="1"/>
    <xf numFmtId="167" fontId="18" fillId="4" borderId="47" xfId="0" applyNumberFormat="1" applyFont="1" applyFill="1" applyBorder="1" applyAlignment="1">
      <alignment wrapText="1"/>
    </xf>
    <xf numFmtId="167" fontId="18" fillId="0" borderId="47" xfId="0" applyNumberFormat="1" applyFont="1" applyFill="1" applyBorder="1" applyAlignment="1">
      <alignment wrapText="1"/>
    </xf>
    <xf numFmtId="167" fontId="29" fillId="0" borderId="47" xfId="0" applyNumberFormat="1" applyFont="1" applyFill="1" applyBorder="1"/>
    <xf numFmtId="167" fontId="0" fillId="22" borderId="8" xfId="0" applyNumberFormat="1" applyFill="1" applyBorder="1"/>
    <xf numFmtId="185" fontId="6" fillId="0" borderId="8" xfId="0" applyNumberFormat="1" applyFont="1" applyBorder="1" applyAlignment="1">
      <alignment horizontal="right"/>
    </xf>
    <xf numFmtId="185" fontId="6" fillId="0" borderId="0" xfId="0" applyNumberFormat="1" applyFont="1" applyAlignment="1">
      <alignment horizontal="right"/>
    </xf>
    <xf numFmtId="167" fontId="18" fillId="25" borderId="26" xfId="0" applyNumberFormat="1" applyFont="1" applyFill="1" applyBorder="1" applyAlignment="1">
      <alignment wrapText="1"/>
    </xf>
    <xf numFmtId="167" fontId="29" fillId="25" borderId="164" xfId="0" applyNumberFormat="1" applyFont="1" applyFill="1" applyBorder="1"/>
    <xf numFmtId="167" fontId="18" fillId="25" borderId="161" xfId="0" applyNumberFormat="1" applyFont="1" applyFill="1" applyBorder="1" applyAlignment="1">
      <alignment wrapText="1"/>
    </xf>
    <xf numFmtId="167" fontId="18" fillId="25" borderId="162" xfId="0" applyNumberFormat="1" applyFont="1" applyFill="1" applyBorder="1" applyAlignment="1">
      <alignment wrapText="1"/>
    </xf>
    <xf numFmtId="167" fontId="18" fillId="25" borderId="8" xfId="0" applyNumberFormat="1" applyFont="1" applyFill="1" applyBorder="1" applyAlignment="1">
      <alignment wrapText="1"/>
    </xf>
    <xf numFmtId="167" fontId="29" fillId="25" borderId="8" xfId="0" applyNumberFormat="1" applyFont="1" applyFill="1" applyBorder="1"/>
    <xf numFmtId="167" fontId="29" fillId="25" borderId="0" xfId="0" applyNumberFormat="1" applyFont="1" applyFill="1"/>
    <xf numFmtId="167" fontId="18" fillId="25" borderId="47" xfId="0" applyNumberFormat="1" applyFont="1" applyFill="1" applyBorder="1" applyAlignment="1">
      <alignment wrapText="1"/>
    </xf>
    <xf numFmtId="167" fontId="29" fillId="25" borderId="47" xfId="0" applyNumberFormat="1" applyFont="1" applyFill="1" applyBorder="1"/>
    <xf numFmtId="167" fontId="0" fillId="25" borderId="8" xfId="0" applyNumberFormat="1" applyFill="1" applyBorder="1"/>
    <xf numFmtId="167" fontId="6" fillId="25" borderId="8" xfId="0" applyNumberFormat="1" applyFont="1" applyFill="1" applyBorder="1" applyAlignment="1">
      <alignment horizontal="right"/>
    </xf>
    <xf numFmtId="167" fontId="6" fillId="0" borderId="8" xfId="0" applyNumberFormat="1" applyFont="1" applyBorder="1" applyAlignment="1">
      <alignment horizontal="right"/>
    </xf>
    <xf numFmtId="185" fontId="0" fillId="26" borderId="8" xfId="0" applyNumberFormat="1" applyFill="1" applyBorder="1"/>
    <xf numFmtId="167" fontId="0" fillId="26" borderId="8" xfId="0" applyNumberFormat="1" applyFill="1" applyBorder="1"/>
    <xf numFmtId="185" fontId="0" fillId="0" borderId="8" xfId="0" applyNumberFormat="1" applyBorder="1"/>
    <xf numFmtId="0" fontId="46" fillId="25" borderId="174" xfId="0" applyFont="1" applyFill="1" applyBorder="1" applyAlignment="1">
      <alignment horizontal="left" vertical="center"/>
    </xf>
    <xf numFmtId="0" fontId="46" fillId="25" borderId="0" xfId="0" applyFont="1" applyFill="1" applyBorder="1" applyAlignment="1">
      <alignment horizontal="left" vertical="center" wrapText="1"/>
    </xf>
    <xf numFmtId="0" fontId="46" fillId="25" borderId="24" xfId="0" applyFont="1" applyFill="1" applyBorder="1" applyAlignment="1">
      <alignment horizontal="left" vertical="center" wrapText="1"/>
    </xf>
    <xf numFmtId="167" fontId="18" fillId="25" borderId="163" xfId="0" applyNumberFormat="1" applyFont="1" applyFill="1" applyBorder="1" applyAlignment="1">
      <alignment wrapText="1"/>
    </xf>
    <xf numFmtId="0" fontId="19" fillId="7" borderId="163" xfId="0" applyFont="1" applyFill="1" applyBorder="1" applyAlignment="1">
      <alignment horizontal="center" vertical="center" wrapText="1"/>
    </xf>
    <xf numFmtId="167" fontId="0" fillId="0" borderId="47" xfId="0" applyNumberFormat="1" applyBorder="1"/>
    <xf numFmtId="167" fontId="0" fillId="0" borderId="47" xfId="0" applyNumberFormat="1" applyFill="1" applyBorder="1"/>
    <xf numFmtId="185" fontId="0" fillId="0" borderId="8" xfId="0" applyNumberFormat="1" applyFill="1" applyBorder="1"/>
    <xf numFmtId="175" fontId="0" fillId="0" borderId="8" xfId="0" applyNumberFormat="1" applyFill="1" applyBorder="1"/>
    <xf numFmtId="175" fontId="0" fillId="0" borderId="0" xfId="0" applyNumberFormat="1" applyFill="1" applyBorder="1"/>
    <xf numFmtId="183" fontId="0" fillId="0" borderId="0" xfId="0" applyNumberFormat="1" applyFill="1" applyBorder="1"/>
    <xf numFmtId="175" fontId="2" fillId="0" borderId="8" xfId="0" applyNumberFormat="1" applyFont="1" applyFill="1" applyBorder="1"/>
    <xf numFmtId="0" fontId="2" fillId="0" borderId="8" xfId="0" applyFont="1" applyBorder="1"/>
    <xf numFmtId="0" fontId="47" fillId="0" borderId="0" xfId="0" applyFont="1"/>
    <xf numFmtId="167" fontId="0" fillId="0" borderId="23" xfId="0" applyNumberFormat="1" applyFill="1" applyBorder="1"/>
    <xf numFmtId="168" fontId="4" fillId="10" borderId="22" xfId="0" applyNumberFormat="1" applyFont="1" applyFill="1" applyBorder="1" applyAlignment="1">
      <alignment wrapText="1"/>
    </xf>
    <xf numFmtId="1" fontId="0" fillId="0" borderId="0" xfId="0" applyNumberFormat="1" applyProtection="1"/>
    <xf numFmtId="187" fontId="4" fillId="3" borderId="90" xfId="0" applyNumberFormat="1" applyFont="1" applyFill="1" applyBorder="1" applyProtection="1"/>
    <xf numFmtId="187" fontId="4" fillId="0" borderId="0" xfId="2" applyNumberFormat="1" applyFont="1" applyProtection="1"/>
    <xf numFmtId="0" fontId="2" fillId="0" borderId="0" xfId="0" applyFont="1" applyProtection="1"/>
    <xf numFmtId="2" fontId="0" fillId="0" borderId="61" xfId="0" applyNumberFormat="1" applyBorder="1" applyAlignment="1" applyProtection="1">
      <alignment vertical="center" wrapText="1"/>
    </xf>
    <xf numFmtId="177" fontId="0" fillId="0" borderId="0" xfId="0" applyNumberFormat="1"/>
    <xf numFmtId="43" fontId="0" fillId="0" borderId="0" xfId="1" applyNumberFormat="1" applyFont="1"/>
    <xf numFmtId="3" fontId="0" fillId="0" borderId="0" xfId="0" applyNumberFormat="1"/>
    <xf numFmtId="0" fontId="0" fillId="16" borderId="0" xfId="0" applyFill="1" applyBorder="1" applyAlignment="1">
      <alignment horizontal="centerContinuous"/>
    </xf>
    <xf numFmtId="0" fontId="4" fillId="3" borderId="0" xfId="0" applyFont="1" applyFill="1" applyBorder="1" applyAlignment="1">
      <alignment horizontal="center"/>
    </xf>
    <xf numFmtId="3" fontId="4" fillId="3" borderId="0" xfId="0" applyNumberFormat="1" applyFont="1" applyFill="1" applyBorder="1"/>
    <xf numFmtId="3" fontId="0" fillId="3" borderId="0" xfId="0" applyNumberFormat="1" applyFill="1" applyBorder="1"/>
    <xf numFmtId="3" fontId="5" fillId="3" borderId="0" xfId="0" applyNumberFormat="1" applyFont="1" applyFill="1" applyBorder="1"/>
    <xf numFmtId="3" fontId="22" fillId="3" borderId="0" xfId="0" applyNumberFormat="1" applyFont="1" applyFill="1" applyBorder="1"/>
    <xf numFmtId="1" fontId="4" fillId="3" borderId="0" xfId="0" applyNumberFormat="1" applyFont="1" applyFill="1" applyBorder="1"/>
    <xf numFmtId="1" fontId="0" fillId="3" borderId="0" xfId="0" applyNumberFormat="1" applyFill="1" applyBorder="1"/>
    <xf numFmtId="1" fontId="5" fillId="3" borderId="0" xfId="0" applyNumberFormat="1" applyFont="1" applyFill="1" applyBorder="1"/>
    <xf numFmtId="0" fontId="0" fillId="3" borderId="0" xfId="0" applyFill="1" applyBorder="1"/>
    <xf numFmtId="10" fontId="0" fillId="3" borderId="0" xfId="0" applyNumberFormat="1" applyFill="1" applyBorder="1"/>
    <xf numFmtId="166" fontId="8" fillId="3" borderId="0" xfId="0" applyNumberFormat="1" applyFont="1" applyFill="1" applyBorder="1"/>
    <xf numFmtId="3" fontId="2" fillId="3" borderId="0" xfId="0" applyNumberFormat="1" applyFont="1" applyFill="1" applyBorder="1"/>
    <xf numFmtId="0" fontId="0" fillId="0" borderId="0" xfId="0" applyBorder="1" applyAlignment="1"/>
    <xf numFmtId="0" fontId="0" fillId="0" borderId="0" xfId="0" applyAlignment="1">
      <alignment horizontal="right"/>
    </xf>
    <xf numFmtId="0" fontId="0" fillId="0" borderId="0" xfId="0" applyBorder="1" applyAlignment="1"/>
    <xf numFmtId="0" fontId="0" fillId="0" borderId="0" xfId="0" applyAlignment="1">
      <alignment horizontal="right"/>
    </xf>
    <xf numFmtId="0" fontId="9" fillId="0" borderId="56" xfId="0" applyFont="1" applyBorder="1" applyAlignment="1">
      <alignment horizontal="centerContinuous"/>
    </xf>
    <xf numFmtId="0" fontId="4" fillId="0" borderId="0" xfId="0" applyFont="1" applyFill="1" applyBorder="1" applyAlignment="1">
      <alignment horizontal="center"/>
    </xf>
    <xf numFmtId="0" fontId="53" fillId="27" borderId="0" xfId="15" applyAlignment="1">
      <alignment horizontal="center" wrapText="1"/>
    </xf>
    <xf numFmtId="0" fontId="54" fillId="28" borderId="0" xfId="16" applyAlignment="1">
      <alignment horizontal="center" wrapText="1"/>
    </xf>
    <xf numFmtId="0" fontId="23" fillId="0" borderId="16" xfId="0" applyFont="1" applyBorder="1" applyAlignment="1" applyProtection="1">
      <alignment horizontal="center" vertical="center" wrapText="1"/>
    </xf>
    <xf numFmtId="0" fontId="23" fillId="0" borderId="0" xfId="0" applyFont="1" applyAlignment="1" applyProtection="1">
      <alignment horizontal="center" vertical="center" wrapText="1"/>
    </xf>
    <xf numFmtId="0" fontId="44" fillId="24" borderId="133" xfId="0" applyFont="1" applyFill="1" applyBorder="1" applyAlignment="1" applyProtection="1">
      <alignment horizontal="center" vertical="center" wrapText="1"/>
    </xf>
    <xf numFmtId="0" fontId="44" fillId="24" borderId="132" xfId="0" applyFont="1" applyFill="1" applyBorder="1" applyAlignment="1" applyProtection="1">
      <alignment horizontal="center" vertical="center" wrapText="1"/>
    </xf>
    <xf numFmtId="0" fontId="4" fillId="0" borderId="81" xfId="0" applyFont="1" applyFill="1" applyBorder="1" applyAlignment="1" applyProtection="1">
      <alignment horizontal="left" vertical="center"/>
    </xf>
    <xf numFmtId="0" fontId="4" fillId="0" borderId="82" xfId="0" applyFont="1" applyFill="1" applyBorder="1" applyAlignment="1" applyProtection="1">
      <alignment horizontal="left" vertical="center"/>
    </xf>
    <xf numFmtId="0" fontId="4" fillId="0" borderId="30" xfId="0" applyFont="1" applyFill="1" applyBorder="1" applyAlignment="1" applyProtection="1">
      <alignment horizontal="left" vertical="center"/>
    </xf>
    <xf numFmtId="0" fontId="4" fillId="0" borderId="89" xfId="0" applyFont="1" applyBorder="1" applyAlignment="1">
      <alignment horizontal="center"/>
    </xf>
    <xf numFmtId="0" fontId="4" fillId="0" borderId="128" xfId="0" applyFont="1" applyBorder="1" applyAlignment="1">
      <alignment horizontal="center"/>
    </xf>
    <xf numFmtId="0" fontId="52" fillId="26" borderId="56" xfId="0" applyFont="1" applyFill="1" applyBorder="1" applyAlignment="1">
      <alignment horizontal="center" wrapText="1"/>
    </xf>
    <xf numFmtId="0" fontId="52" fillId="26" borderId="133" xfId="0" applyFont="1" applyFill="1" applyBorder="1" applyAlignment="1">
      <alignment horizontal="center" wrapText="1"/>
    </xf>
    <xf numFmtId="0" fontId="4" fillId="5" borderId="104" xfId="0" applyFont="1" applyFill="1" applyBorder="1" applyAlignment="1"/>
    <xf numFmtId="0" fontId="4" fillId="5" borderId="8" xfId="0" applyFont="1" applyFill="1" applyBorder="1" applyAlignment="1"/>
    <xf numFmtId="0" fontId="4" fillId="3" borderId="104" xfId="0" applyFont="1" applyFill="1" applyBorder="1" applyAlignment="1"/>
    <xf numFmtId="0" fontId="4" fillId="3" borderId="8" xfId="0" applyFont="1" applyFill="1" applyBorder="1" applyAlignment="1"/>
    <xf numFmtId="165" fontId="4" fillId="5" borderId="47" xfId="0" applyNumberFormat="1" applyFont="1" applyFill="1" applyBorder="1" applyAlignment="1"/>
    <xf numFmtId="0" fontId="0" fillId="5" borderId="5" xfId="0" applyFill="1" applyBorder="1" applyAlignment="1"/>
    <xf numFmtId="0" fontId="4" fillId="5" borderId="106" xfId="0" applyFont="1" applyFill="1" applyBorder="1" applyAlignment="1">
      <alignment wrapText="1"/>
    </xf>
    <xf numFmtId="0" fontId="0" fillId="5" borderId="47" xfId="0" applyFill="1" applyBorder="1" applyAlignment="1">
      <alignment wrapText="1"/>
    </xf>
    <xf numFmtId="0" fontId="0" fillId="5" borderId="167" xfId="0" applyFill="1" applyBorder="1" applyAlignment="1">
      <alignment wrapText="1"/>
    </xf>
    <xf numFmtId="0" fontId="0" fillId="5" borderId="5" xfId="0" applyFill="1" applyBorder="1" applyAlignment="1">
      <alignment wrapText="1"/>
    </xf>
    <xf numFmtId="0" fontId="4" fillId="5" borderId="140" xfId="0" applyFont="1" applyFill="1" applyBorder="1" applyAlignment="1"/>
    <xf numFmtId="0" fontId="0" fillId="0" borderId="30" xfId="0" applyBorder="1" applyAlignment="1"/>
    <xf numFmtId="0" fontId="4" fillId="3" borderId="106" xfId="0" applyFont="1" applyFill="1" applyBorder="1" applyAlignment="1"/>
    <xf numFmtId="0" fontId="4" fillId="0" borderId="47" xfId="0" applyFont="1" applyBorder="1" applyAlignment="1"/>
    <xf numFmtId="0" fontId="4" fillId="0" borderId="8" xfId="0" applyFont="1" applyBorder="1" applyAlignment="1"/>
    <xf numFmtId="0" fontId="4" fillId="20" borderId="139" xfId="0" applyFont="1" applyFill="1" applyBorder="1" applyAlignment="1">
      <alignment horizontal="center"/>
    </xf>
    <xf numFmtId="0" fontId="4" fillId="20" borderId="25" xfId="0" applyFont="1" applyFill="1" applyBorder="1" applyAlignment="1">
      <alignment horizontal="center"/>
    </xf>
    <xf numFmtId="0" fontId="0" fillId="5" borderId="8" xfId="0" applyFill="1" applyBorder="1" applyAlignment="1"/>
    <xf numFmtId="0" fontId="0" fillId="3" borderId="8" xfId="0" applyFill="1" applyBorder="1" applyAlignment="1"/>
    <xf numFmtId="0" fontId="4" fillId="3" borderId="140" xfId="0" applyFont="1" applyFill="1" applyBorder="1" applyAlignment="1"/>
    <xf numFmtId="0" fontId="4" fillId="5" borderId="170" xfId="0" applyFont="1" applyFill="1" applyBorder="1" applyAlignment="1"/>
    <xf numFmtId="0" fontId="0" fillId="0" borderId="17" xfId="0" applyBorder="1" applyAlignment="1"/>
    <xf numFmtId="0" fontId="4" fillId="5" borderId="30" xfId="0" applyFont="1" applyFill="1" applyBorder="1" applyAlignment="1"/>
    <xf numFmtId="0" fontId="4" fillId="5" borderId="140" xfId="0" applyFont="1" applyFill="1" applyBorder="1" applyAlignment="1">
      <alignment horizontal="left" indent="1"/>
    </xf>
    <xf numFmtId="0" fontId="4" fillId="5" borderId="30" xfId="0" applyFont="1" applyFill="1" applyBorder="1" applyAlignment="1">
      <alignment horizontal="left" indent="1"/>
    </xf>
    <xf numFmtId="0" fontId="4" fillId="0" borderId="30" xfId="0" applyFont="1" applyBorder="1" applyAlignment="1"/>
    <xf numFmtId="0" fontId="9" fillId="0" borderId="137" xfId="0" applyFont="1" applyBorder="1" applyAlignment="1"/>
    <xf numFmtId="0" fontId="0" fillId="0" borderId="137" xfId="0" applyBorder="1" applyAlignment="1"/>
    <xf numFmtId="0" fontId="4" fillId="3" borderId="104" xfId="0" applyFont="1" applyFill="1" applyBorder="1" applyAlignment="1">
      <alignment wrapText="1"/>
    </xf>
    <xf numFmtId="0" fontId="4" fillId="3" borderId="8" xfId="0" applyFont="1" applyFill="1" applyBorder="1" applyAlignment="1">
      <alignment wrapText="1"/>
    </xf>
    <xf numFmtId="0" fontId="4" fillId="0" borderId="166" xfId="0" applyFont="1" applyFill="1" applyBorder="1" applyAlignment="1">
      <alignment horizontal="center" wrapText="1"/>
    </xf>
    <xf numFmtId="0" fontId="0" fillId="0" borderId="169" xfId="0" applyBorder="1" applyAlignment="1">
      <alignment horizontal="center" wrapText="1"/>
    </xf>
    <xf numFmtId="0" fontId="0" fillId="12" borderId="81" xfId="0" applyFill="1" applyBorder="1" applyAlignment="1"/>
    <xf numFmtId="0" fontId="0" fillId="12" borderId="82" xfId="0" applyFill="1" applyBorder="1" applyAlignment="1"/>
    <xf numFmtId="0" fontId="0" fillId="12" borderId="30" xfId="0" applyFill="1" applyBorder="1" applyAlignment="1"/>
    <xf numFmtId="0" fontId="4" fillId="0" borderId="96" xfId="0" applyFont="1" applyBorder="1" applyAlignment="1">
      <alignment wrapText="1"/>
    </xf>
    <xf numFmtId="0" fontId="0" fillId="0" borderId="0" xfId="0" applyBorder="1" applyAlignment="1">
      <alignment wrapText="1"/>
    </xf>
    <xf numFmtId="0" fontId="0" fillId="0" borderId="136" xfId="0" applyBorder="1" applyAlignment="1">
      <alignment wrapText="1"/>
    </xf>
    <xf numFmtId="0" fontId="4" fillId="0" borderId="133" xfId="0" applyFont="1" applyBorder="1" applyAlignment="1">
      <alignment horizontal="center"/>
    </xf>
    <xf numFmtId="0" fontId="0" fillId="0" borderId="133" xfId="0" applyBorder="1" applyAlignment="1">
      <alignment horizontal="center"/>
    </xf>
    <xf numFmtId="0" fontId="5" fillId="3" borderId="8" xfId="0" applyFont="1" applyFill="1" applyBorder="1" applyAlignment="1"/>
    <xf numFmtId="0" fontId="0" fillId="12" borderId="8" xfId="0" applyFill="1" applyBorder="1" applyAlignment="1"/>
    <xf numFmtId="0" fontId="4" fillId="0" borderId="168" xfId="0" applyFont="1" applyFill="1" applyBorder="1" applyAlignment="1">
      <alignment horizontal="center" wrapText="1"/>
    </xf>
    <xf numFmtId="0" fontId="0" fillId="0" borderId="8" xfId="0" applyBorder="1" applyAlignment="1"/>
    <xf numFmtId="0" fontId="4" fillId="0" borderId="96" xfId="0" applyFont="1" applyBorder="1" applyAlignment="1">
      <alignment horizontal="left"/>
    </xf>
    <xf numFmtId="0" fontId="0" fillId="0" borderId="0" xfId="0" applyBorder="1" applyAlignment="1"/>
    <xf numFmtId="0" fontId="4" fillId="3" borderId="104" xfId="0" applyFont="1" applyFill="1" applyBorder="1" applyAlignment="1">
      <alignment horizontal="left"/>
    </xf>
    <xf numFmtId="0" fontId="0" fillId="3" borderId="8" xfId="0" applyFill="1" applyBorder="1" applyAlignment="1">
      <alignment horizontal="left"/>
    </xf>
    <xf numFmtId="0" fontId="4" fillId="21" borderId="104" xfId="0" applyFont="1" applyFill="1" applyBorder="1" applyAlignment="1"/>
    <xf numFmtId="0" fontId="4" fillId="21" borderId="8" xfId="0" applyFont="1" applyFill="1" applyBorder="1" applyAlignment="1"/>
    <xf numFmtId="0" fontId="0" fillId="5" borderId="30" xfId="0" applyFill="1" applyBorder="1" applyAlignment="1"/>
    <xf numFmtId="0" fontId="4" fillId="0" borderId="139" xfId="0" applyFont="1" applyFill="1" applyBorder="1" applyAlignment="1">
      <alignment horizontal="left"/>
    </xf>
    <xf numFmtId="0" fontId="4" fillId="0" borderId="171" xfId="0" applyFont="1" applyFill="1" applyBorder="1" applyAlignment="1">
      <alignment horizontal="left"/>
    </xf>
    <xf numFmtId="0" fontId="4" fillId="3" borderId="167" xfId="0" applyFont="1" applyFill="1" applyBorder="1" applyAlignment="1"/>
    <xf numFmtId="0" fontId="4" fillId="3" borderId="5" xfId="0" applyFont="1" applyFill="1" applyBorder="1" applyAlignment="1"/>
    <xf numFmtId="0" fontId="4" fillId="21" borderId="140" xfId="0" applyFont="1" applyFill="1" applyBorder="1" applyAlignment="1">
      <alignment horizontal="left"/>
    </xf>
    <xf numFmtId="0" fontId="4" fillId="21" borderId="30" xfId="0" applyFont="1" applyFill="1" applyBorder="1" applyAlignment="1">
      <alignment horizontal="left"/>
    </xf>
    <xf numFmtId="0" fontId="4" fillId="3" borderId="8" xfId="0" applyFont="1" applyFill="1" applyBorder="1" applyAlignment="1">
      <alignment horizontal="left"/>
    </xf>
    <xf numFmtId="0" fontId="4" fillId="5" borderId="140" xfId="0" applyFont="1" applyFill="1" applyBorder="1" applyAlignment="1">
      <alignment wrapText="1"/>
    </xf>
    <xf numFmtId="0" fontId="4" fillId="5" borderId="30" xfId="0" applyFont="1" applyFill="1" applyBorder="1" applyAlignment="1">
      <alignment wrapText="1"/>
    </xf>
    <xf numFmtId="0" fontId="5" fillId="0" borderId="0" xfId="0" applyFont="1" applyAlignment="1">
      <alignment horizontal="center" vertical="center"/>
    </xf>
    <xf numFmtId="0" fontId="0" fillId="0" borderId="0" xfId="0"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5" fillId="0" borderId="8" xfId="0" applyFont="1" applyBorder="1" applyAlignment="1">
      <alignment horizontal="center"/>
    </xf>
    <xf numFmtId="0" fontId="0" fillId="0" borderId="0" xfId="0" applyAlignment="1">
      <alignment horizontal="center" vertical="top" wrapText="1"/>
    </xf>
    <xf numFmtId="0" fontId="4" fillId="0" borderId="67" xfId="0" applyFont="1" applyBorder="1" applyAlignment="1">
      <alignment horizontal="left"/>
    </xf>
    <xf numFmtId="0" fontId="4" fillId="0" borderId="69" xfId="0" applyFont="1" applyBorder="1" applyAlignment="1">
      <alignment horizontal="left"/>
    </xf>
    <xf numFmtId="0" fontId="4" fillId="5" borderId="67" xfId="0" applyFont="1" applyFill="1" applyBorder="1" applyAlignment="1">
      <alignment horizontal="left"/>
    </xf>
    <xf numFmtId="0" fontId="4" fillId="5" borderId="69" xfId="0" applyFont="1" applyFill="1" applyBorder="1" applyAlignment="1">
      <alignment horizontal="left"/>
    </xf>
    <xf numFmtId="0" fontId="4" fillId="10" borderId="67" xfId="0" applyFont="1" applyFill="1" applyBorder="1" applyAlignment="1">
      <alignment horizontal="left"/>
    </xf>
    <xf numFmtId="0" fontId="4" fillId="10" borderId="69" xfId="0" applyFont="1" applyFill="1" applyBorder="1" applyAlignment="1">
      <alignment horizontal="left"/>
    </xf>
    <xf numFmtId="0" fontId="4" fillId="3" borderId="67" xfId="0" applyFont="1" applyFill="1" applyBorder="1" applyAlignment="1">
      <alignment horizontal="left"/>
    </xf>
    <xf numFmtId="0" fontId="4" fillId="3" borderId="69" xfId="0" applyFont="1" applyFill="1" applyBorder="1" applyAlignment="1">
      <alignment horizontal="left"/>
    </xf>
    <xf numFmtId="0" fontId="4" fillId="0" borderId="67" xfId="0" applyFont="1" applyBorder="1" applyAlignment="1">
      <alignment horizontal="center" wrapText="1"/>
    </xf>
    <xf numFmtId="0" fontId="4" fillId="0" borderId="68" xfId="0" applyFont="1" applyBorder="1" applyAlignment="1">
      <alignment horizontal="center" wrapText="1"/>
    </xf>
    <xf numFmtId="0" fontId="4" fillId="0" borderId="69" xfId="0" applyFont="1" applyBorder="1" applyAlignment="1">
      <alignment horizontal="center" wrapText="1"/>
    </xf>
    <xf numFmtId="0" fontId="5" fillId="0" borderId="0" xfId="0" applyFont="1" applyAlignment="1">
      <alignment horizontal="center" vertical="center" textRotation="90"/>
    </xf>
    <xf numFmtId="0" fontId="5" fillId="0" borderId="0" xfId="0" applyFont="1" applyAlignment="1">
      <alignment horizontal="center" vertical="center" wrapText="1"/>
    </xf>
    <xf numFmtId="0" fontId="32" fillId="0" borderId="67" xfId="0" applyFont="1" applyBorder="1" applyAlignment="1">
      <alignment horizontal="center" vertical="center"/>
    </xf>
    <xf numFmtId="0" fontId="32" fillId="0" borderId="68" xfId="0" applyFont="1" applyBorder="1" applyAlignment="1">
      <alignment horizontal="center" vertical="center"/>
    </xf>
    <xf numFmtId="0" fontId="32" fillId="0" borderId="69" xfId="0" applyFont="1" applyBorder="1" applyAlignment="1">
      <alignment horizontal="center" vertical="center"/>
    </xf>
    <xf numFmtId="0" fontId="0" fillId="23" borderId="8" xfId="0" applyFill="1" applyBorder="1" applyAlignment="1">
      <alignment horizontal="center"/>
    </xf>
    <xf numFmtId="0" fontId="4" fillId="5" borderId="81" xfId="0" applyFont="1" applyFill="1" applyBorder="1" applyAlignment="1">
      <alignment wrapText="1"/>
    </xf>
    <xf numFmtId="0" fontId="0" fillId="0" borderId="30" xfId="0" applyBorder="1" applyAlignment="1">
      <alignment wrapText="1"/>
    </xf>
    <xf numFmtId="0" fontId="0" fillId="0" borderId="89" xfId="0" applyBorder="1" applyAlignment="1">
      <alignment horizontal="center"/>
    </xf>
    <xf numFmtId="0" fontId="0" fillId="0" borderId="90" xfId="0" applyBorder="1" applyAlignment="1">
      <alignment horizontal="center"/>
    </xf>
    <xf numFmtId="0" fontId="0" fillId="0" borderId="128" xfId="0" applyBorder="1" applyAlignment="1">
      <alignment horizontal="center"/>
    </xf>
    <xf numFmtId="0" fontId="0" fillId="0" borderId="0" xfId="0" applyAlignment="1">
      <alignment horizontal="right"/>
    </xf>
    <xf numFmtId="167" fontId="0" fillId="22" borderId="23" xfId="0" applyNumberFormat="1" applyFill="1" applyBorder="1" applyAlignment="1">
      <alignment horizontal="center"/>
    </xf>
    <xf numFmtId="167" fontId="0" fillId="22" borderId="16" xfId="0" applyNumberFormat="1" applyFill="1" applyBorder="1" applyAlignment="1">
      <alignment horizontal="center"/>
    </xf>
  </cellXfs>
  <cellStyles count="17">
    <cellStyle name="Bad" xfId="16" builtinId="27"/>
    <cellStyle name="Comma" xfId="1" builtinId="3"/>
    <cellStyle name="Comma 2" xfId="6"/>
    <cellStyle name="Currency" xfId="2" builtinId="4"/>
    <cellStyle name="Currency 2" xfId="7"/>
    <cellStyle name="Followed Hyperlink" xfId="12" builtinId="9" hidden="1"/>
    <cellStyle name="Followed Hyperlink" xfId="14" builtinId="9" hidden="1"/>
    <cellStyle name="Good" xfId="15" builtinId="26"/>
    <cellStyle name="Hyperlink" xfId="11" builtinId="8" hidden="1"/>
    <cellStyle name="Hyperlink" xfId="13" builtinId="8" hidden="1"/>
    <cellStyle name="Normal" xfId="0" builtinId="0"/>
    <cellStyle name="Normal 2" xfId="3"/>
    <cellStyle name="Normal 2 2" xfId="8"/>
    <cellStyle name="Normal 3" xfId="4"/>
    <cellStyle name="Normal 3 2" xfId="9"/>
    <cellStyle name="Percent" xfId="5" builtinId="5"/>
    <cellStyle name="Percent 2" xfId="10"/>
  </cellStyles>
  <dxfs count="9">
    <dxf>
      <fill>
        <patternFill>
          <bgColor rgb="FFFF0000"/>
        </patternFill>
      </fill>
      <border>
        <left style="thin">
          <color indexed="64"/>
        </left>
        <right style="thin">
          <color indexed="64"/>
        </right>
        <top style="thin">
          <color indexed="64"/>
        </top>
        <bottom style="thin">
          <color indexed="64"/>
        </bottom>
      </border>
    </dxf>
    <dxf>
      <fill>
        <patternFill>
          <bgColor rgb="FF00FF00"/>
        </patternFill>
      </fill>
    </dxf>
    <dxf>
      <font>
        <b/>
        <i val="0"/>
        <strike val="0"/>
      </font>
      <fill>
        <patternFill>
          <bgColor rgb="FFFF0000"/>
        </patternFill>
      </fill>
    </dxf>
    <dxf>
      <font>
        <condense val="0"/>
        <extend val="0"/>
        <color indexed="10"/>
      </font>
    </dxf>
    <dxf>
      <font>
        <condense val="0"/>
        <extend val="0"/>
        <color indexed="57"/>
      </font>
    </dxf>
    <dxf>
      <font>
        <condense val="0"/>
        <extend val="0"/>
        <color indexed="10"/>
      </font>
      <fill>
        <patternFill patternType="none">
          <bgColor indexed="65"/>
        </patternFill>
      </fill>
    </dxf>
    <dxf>
      <font>
        <condense val="0"/>
        <extend val="0"/>
        <color indexed="57"/>
      </font>
      <fill>
        <patternFill patternType="none">
          <bgColor indexed="65"/>
        </patternFill>
      </fill>
    </dxf>
    <dxf>
      <font>
        <condense val="0"/>
        <extend val="0"/>
      </font>
      <fill>
        <patternFill>
          <bgColor indexed="10"/>
        </patternFill>
      </fill>
    </dxf>
    <dxf>
      <font>
        <condense val="0"/>
        <extend val="0"/>
        <color auto="1"/>
      </font>
      <fill>
        <patternFill>
          <bgColor indexed="1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50" b="1" i="0" u="none" strike="noStrike" baseline="0">
                <a:solidFill>
                  <a:srgbClr val="000000"/>
                </a:solidFill>
                <a:latin typeface="Arial"/>
                <a:ea typeface="Arial"/>
                <a:cs typeface="Arial"/>
              </a:defRPr>
            </a:pPr>
            <a:r>
              <a:rPr lang="en-US"/>
              <a:t>Land Based COE Cost Breakdown</a:t>
            </a:r>
          </a:p>
        </c:rich>
      </c:tx>
      <c:layout>
        <c:manualLayout>
          <c:xMode val="edge"/>
          <c:yMode val="edge"/>
          <c:x val="0.150635107737282"/>
          <c:y val="3.5190615835777102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8130671506352201"/>
          <c:y val="0.43401759530792"/>
          <c:w val="0.43920145190562598"/>
          <c:h val="0.28445747800586701"/>
        </c:manualLayout>
      </c:layout>
      <c:pie3DChart>
        <c:varyColors val="1"/>
        <c:ser>
          <c:idx val="0"/>
          <c:order val="0"/>
          <c:spPr>
            <a:solidFill>
              <a:srgbClr val="9999FF"/>
            </a:solidFill>
            <a:ln w="12700">
              <a:solidFill>
                <a:srgbClr val="000000"/>
              </a:solidFill>
              <a:prstDash val="solid"/>
            </a:ln>
          </c:spPr>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Lbls>
            <c:dLbl>
              <c:idx val="0"/>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dLbl>
              <c:idx val="1"/>
              <c:layout>
                <c:manualLayout>
                  <c:x val="-0.26592032620242001"/>
                  <c:y val="-9.3449711747907893E-2"/>
                </c:manualLayout>
              </c:layout>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dLbl>
              <c:idx val="2"/>
              <c:layout>
                <c:manualLayout>
                  <c:x val="-1.41345489708523E-2"/>
                  <c:y val="-0.100724902055865"/>
                </c:manualLayout>
              </c:layout>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dLbl>
              <c:idx val="3"/>
              <c:layout>
                <c:manualLayout>
                  <c:x val="-8.8352458664990294E-2"/>
                  <c:y val="-1.76014655059616E-3"/>
                </c:manualLayout>
              </c:layout>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dLbl>
              <c:idx val="4"/>
              <c:layout>
                <c:manualLayout>
                  <c:x val="-0.13475932568320101"/>
                  <c:y val="-6.39234611802557E-2"/>
                </c:manualLayout>
              </c:layout>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dLbl>
              <c:idx val="5"/>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dLbl>
              <c:idx val="6"/>
              <c:numFmt formatCode="0%"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dLbl>
            <c:dLbl>
              <c:idx val="7"/>
              <c:numFmt formatCode="0%" sourceLinked="0"/>
              <c:spPr>
                <a:noFill/>
                <a:ln w="25400">
                  <a:noFill/>
                </a:ln>
              </c:spPr>
              <c:txPr>
                <a:bodyPr/>
                <a:lstStyle/>
                <a:p>
                  <a:pPr>
                    <a:defRPr sz="12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dLbl>
            <c:numFmt formatCode="0%" sourceLinked="0"/>
            <c:spPr>
              <a:noFill/>
              <a:ln w="25400">
                <a:noFill/>
              </a:ln>
            </c:spPr>
            <c:txPr>
              <a:bodyPr/>
              <a:lstStyle/>
              <a:p>
                <a:pPr>
                  <a:defRPr sz="1475"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'Input &amp; Summary'!$A$37:$A$42</c:f>
              <c:strCache>
                <c:ptCount val="6"/>
                <c:pt idx="0">
                  <c:v>Turbine</c:v>
                </c:pt>
                <c:pt idx="1">
                  <c:v>Foundation</c:v>
                </c:pt>
                <c:pt idx="2">
                  <c:v>Misc BOS</c:v>
                </c:pt>
                <c:pt idx="3">
                  <c:v>Electrical Infrastructure</c:v>
                </c:pt>
                <c:pt idx="4">
                  <c:v>LRC &amp; Lease Cost</c:v>
                </c:pt>
                <c:pt idx="5">
                  <c:v>O&amp;M (After Tax)</c:v>
                </c:pt>
              </c:strCache>
            </c:strRef>
          </c:cat>
          <c:val>
            <c:numRef>
              <c:f>'Input &amp; Summary'!$B$37:$B$42</c:f>
              <c:numCache>
                <c:formatCode>"$"#,##0.0000</c:formatCode>
                <c:ptCount val="6"/>
                <c:pt idx="0">
                  <c:v>3.4719921004214997E-2</c:v>
                </c:pt>
                <c:pt idx="1">
                  <c:v>4.6806218466956126E-4</c:v>
                </c:pt>
                <c:pt idx="2">
                  <c:v>0.14855625671911415</c:v>
                </c:pt>
                <c:pt idx="3">
                  <c:v>2.7399381339838474E-2</c:v>
                </c:pt>
                <c:pt idx="4">
                  <c:v>4.1602389130830026E-3</c:v>
                </c:pt>
                <c:pt idx="5">
                  <c:v>4.7306122448979582E-3</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orientation="landscape" horizontalDpi="300" verticalDpi="300"/>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3730918018085E-2"/>
          <c:y val="5.0467335779913698E-2"/>
          <c:w val="0.90377071685376098"/>
          <c:h val="0.80934653306306004"/>
        </c:manualLayout>
      </c:layout>
      <c:scatterChart>
        <c:scatterStyle val="lineMarker"/>
        <c:varyColors val="0"/>
        <c:ser>
          <c:idx val="5"/>
          <c:order val="0"/>
          <c:tx>
            <c:v>WindPACT Baseline</c:v>
          </c:tx>
          <c:spPr>
            <a:ln w="28575">
              <a:noFill/>
            </a:ln>
          </c:spPr>
          <c:marker>
            <c:symbol val="diamond"/>
            <c:size val="8"/>
            <c:spPr>
              <a:noFill/>
              <a:ln>
                <a:solidFill>
                  <a:srgbClr val="000080"/>
                </a:solidFill>
                <a:prstDash val="solid"/>
              </a:ln>
            </c:spPr>
          </c:marker>
          <c:xVal>
            <c:numRef>
              <c:f>'Hub Mass &amp; Cost'!$P$75:$S$75</c:f>
              <c:numCache>
                <c:formatCode>General</c:formatCode>
                <c:ptCount val="4"/>
                <c:pt idx="0">
                  <c:v>50</c:v>
                </c:pt>
                <c:pt idx="1">
                  <c:v>70</c:v>
                </c:pt>
                <c:pt idx="2">
                  <c:v>99</c:v>
                </c:pt>
                <c:pt idx="3">
                  <c:v>128</c:v>
                </c:pt>
              </c:numCache>
            </c:numRef>
          </c:xVal>
          <c:yVal>
            <c:numRef>
              <c:f>'Hub Mass &amp; Cost'!$P$78:$S$78</c:f>
              <c:numCache>
                <c:formatCode>General</c:formatCode>
                <c:ptCount val="4"/>
                <c:pt idx="0">
                  <c:v>12.381</c:v>
                </c:pt>
                <c:pt idx="1">
                  <c:v>32.015999999999998</c:v>
                </c:pt>
                <c:pt idx="2">
                  <c:v>101.319</c:v>
                </c:pt>
                <c:pt idx="3">
                  <c:v>209.40700000000001</c:v>
                </c:pt>
              </c:numCache>
            </c:numRef>
          </c:yVal>
          <c:smooth val="0"/>
        </c:ser>
        <c:ser>
          <c:idx val="6"/>
          <c:order val="1"/>
          <c:tx>
            <c:v>WindPACT Final</c:v>
          </c:tx>
          <c:spPr>
            <a:ln w="28575">
              <a:noFill/>
            </a:ln>
          </c:spPr>
          <c:marker>
            <c:symbol val="diamond"/>
            <c:size val="8"/>
            <c:spPr>
              <a:noFill/>
              <a:ln>
                <a:solidFill>
                  <a:srgbClr val="FF0000"/>
                </a:solidFill>
                <a:prstDash val="solid"/>
              </a:ln>
            </c:spPr>
          </c:marker>
          <c:xVal>
            <c:numRef>
              <c:f>'Hub Mass &amp; Cost'!$T$75:$V$75</c:f>
              <c:numCache>
                <c:formatCode>General</c:formatCode>
                <c:ptCount val="3"/>
                <c:pt idx="0">
                  <c:v>50</c:v>
                </c:pt>
                <c:pt idx="1">
                  <c:v>70</c:v>
                </c:pt>
                <c:pt idx="2">
                  <c:v>99</c:v>
                </c:pt>
              </c:numCache>
            </c:numRef>
          </c:xVal>
          <c:yVal>
            <c:numRef>
              <c:f>'Hub Mass &amp; Cost'!$T$78:$V$78</c:f>
              <c:numCache>
                <c:formatCode>General</c:formatCode>
                <c:ptCount val="3"/>
                <c:pt idx="0">
                  <c:v>6.0629999999999997</c:v>
                </c:pt>
                <c:pt idx="1">
                  <c:v>17.882000000000001</c:v>
                </c:pt>
                <c:pt idx="2">
                  <c:v>49.497999999999998</c:v>
                </c:pt>
              </c:numCache>
            </c:numRef>
          </c:yVal>
          <c:smooth val="0"/>
        </c:ser>
        <c:ser>
          <c:idx val="0"/>
          <c:order val="2"/>
          <c:tx>
            <c:v>Vestas</c:v>
          </c:tx>
          <c:spPr>
            <a:ln w="28575">
              <a:noFill/>
            </a:ln>
          </c:spPr>
          <c:marker>
            <c:symbol val="square"/>
            <c:size val="8"/>
            <c:spPr>
              <a:solidFill>
                <a:srgbClr val="993366"/>
              </a:solidFill>
              <a:ln>
                <a:solidFill>
                  <a:srgbClr val="993366"/>
                </a:solidFill>
                <a:prstDash val="solid"/>
              </a:ln>
            </c:spPr>
          </c:marker>
          <c:xVal>
            <c:numRef>
              <c:f>'Hub Mass &amp; Cost'!$P$51:$AD$51</c:f>
              <c:numCache>
                <c:formatCode>General</c:formatCode>
                <c:ptCount val="15"/>
                <c:pt idx="0">
                  <c:v>80</c:v>
                </c:pt>
                <c:pt idx="4">
                  <c:v>82</c:v>
                </c:pt>
                <c:pt idx="8">
                  <c:v>90</c:v>
                </c:pt>
                <c:pt idx="9">
                  <c:v>90</c:v>
                </c:pt>
                <c:pt idx="13">
                  <c:v>100</c:v>
                </c:pt>
                <c:pt idx="14">
                  <c:v>120</c:v>
                </c:pt>
              </c:numCache>
            </c:numRef>
          </c:xVal>
          <c:yVal>
            <c:numRef>
              <c:f>'Hub Mass &amp; Cost'!$P$56:$AD$56</c:f>
              <c:numCache>
                <c:formatCode>General</c:formatCode>
                <c:ptCount val="15"/>
                <c:pt idx="0">
                  <c:v>37</c:v>
                </c:pt>
                <c:pt idx="4">
                  <c:v>43</c:v>
                </c:pt>
                <c:pt idx="8">
                  <c:v>38</c:v>
                </c:pt>
                <c:pt idx="9">
                  <c:v>41</c:v>
                </c:pt>
                <c:pt idx="13">
                  <c:v>44</c:v>
                </c:pt>
                <c:pt idx="14">
                  <c:v>75</c:v>
                </c:pt>
              </c:numCache>
            </c:numRef>
          </c:yVal>
          <c:smooth val="0"/>
        </c:ser>
        <c:ser>
          <c:idx val="2"/>
          <c:order val="3"/>
          <c:tx>
            <c:v>Siemens</c:v>
          </c:tx>
          <c:spPr>
            <a:ln w="28575">
              <a:noFill/>
            </a:ln>
          </c:spPr>
          <c:marker>
            <c:symbol val="square"/>
            <c:size val="8"/>
            <c:spPr>
              <a:solidFill>
                <a:srgbClr val="FF99CC"/>
              </a:solidFill>
              <a:ln>
                <a:solidFill>
                  <a:srgbClr val="FF99CC"/>
                </a:solidFill>
                <a:prstDash val="solid"/>
              </a:ln>
            </c:spPr>
          </c:marker>
          <c:xVal>
            <c:numRef>
              <c:f>'Hub Mass &amp; Cost'!$P$39:$Y$39</c:f>
              <c:numCache>
                <c:formatCode>General</c:formatCode>
                <c:ptCount val="10"/>
                <c:pt idx="0">
                  <c:v>93</c:v>
                </c:pt>
                <c:pt idx="4">
                  <c:v>82.4</c:v>
                </c:pt>
                <c:pt idx="7">
                  <c:v>107</c:v>
                </c:pt>
                <c:pt idx="9">
                  <c:v>62</c:v>
                </c:pt>
              </c:numCache>
            </c:numRef>
          </c:xVal>
          <c:yVal>
            <c:numRef>
              <c:f>'Hub Mass &amp; Cost'!$P$42:$Y$42</c:f>
              <c:numCache>
                <c:formatCode>General</c:formatCode>
                <c:ptCount val="10"/>
                <c:pt idx="0">
                  <c:v>60</c:v>
                </c:pt>
                <c:pt idx="4">
                  <c:v>54</c:v>
                </c:pt>
                <c:pt idx="7">
                  <c:v>95</c:v>
                </c:pt>
                <c:pt idx="9">
                  <c:v>30</c:v>
                </c:pt>
              </c:numCache>
            </c:numRef>
          </c:yVal>
          <c:smooth val="0"/>
        </c:ser>
        <c:ser>
          <c:idx val="9"/>
          <c:order val="4"/>
          <c:tx>
            <c:v>Gamesa</c:v>
          </c:tx>
          <c:spPr>
            <a:ln w="28575">
              <a:noFill/>
            </a:ln>
          </c:spPr>
          <c:marker>
            <c:symbol val="square"/>
            <c:size val="8"/>
            <c:spPr>
              <a:solidFill>
                <a:srgbClr val="FF6600"/>
              </a:solidFill>
              <a:ln>
                <a:solidFill>
                  <a:srgbClr val="FF6600"/>
                </a:solidFill>
                <a:prstDash val="solid"/>
              </a:ln>
            </c:spPr>
          </c:marker>
          <c:xVal>
            <c:numRef>
              <c:f>('Hub Mass &amp; Cost'!$P$87,'Hub Mass &amp; Cost'!$T$87,'Hub Mass &amp; Cost'!$X$87,'Hub Mass &amp; Cost'!$AB$87,'Hub Mass &amp; Cost'!$AD$87)</c:f>
              <c:numCache>
                <c:formatCode>General</c:formatCode>
                <c:ptCount val="5"/>
                <c:pt idx="0">
                  <c:v>52</c:v>
                </c:pt>
                <c:pt idx="1">
                  <c:v>58</c:v>
                </c:pt>
                <c:pt idx="2">
                  <c:v>80</c:v>
                </c:pt>
                <c:pt idx="3">
                  <c:v>83</c:v>
                </c:pt>
                <c:pt idx="4">
                  <c:v>87</c:v>
                </c:pt>
              </c:numCache>
            </c:numRef>
          </c:xVal>
          <c:yVal>
            <c:numRef>
              <c:f>('Hub Mass &amp; Cost'!$P$90,'Hub Mass &amp; Cost'!$T$90,'Hub Mass &amp; Cost'!$X$90,'Hub Mass &amp; Cost'!$AB$90,'Hub Mass &amp; Cost'!$AD$90)</c:f>
              <c:numCache>
                <c:formatCode>General</c:formatCode>
                <c:ptCount val="5"/>
                <c:pt idx="0">
                  <c:v>10</c:v>
                </c:pt>
                <c:pt idx="1">
                  <c:v>12</c:v>
                </c:pt>
                <c:pt idx="2">
                  <c:v>38</c:v>
                </c:pt>
                <c:pt idx="3">
                  <c:v>40.5</c:v>
                </c:pt>
                <c:pt idx="4">
                  <c:v>37</c:v>
                </c:pt>
              </c:numCache>
            </c:numRef>
          </c:yVal>
          <c:smooth val="0"/>
        </c:ser>
        <c:ser>
          <c:idx val="7"/>
          <c:order val="5"/>
          <c:tx>
            <c:v>Clipper</c:v>
          </c:tx>
          <c:spPr>
            <a:ln w="28575">
              <a:noFill/>
            </a:ln>
          </c:spPr>
          <c:marker>
            <c:symbol val="square"/>
            <c:size val="8"/>
            <c:spPr>
              <a:solidFill>
                <a:srgbClr val="CC99FF"/>
              </a:solidFill>
              <a:ln>
                <a:solidFill>
                  <a:srgbClr val="CC99FF"/>
                </a:solidFill>
                <a:prstDash val="solid"/>
              </a:ln>
            </c:spPr>
          </c:marker>
          <c:xVal>
            <c:numRef>
              <c:f>'Hub Mass &amp; Cost'!$P$64</c:f>
              <c:numCache>
                <c:formatCode>General</c:formatCode>
                <c:ptCount val="1"/>
                <c:pt idx="0">
                  <c:v>93</c:v>
                </c:pt>
              </c:numCache>
            </c:numRef>
          </c:xVal>
          <c:yVal>
            <c:numRef>
              <c:f>'Hub Mass &amp; Cost'!$P$68</c:f>
              <c:numCache>
                <c:formatCode>0.0</c:formatCode>
                <c:ptCount val="1"/>
                <c:pt idx="0">
                  <c:v>7.8895510372287632</c:v>
                </c:pt>
              </c:numCache>
            </c:numRef>
          </c:yVal>
          <c:smooth val="0"/>
        </c:ser>
        <c:ser>
          <c:idx val="4"/>
          <c:order val="6"/>
          <c:tx>
            <c:v>5 MW Baseline</c:v>
          </c:tx>
          <c:spPr>
            <a:ln w="28575">
              <a:noFill/>
            </a:ln>
          </c:spPr>
          <c:marker>
            <c:symbol val="diamond"/>
            <c:size val="8"/>
            <c:spPr>
              <a:solidFill>
                <a:srgbClr val="FF6600"/>
              </a:solidFill>
              <a:ln>
                <a:solidFill>
                  <a:srgbClr val="FF6600"/>
                </a:solidFill>
                <a:prstDash val="solid"/>
              </a:ln>
            </c:spPr>
          </c:marker>
          <c:xVal>
            <c:numRef>
              <c:f>'Hub Mass &amp; Cost'!$U$29</c:f>
              <c:numCache>
                <c:formatCode>General</c:formatCode>
                <c:ptCount val="1"/>
                <c:pt idx="0">
                  <c:v>126</c:v>
                </c:pt>
              </c:numCache>
            </c:numRef>
          </c:xVal>
          <c:yVal>
            <c:numRef>
              <c:f>'Hub Mass &amp; Cost'!$V$29</c:f>
              <c:numCache>
                <c:formatCode>General</c:formatCode>
                <c:ptCount val="1"/>
                <c:pt idx="0">
                  <c:v>110</c:v>
                </c:pt>
              </c:numCache>
            </c:numRef>
          </c:yVal>
          <c:smooth val="0"/>
        </c:ser>
        <c:ser>
          <c:idx val="1"/>
          <c:order val="7"/>
          <c:tx>
            <c:v>NREL (Baseline blades)</c:v>
          </c:tx>
          <c:spPr>
            <a:ln w="25400">
              <a:solidFill>
                <a:srgbClr val="000000"/>
              </a:solidFill>
              <a:prstDash val="solid"/>
            </a:ln>
          </c:spPr>
          <c:marker>
            <c:symbol val="none"/>
          </c:marker>
          <c:xVal>
            <c:numRef>
              <c:f>'Hub Mass &amp; Cost'!$O$29:$O$33</c:f>
              <c:numCache>
                <c:formatCode>General</c:formatCode>
                <c:ptCount val="5"/>
                <c:pt idx="0">
                  <c:v>60</c:v>
                </c:pt>
                <c:pt idx="1">
                  <c:v>80</c:v>
                </c:pt>
                <c:pt idx="2">
                  <c:v>100</c:v>
                </c:pt>
                <c:pt idx="3">
                  <c:v>120</c:v>
                </c:pt>
                <c:pt idx="4">
                  <c:v>130</c:v>
                </c:pt>
              </c:numCache>
            </c:numRef>
          </c:xVal>
          <c:yVal>
            <c:numRef>
              <c:f>'Hub Mass &amp; Cost'!$P$29:$P$33</c:f>
              <c:numCache>
                <c:formatCode>0.0</c:formatCode>
                <c:ptCount val="5"/>
                <c:pt idx="0">
                  <c:v>20</c:v>
                </c:pt>
                <c:pt idx="1">
                  <c:v>37.299999999999997</c:v>
                </c:pt>
                <c:pt idx="2">
                  <c:v>65.2</c:v>
                </c:pt>
                <c:pt idx="3">
                  <c:v>106.2</c:v>
                </c:pt>
                <c:pt idx="4">
                  <c:v>132.30000000000001</c:v>
                </c:pt>
              </c:numCache>
            </c:numRef>
          </c:yVal>
          <c:smooth val="0"/>
        </c:ser>
        <c:ser>
          <c:idx val="3"/>
          <c:order val="8"/>
          <c:tx>
            <c:v>NREL (Advanced blades)</c:v>
          </c:tx>
          <c:spPr>
            <a:ln w="25400">
              <a:solidFill>
                <a:srgbClr val="000000"/>
              </a:solidFill>
              <a:prstDash val="lgDash"/>
            </a:ln>
          </c:spPr>
          <c:marker>
            <c:symbol val="none"/>
          </c:marker>
          <c:xVal>
            <c:numRef>
              <c:f>'Hub Mass &amp; Cost'!$O$31:$O$33</c:f>
              <c:numCache>
                <c:formatCode>General</c:formatCode>
                <c:ptCount val="3"/>
                <c:pt idx="0">
                  <c:v>100</c:v>
                </c:pt>
                <c:pt idx="1">
                  <c:v>120</c:v>
                </c:pt>
                <c:pt idx="2">
                  <c:v>130</c:v>
                </c:pt>
              </c:numCache>
            </c:numRef>
          </c:xVal>
          <c:yVal>
            <c:numRef>
              <c:f>'Hub Mass &amp; Cost'!$Q$31:$Q$33</c:f>
              <c:numCache>
                <c:formatCode>0.0</c:formatCode>
                <c:ptCount val="3"/>
                <c:pt idx="0">
                  <c:v>50.8</c:v>
                </c:pt>
                <c:pt idx="1">
                  <c:v>76.599999999999994</c:v>
                </c:pt>
                <c:pt idx="2">
                  <c:v>92.3</c:v>
                </c:pt>
              </c:numCache>
            </c:numRef>
          </c:yVal>
          <c:smooth val="0"/>
        </c:ser>
        <c:ser>
          <c:idx val="10"/>
          <c:order val="9"/>
          <c:tx>
            <c:v>Offshore 5 MW Models</c:v>
          </c:tx>
          <c:spPr>
            <a:ln w="28575">
              <a:noFill/>
            </a:ln>
          </c:spPr>
          <c:marker>
            <c:spPr>
              <a:solidFill>
                <a:srgbClr val="4BACC6">
                  <a:lumMod val="75000"/>
                  <a:alpha val="50000"/>
                </a:srgbClr>
              </a:solidFill>
              <a:ln>
                <a:solidFill>
                  <a:srgbClr val="4BACC6">
                    <a:lumMod val="75000"/>
                    <a:alpha val="50000"/>
                  </a:srgbClr>
                </a:solidFill>
              </a:ln>
            </c:spPr>
          </c:marker>
          <c:xVal>
            <c:numRef>
              <c:f>'Hub Mass &amp; Cost'!$Q$100:$T$100</c:f>
              <c:numCache>
                <c:formatCode>General</c:formatCode>
                <c:ptCount val="4"/>
                <c:pt idx="0">
                  <c:v>120</c:v>
                </c:pt>
                <c:pt idx="1">
                  <c:v>128</c:v>
                </c:pt>
                <c:pt idx="2">
                  <c:v>118</c:v>
                </c:pt>
                <c:pt idx="3">
                  <c:v>129</c:v>
                </c:pt>
              </c:numCache>
            </c:numRef>
          </c:xVal>
          <c:yVal>
            <c:numRef>
              <c:f>'Hub Mass &amp; Cost'!$Q$106:$T$106</c:f>
              <c:numCache>
                <c:formatCode>General</c:formatCode>
                <c:ptCount val="4"/>
                <c:pt idx="0">
                  <c:v>172.85499999999999</c:v>
                </c:pt>
                <c:pt idx="1">
                  <c:v>209.40600000000001</c:v>
                </c:pt>
                <c:pt idx="2">
                  <c:v>91.438999999999993</c:v>
                </c:pt>
                <c:pt idx="3">
                  <c:v>83.715000000000003</c:v>
                </c:pt>
              </c:numCache>
            </c:numRef>
          </c:yVal>
          <c:smooth val="0"/>
        </c:ser>
        <c:ser>
          <c:idx val="11"/>
          <c:order val="10"/>
          <c:tx>
            <c:v>Offshore 5 MW Turbines</c:v>
          </c:tx>
          <c:spPr>
            <a:ln w="28575">
              <a:noFill/>
            </a:ln>
          </c:spPr>
          <c:marker>
            <c:symbol val="triangle"/>
            <c:size val="7"/>
            <c:spPr>
              <a:solidFill>
                <a:schemeClr val="accent5">
                  <a:lumMod val="75000"/>
                </a:schemeClr>
              </a:solidFill>
              <a:ln>
                <a:solidFill>
                  <a:schemeClr val="accent5">
                    <a:lumMod val="75000"/>
                  </a:schemeClr>
                </a:solidFill>
              </a:ln>
            </c:spPr>
          </c:marker>
          <c:xVal>
            <c:numRef>
              <c:f>'Hub Mass &amp; Cost'!$U$100:$V$100</c:f>
              <c:numCache>
                <c:formatCode>General</c:formatCode>
                <c:ptCount val="2"/>
                <c:pt idx="0">
                  <c:v>116</c:v>
                </c:pt>
                <c:pt idx="1">
                  <c:v>126</c:v>
                </c:pt>
              </c:numCache>
            </c:numRef>
          </c:xVal>
          <c:yVal>
            <c:numRef>
              <c:f>'Hub Mass &amp; Cost'!$U$106:$V$106</c:f>
              <c:numCache>
                <c:formatCode>General</c:formatCode>
                <c:ptCount val="2"/>
                <c:pt idx="0">
                  <c:v>107.7</c:v>
                </c:pt>
                <c:pt idx="1">
                  <c:v>110</c:v>
                </c:pt>
              </c:numCache>
            </c:numRef>
          </c:yVal>
          <c:smooth val="0"/>
        </c:ser>
        <c:ser>
          <c:idx val="8"/>
          <c:order val="11"/>
          <c:tx>
            <c:v>5 MW</c:v>
          </c:tx>
          <c:spPr>
            <a:ln w="28575">
              <a:noFill/>
            </a:ln>
          </c:spPr>
          <c:marker>
            <c:symbol val="circle"/>
            <c:size val="10"/>
            <c:spPr>
              <a:solidFill>
                <a:srgbClr val="14FC1F"/>
              </a:solidFill>
              <a:ln>
                <a:noFill/>
              </a:ln>
            </c:spPr>
          </c:marker>
          <c:xVal>
            <c:numRef>
              <c:f>'Hub Mass &amp; Cost'!$Q$115</c:f>
              <c:numCache>
                <c:formatCode>General</c:formatCode>
                <c:ptCount val="1"/>
                <c:pt idx="0">
                  <c:v>115</c:v>
                </c:pt>
              </c:numCache>
            </c:numRef>
          </c:xVal>
          <c:yVal>
            <c:numRef>
              <c:f>'Hub Mass &amp; Cost'!$U$115</c:f>
              <c:numCache>
                <c:formatCode>General</c:formatCode>
                <c:ptCount val="1"/>
                <c:pt idx="0">
                  <c:v>58.502000000000002</c:v>
                </c:pt>
              </c:numCache>
            </c:numRef>
          </c:yVal>
          <c:smooth val="0"/>
        </c:ser>
        <c:ser>
          <c:idx val="12"/>
          <c:order val="12"/>
          <c:tx>
            <c:v>10 MW</c:v>
          </c:tx>
          <c:spPr>
            <a:ln w="28575">
              <a:noFill/>
            </a:ln>
          </c:spPr>
          <c:marker>
            <c:symbol val="triangle"/>
            <c:size val="10"/>
            <c:spPr>
              <a:solidFill>
                <a:srgbClr val="14FC1F"/>
              </a:solidFill>
              <a:ln>
                <a:noFill/>
              </a:ln>
            </c:spPr>
          </c:marker>
          <c:xVal>
            <c:numRef>
              <c:f>'Hub Mass &amp; Cost'!$Q$117</c:f>
              <c:numCache>
                <c:formatCode>General</c:formatCode>
                <c:ptCount val="1"/>
                <c:pt idx="0">
                  <c:v>138</c:v>
                </c:pt>
              </c:numCache>
            </c:numRef>
          </c:xVal>
          <c:yVal>
            <c:numRef>
              <c:f>'Hub Mass &amp; Cost'!$U$117</c:f>
              <c:numCache>
                <c:formatCode>General</c:formatCode>
                <c:ptCount val="1"/>
                <c:pt idx="0">
                  <c:v>138.101</c:v>
                </c:pt>
              </c:numCache>
            </c:numRef>
          </c:yVal>
          <c:smooth val="0"/>
        </c:ser>
        <c:dLbls>
          <c:showLegendKey val="0"/>
          <c:showVal val="0"/>
          <c:showCatName val="0"/>
          <c:showSerName val="0"/>
          <c:showPercent val="0"/>
          <c:showBubbleSize val="0"/>
        </c:dLbls>
        <c:axId val="136809088"/>
        <c:axId val="136819840"/>
      </c:scatterChart>
      <c:valAx>
        <c:axId val="136809088"/>
        <c:scaling>
          <c:orientation val="minMax"/>
        </c:scaling>
        <c:delete val="0"/>
        <c:axPos val="b"/>
        <c:title>
          <c:tx>
            <c:rich>
              <a:bodyPr/>
              <a:lstStyle/>
              <a:p>
                <a:pPr>
                  <a:defRPr sz="1425" b="1" i="0" u="none" strike="noStrike" baseline="0">
                    <a:solidFill>
                      <a:srgbClr val="000000"/>
                    </a:solidFill>
                    <a:latin typeface="Arial"/>
                    <a:ea typeface="Arial"/>
                    <a:cs typeface="Arial"/>
                  </a:defRPr>
                </a:pPr>
                <a:r>
                  <a:t>Rotor Diameter (m)</a:t>
                </a:r>
              </a:p>
            </c:rich>
          </c:tx>
          <c:layout>
            <c:manualLayout>
              <c:xMode val="edge"/>
              <c:yMode val="edge"/>
              <c:x val="0.44146868183716897"/>
              <c:y val="0.9252344298084229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36819840"/>
        <c:crosses val="autoZero"/>
        <c:crossBetween val="midCat"/>
      </c:valAx>
      <c:valAx>
        <c:axId val="13681984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t>Rotor Mass (metric tons)</a:t>
                </a:r>
              </a:p>
            </c:rich>
          </c:tx>
          <c:layout>
            <c:manualLayout>
              <c:xMode val="edge"/>
              <c:yMode val="edge"/>
              <c:x val="8.9285253881575197E-3"/>
              <c:y val="0.2373833738072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36809088"/>
        <c:crosses val="autoZero"/>
        <c:crossBetween val="midCat"/>
      </c:valAx>
      <c:spPr>
        <a:noFill/>
        <a:ln w="25400">
          <a:noFill/>
        </a:ln>
      </c:spPr>
    </c:plotArea>
    <c:legend>
      <c:legendPos val="r"/>
      <c:layout>
        <c:manualLayout>
          <c:xMode val="edge"/>
          <c:yMode val="edge"/>
          <c:wMode val="edge"/>
          <c:hMode val="edge"/>
          <c:x val="8.7301641322339599E-2"/>
          <c:y val="6.4174454828660493E-2"/>
          <c:w val="0.30111783178379697"/>
          <c:h val="0.65276287193072802"/>
        </c:manualLayout>
      </c:layout>
      <c:overlay val="0"/>
      <c:spPr>
        <a:solidFill>
          <a:srgbClr val="FFFFFF"/>
        </a:solidFill>
        <a:ln w="3175">
          <a:solidFill>
            <a:srgbClr val="000000"/>
          </a:solidFill>
          <a:prstDash val="solid"/>
        </a:ln>
      </c:spPr>
      <c:txPr>
        <a:bodyPr/>
        <a:lstStyle/>
        <a:p>
          <a:pPr>
            <a:defRPr sz="65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3730918018085E-2"/>
          <c:y val="5.0467335779913698E-2"/>
          <c:w val="0.90377071685376098"/>
          <c:h val="0.80934653306306004"/>
        </c:manualLayout>
      </c:layout>
      <c:scatterChart>
        <c:scatterStyle val="lineMarker"/>
        <c:varyColors val="0"/>
        <c:ser>
          <c:idx val="5"/>
          <c:order val="0"/>
          <c:tx>
            <c:v>WindPACT Baseline</c:v>
          </c:tx>
          <c:spPr>
            <a:ln w="28575">
              <a:noFill/>
            </a:ln>
          </c:spPr>
          <c:marker>
            <c:symbol val="diamond"/>
            <c:size val="8"/>
            <c:spPr>
              <a:noFill/>
              <a:ln>
                <a:solidFill>
                  <a:srgbClr val="000080"/>
                </a:solidFill>
                <a:prstDash val="solid"/>
              </a:ln>
            </c:spPr>
          </c:marker>
          <c:xVal>
            <c:numRef>
              <c:f>'Hub Mass &amp; Cost'!$P$75:$S$75</c:f>
              <c:numCache>
                <c:formatCode>General</c:formatCode>
                <c:ptCount val="4"/>
                <c:pt idx="0">
                  <c:v>50</c:v>
                </c:pt>
                <c:pt idx="1">
                  <c:v>70</c:v>
                </c:pt>
                <c:pt idx="2">
                  <c:v>99</c:v>
                </c:pt>
                <c:pt idx="3">
                  <c:v>128</c:v>
                </c:pt>
              </c:numCache>
            </c:numRef>
          </c:xVal>
          <c:yVal>
            <c:numRef>
              <c:f>'Hub Mass &amp; Cost'!$P$79:$S$79</c:f>
              <c:numCache>
                <c:formatCode>0.0</c:formatCode>
                <c:ptCount val="4"/>
                <c:pt idx="0">
                  <c:v>6.30559152134642</c:v>
                </c:pt>
                <c:pt idx="1">
                  <c:v>8.3191912784165236</c:v>
                </c:pt>
                <c:pt idx="2">
                  <c:v>13.162264813082539</c:v>
                </c:pt>
                <c:pt idx="3">
                  <c:v>16.273515218771742</c:v>
                </c:pt>
              </c:numCache>
            </c:numRef>
          </c:yVal>
          <c:smooth val="0"/>
        </c:ser>
        <c:ser>
          <c:idx val="6"/>
          <c:order val="1"/>
          <c:tx>
            <c:v>WindPACT Final</c:v>
          </c:tx>
          <c:spPr>
            <a:ln w="28575">
              <a:noFill/>
            </a:ln>
          </c:spPr>
          <c:marker>
            <c:symbol val="diamond"/>
            <c:size val="8"/>
            <c:spPr>
              <a:noFill/>
              <a:ln>
                <a:solidFill>
                  <a:srgbClr val="FF0000"/>
                </a:solidFill>
                <a:prstDash val="solid"/>
              </a:ln>
            </c:spPr>
          </c:marker>
          <c:xVal>
            <c:numRef>
              <c:f>'Hub Mass &amp; Cost'!$T$75:$V$75</c:f>
              <c:numCache>
                <c:formatCode>General</c:formatCode>
                <c:ptCount val="3"/>
                <c:pt idx="0">
                  <c:v>50</c:v>
                </c:pt>
                <c:pt idx="1">
                  <c:v>70</c:v>
                </c:pt>
                <c:pt idx="2">
                  <c:v>99</c:v>
                </c:pt>
              </c:numCache>
            </c:numRef>
          </c:xVal>
          <c:yVal>
            <c:numRef>
              <c:f>'Hub Mass &amp; Cost'!$T$79:$V$79</c:f>
              <c:numCache>
                <c:formatCode>0.0</c:formatCode>
                <c:ptCount val="3"/>
                <c:pt idx="0">
                  <c:v>3.0878605438917166</c:v>
                </c:pt>
                <c:pt idx="1">
                  <c:v>4.6465448038682</c:v>
                </c:pt>
                <c:pt idx="2">
                  <c:v>6.4302429328947133</c:v>
                </c:pt>
              </c:numCache>
            </c:numRef>
          </c:yVal>
          <c:smooth val="0"/>
        </c:ser>
        <c:ser>
          <c:idx val="0"/>
          <c:order val="2"/>
          <c:tx>
            <c:v>Vestas</c:v>
          </c:tx>
          <c:spPr>
            <a:ln w="28575">
              <a:noFill/>
            </a:ln>
          </c:spPr>
          <c:marker>
            <c:symbol val="square"/>
            <c:size val="8"/>
            <c:spPr>
              <a:solidFill>
                <a:srgbClr val="993366"/>
              </a:solidFill>
              <a:ln>
                <a:solidFill>
                  <a:srgbClr val="993366"/>
                </a:solidFill>
                <a:prstDash val="solid"/>
              </a:ln>
            </c:spPr>
          </c:marker>
          <c:xVal>
            <c:numRef>
              <c:f>'Hub Mass &amp; Cost'!$P$51:$AD$51</c:f>
              <c:numCache>
                <c:formatCode>General</c:formatCode>
                <c:ptCount val="15"/>
                <c:pt idx="0">
                  <c:v>80</c:v>
                </c:pt>
                <c:pt idx="4">
                  <c:v>82</c:v>
                </c:pt>
                <c:pt idx="8">
                  <c:v>90</c:v>
                </c:pt>
                <c:pt idx="9">
                  <c:v>90</c:v>
                </c:pt>
                <c:pt idx="13">
                  <c:v>100</c:v>
                </c:pt>
                <c:pt idx="14">
                  <c:v>120</c:v>
                </c:pt>
              </c:numCache>
            </c:numRef>
          </c:xVal>
          <c:yVal>
            <c:numRef>
              <c:f>'Hub Mass &amp; Cost'!$P$57:$AD$57</c:f>
              <c:numCache>
                <c:formatCode>General</c:formatCode>
                <c:ptCount val="15"/>
                <c:pt idx="0" formatCode="0.0">
                  <c:v>7.3609161180001594</c:v>
                </c:pt>
                <c:pt idx="4" formatCode="0.0">
                  <c:v>8.1423706757305183</c:v>
                </c:pt>
                <c:pt idx="8" formatCode="0.0">
                  <c:v>5.9732225555476779</c:v>
                </c:pt>
                <c:pt idx="9" formatCode="0.0">
                  <c:v>6.4447927573014416</c:v>
                </c:pt>
                <c:pt idx="13" formatCode="0.0">
                  <c:v>5.6022539968347163</c:v>
                </c:pt>
                <c:pt idx="14" formatCode="0.0">
                  <c:v>6.6314559621623062</c:v>
                </c:pt>
              </c:numCache>
            </c:numRef>
          </c:yVal>
          <c:smooth val="0"/>
        </c:ser>
        <c:ser>
          <c:idx val="2"/>
          <c:order val="3"/>
          <c:tx>
            <c:v>Siemens</c:v>
          </c:tx>
          <c:spPr>
            <a:ln w="28575">
              <a:noFill/>
            </a:ln>
          </c:spPr>
          <c:marker>
            <c:symbol val="square"/>
            <c:size val="8"/>
            <c:spPr>
              <a:solidFill>
                <a:srgbClr val="FF99CC"/>
              </a:solidFill>
              <a:ln>
                <a:solidFill>
                  <a:srgbClr val="FF99CC"/>
                </a:solidFill>
                <a:prstDash val="solid"/>
              </a:ln>
            </c:spPr>
          </c:marker>
          <c:xVal>
            <c:numRef>
              <c:f>'Hub Mass &amp; Cost'!$P$39:$Y$39</c:f>
              <c:numCache>
                <c:formatCode>General</c:formatCode>
                <c:ptCount val="10"/>
                <c:pt idx="0">
                  <c:v>93</c:v>
                </c:pt>
                <c:pt idx="4">
                  <c:v>82.4</c:v>
                </c:pt>
                <c:pt idx="7">
                  <c:v>107</c:v>
                </c:pt>
                <c:pt idx="9">
                  <c:v>62</c:v>
                </c:pt>
              </c:numCache>
            </c:numRef>
          </c:xVal>
          <c:yVal>
            <c:numRef>
              <c:f>'Hub Mass &amp; Cost'!$P$43:$Y$43</c:f>
              <c:numCache>
                <c:formatCode>General</c:formatCode>
                <c:ptCount val="10"/>
                <c:pt idx="0" formatCode="0.0">
                  <c:v>8.83274051151691</c:v>
                </c:pt>
                <c:pt idx="4" formatCode="0.0">
                  <c:v>10.12626888368643</c:v>
                </c:pt>
                <c:pt idx="7" formatCode="0.0">
                  <c:v>10.564918923036112</c:v>
                </c:pt>
                <c:pt idx="9" formatCode="0.0">
                  <c:v>9.9368330754565246</c:v>
                </c:pt>
              </c:numCache>
            </c:numRef>
          </c:yVal>
          <c:smooth val="0"/>
        </c:ser>
        <c:ser>
          <c:idx val="9"/>
          <c:order val="4"/>
          <c:tx>
            <c:v>Gamesa</c:v>
          </c:tx>
          <c:spPr>
            <a:ln w="28575">
              <a:noFill/>
            </a:ln>
          </c:spPr>
          <c:marker>
            <c:symbol val="square"/>
            <c:size val="8"/>
            <c:spPr>
              <a:solidFill>
                <a:srgbClr val="FF6600"/>
              </a:solidFill>
              <a:ln>
                <a:solidFill>
                  <a:srgbClr val="FF6600"/>
                </a:solidFill>
                <a:prstDash val="solid"/>
              </a:ln>
            </c:spPr>
          </c:marker>
          <c:xVal>
            <c:numRef>
              <c:f>('Hub Mass &amp; Cost'!$P$87,'Hub Mass &amp; Cost'!$T$87,'Hub Mass &amp; Cost'!$X$87,'Hub Mass &amp; Cost'!$AB$87,'Hub Mass &amp; Cost'!$AD$87)</c:f>
              <c:numCache>
                <c:formatCode>General</c:formatCode>
                <c:ptCount val="5"/>
                <c:pt idx="0">
                  <c:v>52</c:v>
                </c:pt>
                <c:pt idx="1">
                  <c:v>58</c:v>
                </c:pt>
                <c:pt idx="2">
                  <c:v>80</c:v>
                </c:pt>
                <c:pt idx="3">
                  <c:v>83</c:v>
                </c:pt>
                <c:pt idx="4">
                  <c:v>87</c:v>
                </c:pt>
              </c:numCache>
            </c:numRef>
          </c:xVal>
          <c:yVal>
            <c:numRef>
              <c:f>'Hub Mass &amp; Cost'!$P$91:$AF$91</c:f>
              <c:numCache>
                <c:formatCode>General</c:formatCode>
                <c:ptCount val="17"/>
                <c:pt idx="0" formatCode="0.0">
                  <c:v>4.708726126979152</c:v>
                </c:pt>
                <c:pt idx="4" formatCode="0.0">
                  <c:v>4.5418770918020073</c:v>
                </c:pt>
                <c:pt idx="8" formatCode="0.0">
                  <c:v>7.5598597968650285</c:v>
                </c:pt>
                <c:pt idx="12" formatCode="0.0">
                  <c:v>7.4852956251668008</c:v>
                </c:pt>
                <c:pt idx="14" formatCode="0.0">
                  <c:v>6.2240537924694177</c:v>
                </c:pt>
              </c:numCache>
            </c:numRef>
          </c:yVal>
          <c:smooth val="0"/>
        </c:ser>
        <c:ser>
          <c:idx val="7"/>
          <c:order val="5"/>
          <c:tx>
            <c:v>Clipper</c:v>
          </c:tx>
          <c:spPr>
            <a:ln w="28575">
              <a:noFill/>
            </a:ln>
          </c:spPr>
          <c:marker>
            <c:symbol val="square"/>
            <c:size val="8"/>
            <c:spPr>
              <a:solidFill>
                <a:srgbClr val="CC99FF"/>
              </a:solidFill>
              <a:ln>
                <a:solidFill>
                  <a:srgbClr val="CC99FF"/>
                </a:solidFill>
                <a:prstDash val="solid"/>
              </a:ln>
            </c:spPr>
          </c:marker>
          <c:xVal>
            <c:numRef>
              <c:f>'Hub Mass &amp; Cost'!$P$64</c:f>
              <c:numCache>
                <c:formatCode>General</c:formatCode>
                <c:ptCount val="1"/>
                <c:pt idx="0">
                  <c:v>93</c:v>
                </c:pt>
              </c:numCache>
            </c:numRef>
          </c:xVal>
          <c:yVal>
            <c:numRef>
              <c:f>'Hub Mass &amp; Cost'!$P$68</c:f>
              <c:numCache>
                <c:formatCode>0.0</c:formatCode>
                <c:ptCount val="1"/>
                <c:pt idx="0">
                  <c:v>7.8895510372287632</c:v>
                </c:pt>
              </c:numCache>
            </c:numRef>
          </c:yVal>
          <c:smooth val="0"/>
        </c:ser>
        <c:ser>
          <c:idx val="4"/>
          <c:order val="6"/>
          <c:tx>
            <c:v>5 MW Baseline</c:v>
          </c:tx>
          <c:spPr>
            <a:ln w="28575">
              <a:noFill/>
            </a:ln>
          </c:spPr>
          <c:marker>
            <c:symbol val="diamond"/>
            <c:size val="8"/>
            <c:spPr>
              <a:solidFill>
                <a:srgbClr val="FF6600"/>
              </a:solidFill>
              <a:ln>
                <a:solidFill>
                  <a:srgbClr val="FF6600"/>
                </a:solidFill>
                <a:prstDash val="solid"/>
              </a:ln>
            </c:spPr>
          </c:marker>
          <c:xVal>
            <c:numRef>
              <c:f>'Hub Mass &amp; Cost'!$U$29</c:f>
              <c:numCache>
                <c:formatCode>General</c:formatCode>
                <c:ptCount val="1"/>
                <c:pt idx="0">
                  <c:v>126</c:v>
                </c:pt>
              </c:numCache>
            </c:numRef>
          </c:xVal>
          <c:yVal>
            <c:numRef>
              <c:f>'Hub Mass &amp; Cost'!$X$29</c:f>
              <c:numCache>
                <c:formatCode>0.0</c:formatCode>
                <c:ptCount val="1"/>
                <c:pt idx="0">
                  <c:v>8.8218915294071483</c:v>
                </c:pt>
              </c:numCache>
            </c:numRef>
          </c:yVal>
          <c:smooth val="0"/>
        </c:ser>
        <c:ser>
          <c:idx val="1"/>
          <c:order val="7"/>
          <c:tx>
            <c:v>NREL (Baseline blades)</c:v>
          </c:tx>
          <c:spPr>
            <a:ln w="25400">
              <a:solidFill>
                <a:srgbClr val="000000"/>
              </a:solidFill>
              <a:prstDash val="solid"/>
            </a:ln>
          </c:spPr>
          <c:marker>
            <c:symbol val="none"/>
          </c:marker>
          <c:xVal>
            <c:numRef>
              <c:f>'Hub Mass &amp; Cost'!$O$29:$O$33</c:f>
              <c:numCache>
                <c:formatCode>General</c:formatCode>
                <c:ptCount val="5"/>
                <c:pt idx="0">
                  <c:v>60</c:v>
                </c:pt>
                <c:pt idx="1">
                  <c:v>80</c:v>
                </c:pt>
                <c:pt idx="2">
                  <c:v>100</c:v>
                </c:pt>
                <c:pt idx="3">
                  <c:v>120</c:v>
                </c:pt>
                <c:pt idx="4">
                  <c:v>130</c:v>
                </c:pt>
              </c:numCache>
            </c:numRef>
          </c:xVal>
          <c:yVal>
            <c:numRef>
              <c:f>'Hub Mass &amp; Cost'!$R$29:$R$33</c:f>
              <c:numCache>
                <c:formatCode>0.0</c:formatCode>
                <c:ptCount val="5"/>
                <c:pt idx="0">
                  <c:v>7.0735530263064597</c:v>
                </c:pt>
                <c:pt idx="1">
                  <c:v>7.4205992216596197</c:v>
                </c:pt>
                <c:pt idx="2">
                  <c:v>8.3015218316732611</c:v>
                </c:pt>
                <c:pt idx="3">
                  <c:v>9.3901416424218258</c:v>
                </c:pt>
                <c:pt idx="4">
                  <c:v>9.9674314655894705</c:v>
                </c:pt>
              </c:numCache>
            </c:numRef>
          </c:yVal>
          <c:smooth val="0"/>
        </c:ser>
        <c:ser>
          <c:idx val="3"/>
          <c:order val="8"/>
          <c:tx>
            <c:v>NREL (Advanced blades)</c:v>
          </c:tx>
          <c:spPr>
            <a:ln w="25400">
              <a:solidFill>
                <a:srgbClr val="000000"/>
              </a:solidFill>
              <a:prstDash val="lgDash"/>
            </a:ln>
          </c:spPr>
          <c:marker>
            <c:symbol val="none"/>
          </c:marker>
          <c:xVal>
            <c:numRef>
              <c:f>'Hub Mass &amp; Cost'!$O$31:$O$33</c:f>
              <c:numCache>
                <c:formatCode>General</c:formatCode>
                <c:ptCount val="3"/>
                <c:pt idx="0">
                  <c:v>100</c:v>
                </c:pt>
                <c:pt idx="1">
                  <c:v>120</c:v>
                </c:pt>
                <c:pt idx="2">
                  <c:v>130</c:v>
                </c:pt>
              </c:numCache>
            </c:numRef>
          </c:xVal>
          <c:yVal>
            <c:numRef>
              <c:f>'Hub Mass &amp; Cost'!$S$31:$S$33</c:f>
              <c:numCache>
                <c:formatCode>0.0</c:formatCode>
                <c:ptCount val="3"/>
                <c:pt idx="0">
                  <c:v>6.468056887254626</c:v>
                </c:pt>
                <c:pt idx="1">
                  <c:v>6.7729270226884353</c:v>
                </c:pt>
                <c:pt idx="2">
                  <c:v>6.9538467443228118</c:v>
                </c:pt>
              </c:numCache>
            </c:numRef>
          </c:yVal>
          <c:smooth val="0"/>
        </c:ser>
        <c:ser>
          <c:idx val="10"/>
          <c:order val="9"/>
          <c:tx>
            <c:v>Offshore 5 MW Models</c:v>
          </c:tx>
          <c:spPr>
            <a:ln w="28575">
              <a:noFill/>
            </a:ln>
          </c:spPr>
          <c:marker>
            <c:spPr>
              <a:solidFill>
                <a:srgbClr val="4BACC6">
                  <a:lumMod val="75000"/>
                  <a:alpha val="50000"/>
                </a:srgbClr>
              </a:solidFill>
              <a:ln>
                <a:solidFill>
                  <a:srgbClr val="4BACC6">
                    <a:lumMod val="75000"/>
                    <a:alpha val="50000"/>
                  </a:srgbClr>
                </a:solidFill>
              </a:ln>
            </c:spPr>
          </c:marker>
          <c:xVal>
            <c:numRef>
              <c:f>'Hub Mass &amp; Cost'!$Q$100:$T$100</c:f>
              <c:numCache>
                <c:formatCode>General</c:formatCode>
                <c:ptCount val="4"/>
                <c:pt idx="0">
                  <c:v>120</c:v>
                </c:pt>
                <c:pt idx="1">
                  <c:v>128</c:v>
                </c:pt>
                <c:pt idx="2">
                  <c:v>118</c:v>
                </c:pt>
                <c:pt idx="3">
                  <c:v>129</c:v>
                </c:pt>
              </c:numCache>
            </c:numRef>
          </c:xVal>
          <c:yVal>
            <c:numRef>
              <c:f>'Hub Mass &amp; Cost'!$Q$107:$T$107</c:f>
              <c:numCache>
                <c:formatCode>0.0</c:formatCode>
                <c:ptCount val="4"/>
                <c:pt idx="0">
                  <c:v>15.283737604527538</c:v>
                </c:pt>
                <c:pt idx="1">
                  <c:v>16.273437506397187</c:v>
                </c:pt>
                <c:pt idx="2">
                  <c:v>8.361372502947324</c:v>
                </c:pt>
                <c:pt idx="3">
                  <c:v>6.4052189464277474</c:v>
                </c:pt>
              </c:numCache>
            </c:numRef>
          </c:yVal>
          <c:smooth val="0"/>
        </c:ser>
        <c:ser>
          <c:idx val="11"/>
          <c:order val="10"/>
          <c:tx>
            <c:v>Offshore 5 MW Turbines</c:v>
          </c:tx>
          <c:spPr>
            <a:ln w="28575">
              <a:noFill/>
            </a:ln>
          </c:spPr>
          <c:marker>
            <c:symbol val="triangle"/>
            <c:size val="7"/>
            <c:spPr>
              <a:solidFill>
                <a:schemeClr val="accent5">
                  <a:lumMod val="75000"/>
                </a:schemeClr>
              </a:solidFill>
              <a:ln>
                <a:solidFill>
                  <a:schemeClr val="accent5">
                    <a:lumMod val="75000"/>
                  </a:schemeClr>
                </a:solidFill>
              </a:ln>
            </c:spPr>
          </c:marker>
          <c:xVal>
            <c:numRef>
              <c:f>'Hub Mass &amp; Cost'!$U$100:$V$100</c:f>
              <c:numCache>
                <c:formatCode>General</c:formatCode>
                <c:ptCount val="2"/>
                <c:pt idx="0">
                  <c:v>116</c:v>
                </c:pt>
                <c:pt idx="1">
                  <c:v>126</c:v>
                </c:pt>
              </c:numCache>
            </c:numRef>
          </c:xVal>
          <c:yVal>
            <c:numRef>
              <c:f>'Hub Mass &amp; Cost'!$U$107:$V$107</c:f>
              <c:numCache>
                <c:formatCode>0.0</c:formatCode>
                <c:ptCount val="2"/>
                <c:pt idx="0">
                  <c:v>10.190836724730755</c:v>
                </c:pt>
                <c:pt idx="1">
                  <c:v>8.8218915294071483</c:v>
                </c:pt>
              </c:numCache>
            </c:numRef>
          </c:yVal>
          <c:smooth val="0"/>
        </c:ser>
        <c:ser>
          <c:idx val="8"/>
          <c:order val="11"/>
          <c:tx>
            <c:v>5 MW</c:v>
          </c:tx>
          <c:spPr>
            <a:ln w="28575">
              <a:noFill/>
            </a:ln>
          </c:spPr>
          <c:marker>
            <c:symbol val="circle"/>
            <c:size val="10"/>
            <c:spPr>
              <a:solidFill>
                <a:srgbClr val="14FC1F"/>
              </a:solidFill>
              <a:ln>
                <a:noFill/>
              </a:ln>
            </c:spPr>
          </c:marker>
          <c:xVal>
            <c:numRef>
              <c:f>'Hub Mass &amp; Cost'!$Q$115</c:f>
              <c:numCache>
                <c:formatCode>General</c:formatCode>
                <c:ptCount val="1"/>
                <c:pt idx="0">
                  <c:v>115</c:v>
                </c:pt>
              </c:numCache>
            </c:numRef>
          </c:xVal>
          <c:yVal>
            <c:numRef>
              <c:f>'Hub Mass &amp; Cost'!$V$115</c:f>
              <c:numCache>
                <c:formatCode>0.0</c:formatCode>
                <c:ptCount val="1"/>
                <c:pt idx="0">
                  <c:v>5.6322918598182605</c:v>
                </c:pt>
              </c:numCache>
            </c:numRef>
          </c:yVal>
          <c:smooth val="0"/>
        </c:ser>
        <c:ser>
          <c:idx val="12"/>
          <c:order val="12"/>
          <c:tx>
            <c:v>10 MW</c:v>
          </c:tx>
          <c:spPr>
            <a:ln w="28575">
              <a:noFill/>
            </a:ln>
          </c:spPr>
          <c:marker>
            <c:symbol val="triangle"/>
            <c:size val="10"/>
            <c:spPr>
              <a:solidFill>
                <a:srgbClr val="14FC1F"/>
              </a:solidFill>
              <a:ln>
                <a:noFill/>
              </a:ln>
            </c:spPr>
          </c:marker>
          <c:xVal>
            <c:numRef>
              <c:f>'Hub Mass &amp; Cost'!$Q$117</c:f>
              <c:numCache>
                <c:formatCode>General</c:formatCode>
                <c:ptCount val="1"/>
                <c:pt idx="0">
                  <c:v>138</c:v>
                </c:pt>
              </c:numCache>
            </c:numRef>
          </c:xVal>
          <c:yVal>
            <c:numRef>
              <c:f>'Hub Mass &amp; Cost'!$V$117</c:f>
              <c:numCache>
                <c:formatCode>0.0</c:formatCode>
                <c:ptCount val="1"/>
                <c:pt idx="0">
                  <c:v>9.2331261482603821</c:v>
                </c:pt>
              </c:numCache>
            </c:numRef>
          </c:yVal>
          <c:smooth val="0"/>
        </c:ser>
        <c:dLbls>
          <c:showLegendKey val="0"/>
          <c:showVal val="0"/>
          <c:showCatName val="0"/>
          <c:showSerName val="0"/>
          <c:showPercent val="0"/>
          <c:showBubbleSize val="0"/>
        </c:dLbls>
        <c:axId val="136882816"/>
        <c:axId val="136897664"/>
      </c:scatterChart>
      <c:valAx>
        <c:axId val="136882816"/>
        <c:scaling>
          <c:orientation val="minMax"/>
        </c:scaling>
        <c:delete val="0"/>
        <c:axPos val="b"/>
        <c:title>
          <c:tx>
            <c:rich>
              <a:bodyPr/>
              <a:lstStyle/>
              <a:p>
                <a:pPr>
                  <a:defRPr sz="1425" b="1" i="0" u="none" strike="noStrike" baseline="0">
                    <a:solidFill>
                      <a:srgbClr val="000000"/>
                    </a:solidFill>
                    <a:latin typeface="Arial"/>
                    <a:ea typeface="Arial"/>
                    <a:cs typeface="Arial"/>
                  </a:defRPr>
                </a:pPr>
                <a:r>
                  <a:t>Rotor Diameter (m)</a:t>
                </a:r>
              </a:p>
            </c:rich>
          </c:tx>
          <c:layout>
            <c:manualLayout>
              <c:xMode val="edge"/>
              <c:yMode val="edge"/>
              <c:x val="0.44146866830512999"/>
              <c:y val="0.925234345706783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36897664"/>
        <c:crosses val="autoZero"/>
        <c:crossBetween val="midCat"/>
      </c:valAx>
      <c:valAx>
        <c:axId val="136897664"/>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t>Rotor Mass/Swept Area (kg/m^2)</a:t>
                </a:r>
              </a:p>
            </c:rich>
          </c:tx>
          <c:layout>
            <c:manualLayout>
              <c:xMode val="edge"/>
              <c:yMode val="edge"/>
              <c:x val="1.0251352775734E-2"/>
              <c:y val="0.150155901564936"/>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36882816"/>
        <c:crosses val="autoZero"/>
        <c:crossBetween val="midCat"/>
      </c:valAx>
      <c:spPr>
        <a:noFill/>
        <a:ln w="25400">
          <a:noFill/>
        </a:ln>
      </c:spPr>
    </c:plotArea>
    <c:legend>
      <c:legendPos val="r"/>
      <c:layout>
        <c:manualLayout>
          <c:xMode val="edge"/>
          <c:yMode val="edge"/>
          <c:wMode val="edge"/>
          <c:hMode val="edge"/>
          <c:x val="8.7301701601414497E-2"/>
          <c:y val="6.4174412408975201E-2"/>
          <c:w val="0.30111791195087001"/>
          <c:h val="0.65276281254317603"/>
        </c:manualLayout>
      </c:layout>
      <c:overlay val="0"/>
      <c:spPr>
        <a:solidFill>
          <a:srgbClr val="FFFFFF"/>
        </a:solidFill>
        <a:ln w="3175">
          <a:solidFill>
            <a:srgbClr val="000000"/>
          </a:solidFill>
          <a:prstDash val="solid"/>
        </a:ln>
      </c:spPr>
      <c:txPr>
        <a:bodyPr/>
        <a:lstStyle/>
        <a:p>
          <a:pPr>
            <a:defRPr sz="65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22207640711699"/>
          <c:y val="5.0467335779913698E-2"/>
          <c:w val="0.87070189143024002"/>
          <c:h val="0.81186232852968798"/>
        </c:manualLayout>
      </c:layout>
      <c:scatterChart>
        <c:scatterStyle val="lineMarker"/>
        <c:varyColors val="0"/>
        <c:ser>
          <c:idx val="5"/>
          <c:order val="0"/>
          <c:tx>
            <c:v>WindPACT Baseline</c:v>
          </c:tx>
          <c:spPr>
            <a:ln w="28575">
              <a:noFill/>
            </a:ln>
          </c:spPr>
          <c:marker>
            <c:symbol val="diamond"/>
            <c:size val="8"/>
            <c:spPr>
              <a:noFill/>
              <a:ln>
                <a:solidFill>
                  <a:srgbClr val="000080"/>
                </a:solidFill>
                <a:prstDash val="solid"/>
              </a:ln>
            </c:spPr>
          </c:marker>
          <c:xVal>
            <c:numRef>
              <c:f>'Hub Mass &amp; Cost'!$P$75:$S$75</c:f>
              <c:numCache>
                <c:formatCode>General</c:formatCode>
                <c:ptCount val="4"/>
                <c:pt idx="0">
                  <c:v>50</c:v>
                </c:pt>
                <c:pt idx="1">
                  <c:v>70</c:v>
                </c:pt>
                <c:pt idx="2">
                  <c:v>99</c:v>
                </c:pt>
                <c:pt idx="3">
                  <c:v>128</c:v>
                </c:pt>
              </c:numCache>
            </c:numRef>
          </c:xVal>
          <c:yVal>
            <c:numRef>
              <c:f>'Hub Mass &amp; Cost'!$P$80:$S$80</c:f>
              <c:numCache>
                <c:formatCode>0.0</c:formatCode>
                <c:ptCount val="4"/>
                <c:pt idx="0">
                  <c:v>381.9718634205488</c:v>
                </c:pt>
                <c:pt idx="1">
                  <c:v>389.76720757198859</c:v>
                </c:pt>
                <c:pt idx="2">
                  <c:v>389.72743946592067</c:v>
                </c:pt>
                <c:pt idx="3">
                  <c:v>388.56187278294766</c:v>
                </c:pt>
              </c:numCache>
            </c:numRef>
          </c:yVal>
          <c:smooth val="0"/>
        </c:ser>
        <c:ser>
          <c:idx val="6"/>
          <c:order val="1"/>
          <c:tx>
            <c:v>WindPACT Final</c:v>
          </c:tx>
          <c:spPr>
            <a:ln w="28575">
              <a:noFill/>
            </a:ln>
          </c:spPr>
          <c:marker>
            <c:symbol val="diamond"/>
            <c:size val="8"/>
            <c:spPr>
              <a:noFill/>
              <a:ln>
                <a:solidFill>
                  <a:srgbClr val="FF0000"/>
                </a:solidFill>
                <a:prstDash val="solid"/>
              </a:ln>
            </c:spPr>
          </c:marker>
          <c:xVal>
            <c:numRef>
              <c:f>'Hub Mass &amp; Cost'!$T$75:$V$75</c:f>
              <c:numCache>
                <c:formatCode>General</c:formatCode>
                <c:ptCount val="3"/>
                <c:pt idx="0">
                  <c:v>50</c:v>
                </c:pt>
                <c:pt idx="1">
                  <c:v>70</c:v>
                </c:pt>
                <c:pt idx="2">
                  <c:v>99</c:v>
                </c:pt>
              </c:numCache>
            </c:numRef>
          </c:xVal>
          <c:yVal>
            <c:numRef>
              <c:f>'Hub Mass &amp; Cost'!$T$80:$V$80</c:f>
              <c:numCache>
                <c:formatCode>0.0</c:formatCode>
                <c:ptCount val="3"/>
                <c:pt idx="0">
                  <c:v>381.9718634205488</c:v>
                </c:pt>
                <c:pt idx="1">
                  <c:v>389.76720757198859</c:v>
                </c:pt>
                <c:pt idx="2">
                  <c:v>389.72743946592067</c:v>
                </c:pt>
              </c:numCache>
            </c:numRef>
          </c:yVal>
          <c:smooth val="0"/>
        </c:ser>
        <c:ser>
          <c:idx val="0"/>
          <c:order val="2"/>
          <c:tx>
            <c:v>Vestas</c:v>
          </c:tx>
          <c:spPr>
            <a:ln w="28575">
              <a:noFill/>
            </a:ln>
          </c:spPr>
          <c:marker>
            <c:symbol val="square"/>
            <c:size val="8"/>
            <c:spPr>
              <a:solidFill>
                <a:srgbClr val="993366"/>
              </a:solidFill>
              <a:ln>
                <a:solidFill>
                  <a:srgbClr val="993366"/>
                </a:solidFill>
                <a:prstDash val="solid"/>
              </a:ln>
            </c:spPr>
          </c:marker>
          <c:dLbls>
            <c:dLbl>
              <c:idx val="0"/>
              <c:delete val="1"/>
            </c:dLbl>
            <c:dLbl>
              <c:idx val="4"/>
              <c:layout>
                <c:manualLayout>
                  <c:x val="0.38497825396686902"/>
                  <c:y val="-8.1367085312683093E-2"/>
                </c:manualLayout>
              </c:layout>
              <c:tx>
                <c:rich>
                  <a:bodyPr/>
                  <a:lstStyle/>
                  <a:p>
                    <a:r>
                      <a:rPr lang="en-US" sz="1100" b="0" i="0" u="none" strike="noStrike" baseline="0">
                        <a:solidFill>
                          <a:srgbClr val="000000"/>
                        </a:solidFill>
                        <a:latin typeface="Arial"/>
                        <a:cs typeface="Arial"/>
                      </a:rPr>
                      <a:t>32,858</a:t>
                    </a:r>
                  </a:p>
                  <a:p>
                    <a:r>
                      <a:rPr lang="en-US" sz="1100" b="0" i="0" u="none" strike="noStrike" baseline="0">
                        <a:solidFill>
                          <a:srgbClr val="000000"/>
                        </a:solidFill>
                        <a:latin typeface="Arial"/>
                        <a:cs typeface="Arial"/>
                      </a:rPr>
                      <a:t>MWh/yr</a:t>
                    </a:r>
                  </a:p>
                </c:rich>
              </c:tx>
              <c:dLblPos val="r"/>
              <c:showLegendKey val="0"/>
              <c:showVal val="0"/>
              <c:showCatName val="0"/>
              <c:showSerName val="0"/>
              <c:showPercent val="0"/>
              <c:showBubbleSize val="0"/>
            </c:dLbl>
            <c:dLbl>
              <c:idx val="8"/>
              <c:layout>
                <c:manualLayout>
                  <c:x val="-4.9007182087029998E-2"/>
                  <c:y val="5.0600885515496498E-2"/>
                </c:manualLayout>
              </c:layout>
              <c:tx>
                <c:rich>
                  <a:bodyPr/>
                  <a:lstStyle/>
                  <a:p>
                    <a:r>
                      <a:rPr lang="en-US" sz="1100" b="0" i="0" u="none" strike="noStrike" baseline="0">
                        <a:solidFill>
                          <a:srgbClr val="000000"/>
                        </a:solidFill>
                        <a:latin typeface="Arial"/>
                        <a:cs typeface="Arial"/>
                      </a:rPr>
                      <a:t>8,394</a:t>
                    </a:r>
                  </a:p>
                  <a:p>
                    <a:r>
                      <a:rPr lang="en-US" sz="1100" b="0" i="0" u="none" strike="noStrike" baseline="0">
                        <a:solidFill>
                          <a:srgbClr val="000000"/>
                        </a:solidFill>
                        <a:latin typeface="Arial"/>
                        <a:cs typeface="Arial"/>
                      </a:rPr>
                      <a:t>MWh/yr</a:t>
                    </a:r>
                  </a:p>
                </c:rich>
              </c:tx>
              <c:dLblPos val="r"/>
              <c:showLegendKey val="0"/>
              <c:showVal val="0"/>
              <c:showCatName val="0"/>
              <c:showSerName val="0"/>
              <c:showPercent val="0"/>
              <c:showBubbleSize val="0"/>
            </c:dLbl>
            <c:dLbl>
              <c:idx val="9"/>
              <c:layout>
                <c:manualLayout>
                  <c:x val="-4.7317279256443197E-2"/>
                  <c:y val="-6.5781151170145505E-2"/>
                </c:manualLayout>
              </c:layout>
              <c:tx>
                <c:rich>
                  <a:bodyPr/>
                  <a:lstStyle/>
                  <a:p>
                    <a:r>
                      <a:rPr lang="en-US" sz="1100" b="0" i="0" u="none" strike="noStrike" baseline="0">
                        <a:solidFill>
                          <a:srgbClr val="000000"/>
                        </a:solidFill>
                        <a:latin typeface="Arial"/>
                        <a:cs typeface="Arial"/>
                      </a:rPr>
                      <a:t>9,470</a:t>
                    </a:r>
                  </a:p>
                  <a:p>
                    <a:r>
                      <a:rPr lang="en-US" sz="1100" b="0" i="0" u="none" strike="noStrike" baseline="0">
                        <a:solidFill>
                          <a:srgbClr val="000000"/>
                        </a:solidFill>
                        <a:latin typeface="Arial"/>
                        <a:cs typeface="Arial"/>
                      </a:rPr>
                      <a:t>MWh/yr</a:t>
                    </a:r>
                  </a:p>
                </c:rich>
              </c:tx>
              <c:dLblPos val="r"/>
              <c:showLegendKey val="0"/>
              <c:showVal val="0"/>
              <c:showCatName val="0"/>
              <c:showSerName val="0"/>
              <c:showPercent val="0"/>
              <c:showBubbleSize val="0"/>
            </c:dLbl>
            <c:dLbl>
              <c:idx val="13"/>
              <c:delete val="1"/>
            </c:dLbl>
            <c:dLbl>
              <c:idx val="14"/>
              <c:delete val="1"/>
            </c:dLbl>
            <c:txPr>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dLbls>
          <c:xVal>
            <c:numRef>
              <c:f>'Hub Mass &amp; Cost'!$P$51:$AD$51</c:f>
              <c:numCache>
                <c:formatCode>General</c:formatCode>
                <c:ptCount val="15"/>
                <c:pt idx="0">
                  <c:v>80</c:v>
                </c:pt>
                <c:pt idx="4">
                  <c:v>82</c:v>
                </c:pt>
                <c:pt idx="8">
                  <c:v>90</c:v>
                </c:pt>
                <c:pt idx="9">
                  <c:v>90</c:v>
                </c:pt>
                <c:pt idx="13">
                  <c:v>100</c:v>
                </c:pt>
                <c:pt idx="14">
                  <c:v>120</c:v>
                </c:pt>
              </c:numCache>
            </c:numRef>
          </c:xVal>
          <c:yVal>
            <c:numRef>
              <c:f>'Hub Mass &amp; Cost'!$P$58:$AD$58</c:f>
              <c:numCache>
                <c:formatCode>General</c:formatCode>
                <c:ptCount val="15"/>
                <c:pt idx="0" formatCode="0.0">
                  <c:v>397.88735772973831</c:v>
                </c:pt>
                <c:pt idx="4" formatCode="0.0">
                  <c:v>312.43980499896173</c:v>
                </c:pt>
                <c:pt idx="8" formatCode="0.0">
                  <c:v>282.94212105225841</c:v>
                </c:pt>
                <c:pt idx="9" formatCode="0.0">
                  <c:v>471.57020175376402</c:v>
                </c:pt>
                <c:pt idx="13" formatCode="0.0">
                  <c:v>350.14087480216978</c:v>
                </c:pt>
                <c:pt idx="14" formatCode="0.0">
                  <c:v>397.88735772973831</c:v>
                </c:pt>
              </c:numCache>
            </c:numRef>
          </c:yVal>
          <c:smooth val="0"/>
        </c:ser>
        <c:ser>
          <c:idx val="2"/>
          <c:order val="3"/>
          <c:tx>
            <c:v>Siemens</c:v>
          </c:tx>
          <c:spPr>
            <a:ln w="28575">
              <a:noFill/>
            </a:ln>
          </c:spPr>
          <c:marker>
            <c:symbol val="square"/>
            <c:size val="8"/>
            <c:spPr>
              <a:solidFill>
                <a:srgbClr val="FF99CC"/>
              </a:solidFill>
              <a:ln>
                <a:solidFill>
                  <a:srgbClr val="FF99CC"/>
                </a:solidFill>
                <a:prstDash val="solid"/>
              </a:ln>
            </c:spPr>
          </c:marker>
          <c:xVal>
            <c:numRef>
              <c:f>'Hub Mass &amp; Cost'!$P$39:$Y$39</c:f>
              <c:numCache>
                <c:formatCode>General</c:formatCode>
                <c:ptCount val="10"/>
                <c:pt idx="0">
                  <c:v>93</c:v>
                </c:pt>
                <c:pt idx="4">
                  <c:v>82.4</c:v>
                </c:pt>
                <c:pt idx="7">
                  <c:v>107</c:v>
                </c:pt>
                <c:pt idx="9">
                  <c:v>62</c:v>
                </c:pt>
              </c:numCache>
            </c:numRef>
          </c:xVal>
          <c:yVal>
            <c:numRef>
              <c:f>'Hub Mass &amp; Cost'!$P$44:$AB$44</c:f>
              <c:numCache>
                <c:formatCode>General</c:formatCode>
                <c:ptCount val="13"/>
                <c:pt idx="0" formatCode="0.0">
                  <c:v>338.58838627481487</c:v>
                </c:pt>
                <c:pt idx="4" formatCode="0.0">
                  <c:v>431.30404504590348</c:v>
                </c:pt>
                <c:pt idx="7" formatCode="0.0">
                  <c:v>400.35482234663164</c:v>
                </c:pt>
                <c:pt idx="9" formatCode="0.0">
                  <c:v>430.59609993644943</c:v>
                </c:pt>
              </c:numCache>
            </c:numRef>
          </c:yVal>
          <c:smooth val="0"/>
        </c:ser>
        <c:ser>
          <c:idx val="9"/>
          <c:order val="4"/>
          <c:tx>
            <c:v>Gamesa</c:v>
          </c:tx>
          <c:spPr>
            <a:ln w="28575">
              <a:noFill/>
            </a:ln>
          </c:spPr>
          <c:marker>
            <c:symbol val="square"/>
            <c:size val="8"/>
            <c:spPr>
              <a:solidFill>
                <a:srgbClr val="FF6600"/>
              </a:solidFill>
              <a:ln>
                <a:solidFill>
                  <a:srgbClr val="FF6600"/>
                </a:solidFill>
                <a:prstDash val="solid"/>
              </a:ln>
            </c:spPr>
          </c:marker>
          <c:xVal>
            <c:numRef>
              <c:f>('Hub Mass &amp; Cost'!$P$87,'Hub Mass &amp; Cost'!$T$87,'Hub Mass &amp; Cost'!$X$87,'Hub Mass &amp; Cost'!$AB$87,'Hub Mass &amp; Cost'!$AD$87)</c:f>
              <c:numCache>
                <c:formatCode>General</c:formatCode>
                <c:ptCount val="5"/>
                <c:pt idx="0">
                  <c:v>52</c:v>
                </c:pt>
                <c:pt idx="1">
                  <c:v>58</c:v>
                </c:pt>
                <c:pt idx="2">
                  <c:v>80</c:v>
                </c:pt>
                <c:pt idx="3">
                  <c:v>83</c:v>
                </c:pt>
                <c:pt idx="4">
                  <c:v>87</c:v>
                </c:pt>
              </c:numCache>
            </c:numRef>
          </c:xVal>
          <c:yVal>
            <c:numRef>
              <c:f>'Hub Mass &amp; Cost'!$P$92:$AF$92</c:f>
              <c:numCache>
                <c:formatCode>General</c:formatCode>
                <c:ptCount val="17"/>
                <c:pt idx="0" formatCode="0.0">
                  <c:v>400.2417207932279</c:v>
                </c:pt>
                <c:pt idx="4" formatCode="0.0">
                  <c:v>321.71629400264214</c:v>
                </c:pt>
                <c:pt idx="8" formatCode="0.0">
                  <c:v>397.88735772973831</c:v>
                </c:pt>
                <c:pt idx="12" formatCode="0.0">
                  <c:v>369.64422840329883</c:v>
                </c:pt>
                <c:pt idx="14" formatCode="0.0">
                  <c:v>336.43534013348204</c:v>
                </c:pt>
              </c:numCache>
            </c:numRef>
          </c:yVal>
          <c:smooth val="0"/>
        </c:ser>
        <c:ser>
          <c:idx val="7"/>
          <c:order val="5"/>
          <c:tx>
            <c:v>Clipper</c:v>
          </c:tx>
          <c:spPr>
            <a:ln w="28575">
              <a:noFill/>
            </a:ln>
          </c:spPr>
          <c:marker>
            <c:symbol val="square"/>
            <c:size val="8"/>
            <c:spPr>
              <a:solidFill>
                <a:srgbClr val="CC99FF"/>
              </a:solidFill>
              <a:ln>
                <a:solidFill>
                  <a:srgbClr val="CC99FF"/>
                </a:solidFill>
                <a:prstDash val="solid"/>
              </a:ln>
            </c:spPr>
          </c:marker>
          <c:xVal>
            <c:numRef>
              <c:f>'Hub Mass &amp; Cost'!$P$64</c:f>
              <c:numCache>
                <c:formatCode>General</c:formatCode>
                <c:ptCount val="1"/>
                <c:pt idx="0">
                  <c:v>93</c:v>
                </c:pt>
              </c:numCache>
            </c:numRef>
          </c:xVal>
          <c:yVal>
            <c:numRef>
              <c:f>'Hub Mass &amp; Cost'!$P$69</c:f>
              <c:numCache>
                <c:formatCode>0.0</c:formatCode>
                <c:ptCount val="1"/>
                <c:pt idx="0">
                  <c:v>368.03085464653799</c:v>
                </c:pt>
              </c:numCache>
            </c:numRef>
          </c:yVal>
          <c:smooth val="0"/>
        </c:ser>
        <c:ser>
          <c:idx val="4"/>
          <c:order val="6"/>
          <c:tx>
            <c:v>5 MW Baseline</c:v>
          </c:tx>
          <c:spPr>
            <a:ln w="28575">
              <a:noFill/>
            </a:ln>
          </c:spPr>
          <c:marker>
            <c:symbol val="diamond"/>
            <c:size val="8"/>
            <c:spPr>
              <a:solidFill>
                <a:srgbClr val="FF6600"/>
              </a:solidFill>
              <a:ln>
                <a:solidFill>
                  <a:srgbClr val="FF6600"/>
                </a:solidFill>
                <a:prstDash val="solid"/>
              </a:ln>
            </c:spPr>
          </c:marker>
          <c:xVal>
            <c:numRef>
              <c:f>'Hub Mass &amp; Cost'!$U$29</c:f>
              <c:numCache>
                <c:formatCode>General</c:formatCode>
                <c:ptCount val="1"/>
                <c:pt idx="0">
                  <c:v>126</c:v>
                </c:pt>
              </c:numCache>
            </c:numRef>
          </c:xVal>
          <c:yVal>
            <c:numRef>
              <c:f>'Hub Mass &amp; Cost'!$Y$29</c:f>
              <c:numCache>
                <c:formatCode>0.0</c:formatCode>
                <c:ptCount val="1"/>
                <c:pt idx="0">
                  <c:v>400.9950695185068</c:v>
                </c:pt>
              </c:numCache>
            </c:numRef>
          </c:yVal>
          <c:smooth val="0"/>
        </c:ser>
        <c:ser>
          <c:idx val="10"/>
          <c:order val="7"/>
          <c:tx>
            <c:v>Offshore 5 MW Models</c:v>
          </c:tx>
          <c:spPr>
            <a:ln w="28575">
              <a:noFill/>
            </a:ln>
          </c:spPr>
          <c:marker>
            <c:spPr>
              <a:solidFill>
                <a:srgbClr val="4BACC6">
                  <a:lumMod val="75000"/>
                  <a:alpha val="50000"/>
                </a:srgbClr>
              </a:solidFill>
              <a:ln>
                <a:solidFill>
                  <a:srgbClr val="4BACC6">
                    <a:lumMod val="75000"/>
                    <a:alpha val="50000"/>
                  </a:srgbClr>
                </a:solidFill>
              </a:ln>
            </c:spPr>
          </c:marker>
          <c:xVal>
            <c:numRef>
              <c:f>'Hub Mass &amp; Cost'!$Q$100:$T$100</c:f>
              <c:numCache>
                <c:formatCode>General</c:formatCode>
                <c:ptCount val="4"/>
                <c:pt idx="0">
                  <c:v>120</c:v>
                </c:pt>
                <c:pt idx="1">
                  <c:v>128</c:v>
                </c:pt>
                <c:pt idx="2">
                  <c:v>118</c:v>
                </c:pt>
                <c:pt idx="3">
                  <c:v>129</c:v>
                </c:pt>
              </c:numCache>
            </c:numRef>
          </c:xVal>
          <c:yVal>
            <c:numRef>
              <c:f>'Hub Mass &amp; Cost'!$Q$108:$T$108</c:f>
              <c:numCache>
                <c:formatCode>0.0</c:formatCode>
                <c:ptCount val="4"/>
                <c:pt idx="0">
                  <c:v>442.09706414415371</c:v>
                </c:pt>
                <c:pt idx="1">
                  <c:v>388.56187278294766</c:v>
                </c:pt>
                <c:pt idx="2">
                  <c:v>457.21040819274731</c:v>
                </c:pt>
                <c:pt idx="3">
                  <c:v>459.07320884628183</c:v>
                </c:pt>
              </c:numCache>
            </c:numRef>
          </c:yVal>
          <c:smooth val="0"/>
        </c:ser>
        <c:ser>
          <c:idx val="11"/>
          <c:order val="8"/>
          <c:tx>
            <c:v>Offshore 5 MW Turbines</c:v>
          </c:tx>
          <c:spPr>
            <a:ln w="28575">
              <a:noFill/>
            </a:ln>
          </c:spPr>
          <c:marker>
            <c:symbol val="triangle"/>
            <c:size val="7"/>
            <c:spPr>
              <a:solidFill>
                <a:schemeClr val="accent5">
                  <a:lumMod val="75000"/>
                </a:schemeClr>
              </a:solidFill>
              <a:ln>
                <a:solidFill>
                  <a:schemeClr val="accent5">
                    <a:lumMod val="75000"/>
                  </a:schemeClr>
                </a:solidFill>
              </a:ln>
            </c:spPr>
          </c:marker>
          <c:xVal>
            <c:numRef>
              <c:f>'Hub Mass &amp; Cost'!$U$100:$V$100</c:f>
              <c:numCache>
                <c:formatCode>General</c:formatCode>
                <c:ptCount val="2"/>
                <c:pt idx="0">
                  <c:v>116</c:v>
                </c:pt>
                <c:pt idx="1">
                  <c:v>126</c:v>
                </c:pt>
              </c:numCache>
            </c:numRef>
          </c:xVal>
          <c:yVal>
            <c:numRef>
              <c:f>'Hub Mass &amp; Cost'!$U$108:$V$108</c:f>
              <c:numCache>
                <c:formatCode>0.0</c:formatCode>
                <c:ptCount val="2"/>
                <c:pt idx="0">
                  <c:v>473.11219706270913</c:v>
                </c:pt>
                <c:pt idx="1">
                  <c:v>400.9950695185068</c:v>
                </c:pt>
              </c:numCache>
            </c:numRef>
          </c:yVal>
          <c:smooth val="0"/>
        </c:ser>
        <c:ser>
          <c:idx val="14"/>
          <c:order val="9"/>
          <c:tx>
            <c:v>AMSC 3.1 MW</c:v>
          </c:tx>
          <c:spPr>
            <a:ln w="28575">
              <a:noFill/>
            </a:ln>
          </c:spPr>
          <c:marker>
            <c:symbol val="circle"/>
            <c:size val="10"/>
            <c:spPr>
              <a:solidFill>
                <a:srgbClr val="02F83D"/>
              </a:solidFill>
              <a:ln>
                <a:noFill/>
              </a:ln>
            </c:spPr>
          </c:marker>
          <c:xVal>
            <c:numRef>
              <c:f>'Hub Mass &amp; Cost'!$Q$115</c:f>
              <c:numCache>
                <c:formatCode>General</c:formatCode>
                <c:ptCount val="1"/>
                <c:pt idx="0">
                  <c:v>115</c:v>
                </c:pt>
              </c:numCache>
            </c:numRef>
          </c:xVal>
          <c:yVal>
            <c:numRef>
              <c:f>'Hub Mass &amp; Cost'!$W$115</c:f>
              <c:numCache>
                <c:formatCode>0.0</c:formatCode>
                <c:ptCount val="1"/>
                <c:pt idx="0">
                  <c:v>481.37600935166836</c:v>
                </c:pt>
              </c:numCache>
            </c:numRef>
          </c:yVal>
          <c:smooth val="0"/>
        </c:ser>
        <c:ser>
          <c:idx val="13"/>
          <c:order val="10"/>
          <c:tx>
            <c:v>AMSC 6 MW</c:v>
          </c:tx>
          <c:spPr>
            <a:ln w="28575">
              <a:noFill/>
            </a:ln>
          </c:spPr>
          <c:marker>
            <c:symbol val="square"/>
            <c:size val="10"/>
            <c:spPr>
              <a:solidFill>
                <a:srgbClr val="02F83D">
                  <a:alpha val="80000"/>
                </a:srgbClr>
              </a:solidFill>
              <a:ln>
                <a:noFill/>
              </a:ln>
            </c:spPr>
          </c:marker>
          <c:xVal>
            <c:numRef>
              <c:f>'Hub Mass &amp; Cost'!$Q$116</c:f>
              <c:numCache>
                <c:formatCode>General</c:formatCode>
                <c:ptCount val="1"/>
                <c:pt idx="0">
                  <c:v>127.4</c:v>
                </c:pt>
              </c:numCache>
            </c:numRef>
          </c:xVal>
          <c:yVal>
            <c:numRef>
              <c:f>'Hub Mass &amp; Cost'!$W$116</c:f>
              <c:numCache>
                <c:formatCode>0.0</c:formatCode>
                <c:ptCount val="1"/>
                <c:pt idx="0">
                  <c:v>392.23041457552284</c:v>
                </c:pt>
              </c:numCache>
            </c:numRef>
          </c:yVal>
          <c:smooth val="0"/>
        </c:ser>
        <c:ser>
          <c:idx val="12"/>
          <c:order val="11"/>
          <c:tx>
            <c:v>AMSC 8 MW</c:v>
          </c:tx>
          <c:spPr>
            <a:ln w="28575">
              <a:noFill/>
            </a:ln>
          </c:spPr>
          <c:marker>
            <c:symbol val="triangle"/>
            <c:size val="10"/>
            <c:spPr>
              <a:solidFill>
                <a:srgbClr val="14FC1F"/>
              </a:solidFill>
              <a:ln>
                <a:noFill/>
              </a:ln>
            </c:spPr>
          </c:marker>
          <c:xVal>
            <c:numRef>
              <c:f>'Hub Mass &amp; Cost'!$Q$117</c:f>
              <c:numCache>
                <c:formatCode>General</c:formatCode>
                <c:ptCount val="1"/>
                <c:pt idx="0">
                  <c:v>138</c:v>
                </c:pt>
              </c:numCache>
            </c:numRef>
          </c:xVal>
          <c:yVal>
            <c:numRef>
              <c:f>'Hub Mass &amp; Cost'!$W$117</c:f>
              <c:numCache>
                <c:formatCode>0.0</c:formatCode>
                <c:ptCount val="1"/>
                <c:pt idx="0">
                  <c:v>668.57779076620602</c:v>
                </c:pt>
              </c:numCache>
            </c:numRef>
          </c:yVal>
          <c:smooth val="0"/>
        </c:ser>
        <c:ser>
          <c:idx val="3"/>
          <c:order val="12"/>
          <c:tx>
            <c:v>AMSC 10 MW</c:v>
          </c:tx>
          <c:spPr>
            <a:ln w="28575">
              <a:noFill/>
            </a:ln>
          </c:spPr>
          <c:marker>
            <c:symbol val="diamond"/>
            <c:size val="10"/>
            <c:spPr>
              <a:solidFill>
                <a:srgbClr val="02F83D"/>
              </a:solidFill>
              <a:ln>
                <a:noFill/>
              </a:ln>
            </c:spPr>
          </c:marker>
          <c:xVal>
            <c:numRef>
              <c:f>'Hub Mass &amp; Cost'!$Q$118</c:f>
              <c:numCache>
                <c:formatCode>General</c:formatCode>
                <c:ptCount val="1"/>
                <c:pt idx="0">
                  <c:v>149</c:v>
                </c:pt>
              </c:numCache>
            </c:numRef>
          </c:xVal>
          <c:yVal>
            <c:numRef>
              <c:f>'Hub Mass &amp; Cost'!$W$118</c:f>
              <c:numCache>
                <c:formatCode>0.0</c:formatCode>
                <c:ptCount val="1"/>
                <c:pt idx="0">
                  <c:v>573.50549287652041</c:v>
                </c:pt>
              </c:numCache>
            </c:numRef>
          </c:yVal>
          <c:smooth val="0"/>
        </c:ser>
        <c:ser>
          <c:idx val="1"/>
          <c:order val="13"/>
          <c:tx>
            <c:v>Properly Sized 10 MW </c:v>
          </c:tx>
          <c:spPr>
            <a:ln w="28575">
              <a:noFill/>
            </a:ln>
          </c:spPr>
          <c:marker>
            <c:symbol val="star"/>
            <c:size val="7"/>
            <c:spPr>
              <a:noFill/>
              <a:ln>
                <a:solidFill>
                  <a:srgbClr val="02F83D"/>
                </a:solidFill>
              </a:ln>
            </c:spPr>
          </c:marker>
          <c:xVal>
            <c:numRef>
              <c:f>'Hub Mass &amp; Cost'!$AT$48</c:f>
              <c:numCache>
                <c:formatCode>General</c:formatCode>
                <c:ptCount val="1"/>
                <c:pt idx="0">
                  <c:v>170</c:v>
                </c:pt>
              </c:numCache>
            </c:numRef>
          </c:xVal>
          <c:yVal>
            <c:numRef>
              <c:f>'Hub Mass &amp; Cost'!$AT$49</c:f>
              <c:numCache>
                <c:formatCode>0.0</c:formatCode>
                <c:ptCount val="1"/>
                <c:pt idx="0">
                  <c:v>440.56731651735737</c:v>
                </c:pt>
              </c:numCache>
            </c:numRef>
          </c:yVal>
          <c:smooth val="0"/>
        </c:ser>
        <c:dLbls>
          <c:showLegendKey val="0"/>
          <c:showVal val="0"/>
          <c:showCatName val="0"/>
          <c:showSerName val="0"/>
          <c:showPercent val="0"/>
          <c:showBubbleSize val="0"/>
        </c:dLbls>
        <c:axId val="137055616"/>
        <c:axId val="137070464"/>
      </c:scatterChart>
      <c:valAx>
        <c:axId val="137055616"/>
        <c:scaling>
          <c:orientation val="minMax"/>
        </c:scaling>
        <c:delete val="0"/>
        <c:axPos val="b"/>
        <c:title>
          <c:tx>
            <c:rich>
              <a:bodyPr/>
              <a:lstStyle/>
              <a:p>
                <a:pPr>
                  <a:defRPr sz="1425" b="1" i="0" u="none" strike="noStrike" baseline="0">
                    <a:solidFill>
                      <a:srgbClr val="000000"/>
                    </a:solidFill>
                    <a:latin typeface="Arial"/>
                    <a:ea typeface="Arial"/>
                    <a:cs typeface="Arial"/>
                  </a:defRPr>
                </a:pPr>
                <a:r>
                  <a:t>Rotor Diameter (m)</a:t>
                </a:r>
              </a:p>
            </c:rich>
          </c:tx>
          <c:layout>
            <c:manualLayout>
              <c:xMode val="edge"/>
              <c:yMode val="edge"/>
              <c:x val="0.44146865104680999"/>
              <c:y val="0.92523442007765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37070464"/>
        <c:crosses val="autoZero"/>
        <c:crossBetween val="midCat"/>
      </c:valAx>
      <c:valAx>
        <c:axId val="137070464"/>
        <c:scaling>
          <c:orientation val="minMax"/>
        </c:scaling>
        <c:delete val="0"/>
        <c:axPos val="l"/>
        <c:majorGridlines>
          <c:spPr>
            <a:ln w="3175">
              <a:solidFill>
                <a:srgbClr val="000000"/>
              </a:solidFill>
              <a:prstDash val="solid"/>
            </a:ln>
          </c:spPr>
        </c:majorGridlines>
        <c:title>
          <c:tx>
            <c:rich>
              <a:bodyPr/>
              <a:lstStyle/>
              <a:p>
                <a:pPr>
                  <a:defRPr sz="1600" b="1" i="0" u="none" strike="noStrike" baseline="0">
                    <a:solidFill>
                      <a:srgbClr val="000000"/>
                    </a:solidFill>
                    <a:latin typeface="Calibri"/>
                    <a:ea typeface="Calibri"/>
                    <a:cs typeface="Calibri"/>
                  </a:defRPr>
                </a:pPr>
                <a:r>
                  <a:t>Machine Rating/Swept Area (W/m^2)</a:t>
                </a:r>
              </a:p>
            </c:rich>
          </c:tx>
          <c:layout>
            <c:manualLayout>
              <c:xMode val="edge"/>
              <c:yMode val="edge"/>
              <c:x val="1.0251310151159E-2"/>
              <c:y val="0.172712435738922"/>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37055616"/>
        <c:crosses val="autoZero"/>
        <c:crossBetween val="midCat"/>
      </c:valAx>
      <c:spPr>
        <a:noFill/>
        <a:ln w="25400">
          <a:noFill/>
        </a:ln>
      </c:spPr>
    </c:plotArea>
    <c:legend>
      <c:legendPos val="r"/>
      <c:layout>
        <c:manualLayout>
          <c:xMode val="edge"/>
          <c:yMode val="edge"/>
          <c:wMode val="edge"/>
          <c:hMode val="edge"/>
          <c:x val="0.112142180895535"/>
          <c:y val="8.6815990976334606E-2"/>
          <c:w val="0.31471849592607998"/>
          <c:h val="0.64734075182751005"/>
        </c:manualLayout>
      </c:layout>
      <c:overlay val="0"/>
      <c:spPr>
        <a:solidFill>
          <a:srgbClr val="FFFFFF"/>
        </a:solidFill>
        <a:ln w="3175">
          <a:solidFill>
            <a:srgbClr val="000000"/>
          </a:solidFill>
          <a:prstDash val="solid"/>
        </a:ln>
      </c:spPr>
      <c:txPr>
        <a:bodyPr/>
        <a:lstStyle/>
        <a:p>
          <a:pPr>
            <a:defRPr sz="65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100" b="1" i="0" u="none" strike="noStrike" baseline="0">
                <a:solidFill>
                  <a:srgbClr val="000000"/>
                </a:solidFill>
                <a:latin typeface="Arial"/>
                <a:ea typeface="Arial"/>
                <a:cs typeface="Arial"/>
              </a:defRPr>
            </a:pPr>
            <a:r>
              <a:t>Hub Mass vs Blade Mass</a:t>
            </a:r>
          </a:p>
        </c:rich>
      </c:tx>
      <c:layout>
        <c:manualLayout>
          <c:xMode val="edge"/>
          <c:yMode val="edge"/>
          <c:x val="0.24170135372082699"/>
          <c:y val="2.9013631360595999E-2"/>
        </c:manualLayout>
      </c:layout>
      <c:overlay val="0"/>
      <c:spPr>
        <a:noFill/>
        <a:ln w="25400">
          <a:noFill/>
        </a:ln>
      </c:spPr>
    </c:title>
    <c:autoTitleDeleted val="0"/>
    <c:plotArea>
      <c:layout>
        <c:manualLayout>
          <c:layoutTarget val="inner"/>
          <c:xMode val="edge"/>
          <c:yMode val="edge"/>
          <c:x val="0.147302979175605"/>
          <c:y val="0.23984548764420699"/>
          <c:w val="0.81639045500845697"/>
          <c:h val="0.57060015205678405"/>
        </c:manualLayout>
      </c:layout>
      <c:scatterChart>
        <c:scatterStyle val="smoothMarker"/>
        <c:varyColors val="0"/>
        <c:ser>
          <c:idx val="0"/>
          <c:order val="0"/>
          <c:tx>
            <c:v>WindPACT baseline design</c:v>
          </c:tx>
          <c:spPr>
            <a:ln w="28575">
              <a:noFill/>
            </a:ln>
          </c:spPr>
          <c:marker>
            <c:symbol val="diamond"/>
            <c:size val="8"/>
            <c:spPr>
              <a:noFill/>
              <a:ln>
                <a:solidFill>
                  <a:srgbClr val="000080"/>
                </a:solidFill>
                <a:prstDash val="solid"/>
              </a:ln>
            </c:spPr>
          </c:marker>
          <c:trendline>
            <c:name>WindPACT Linear Fit</c:name>
            <c:spPr>
              <a:ln w="25400">
                <a:solidFill>
                  <a:srgbClr val="000000"/>
                </a:solidFill>
                <a:prstDash val="lgDash"/>
              </a:ln>
            </c:spPr>
            <c:trendlineType val="linear"/>
            <c:dispRSqr val="1"/>
            <c:dispEq val="1"/>
            <c:trendlineLbl>
              <c:layout>
                <c:manualLayout>
                  <c:x val="0.118866433442439"/>
                  <c:y val="-7.4354876041439005E-2"/>
                </c:manualLayout>
              </c:layout>
              <c:tx>
                <c:rich>
                  <a:bodyPr/>
                  <a:lstStyle/>
                  <a:p>
                    <a:pPr>
                      <a:defRPr sz="2575" b="0" i="0" u="none" strike="noStrike" baseline="0">
                        <a:solidFill>
                          <a:srgbClr val="000000"/>
                        </a:solidFill>
                        <a:latin typeface="Arial"/>
                        <a:ea typeface="Arial"/>
                        <a:cs typeface="Arial"/>
                      </a:defRPr>
                    </a:pPr>
                    <a:r>
                      <a:rPr lang="en-US" sz="1175" b="0" i="0" u="none" strike="noStrike" baseline="0">
                        <a:solidFill>
                          <a:srgbClr val="000000"/>
                        </a:solidFill>
                        <a:latin typeface="Arial"/>
                        <a:cs typeface="Arial"/>
                      </a:rPr>
                      <a:t>WindPACT:  y = 3.7674x - 702.88</a:t>
                    </a:r>
                  </a:p>
                  <a:p>
                    <a:pPr>
                      <a:defRPr sz="2575" b="0" i="0" u="none" strike="noStrike" baseline="0">
                        <a:solidFill>
                          <a:srgbClr val="000000"/>
                        </a:solidFill>
                        <a:latin typeface="Arial"/>
                        <a:ea typeface="Arial"/>
                        <a:cs typeface="Arial"/>
                      </a:defRPr>
                    </a:pPr>
                    <a:r>
                      <a:rPr lang="en-US" sz="1175" b="0" i="0" u="none" strike="noStrike" baseline="0">
                        <a:solidFill>
                          <a:srgbClr val="000000"/>
                        </a:solidFill>
                        <a:latin typeface="Arial"/>
                        <a:cs typeface="Arial"/>
                      </a:rPr>
                      <a:t>R</a:t>
                    </a:r>
                    <a:r>
                      <a:rPr lang="en-US" sz="1175" b="0" i="0" u="none" strike="noStrike" baseline="30000">
                        <a:solidFill>
                          <a:srgbClr val="000000"/>
                        </a:solidFill>
                        <a:latin typeface="Arial"/>
                        <a:cs typeface="Arial"/>
                      </a:rPr>
                      <a:t>2</a:t>
                    </a:r>
                    <a:r>
                      <a:rPr lang="en-US" sz="1175" b="0" i="0" u="none" strike="noStrike" baseline="0">
                        <a:solidFill>
                          <a:srgbClr val="000000"/>
                        </a:solidFill>
                        <a:latin typeface="Arial"/>
                        <a:cs typeface="Arial"/>
                      </a:rPr>
                      <a:t> = 0.9989</a:t>
                    </a:r>
                  </a:p>
                </c:rich>
              </c:tx>
              <c:numFmt formatCode="General" sourceLinked="0"/>
              <c:spPr>
                <a:solidFill>
                  <a:srgbClr val="FFFFFF"/>
                </a:solidFill>
                <a:ln w="25400">
                  <a:noFill/>
                </a:ln>
              </c:spPr>
            </c:trendlineLbl>
          </c:trendline>
          <c:xVal>
            <c:numRef>
              <c:f>'Hub Mass &amp; Cost'!$B$25:$B$28</c:f>
              <c:numCache>
                <c:formatCode>0</c:formatCode>
                <c:ptCount val="4"/>
                <c:pt idx="0">
                  <c:v>1818</c:v>
                </c:pt>
                <c:pt idx="1">
                  <c:v>4230</c:v>
                </c:pt>
                <c:pt idx="2">
                  <c:v>12936</c:v>
                </c:pt>
                <c:pt idx="3">
                  <c:v>27239</c:v>
                </c:pt>
              </c:numCache>
            </c:numRef>
          </c:xVal>
          <c:yVal>
            <c:numRef>
              <c:f>'Hub Mass &amp; Cost'!$D$25:$D$28</c:f>
              <c:numCache>
                <c:formatCode>General</c:formatCode>
                <c:ptCount val="4"/>
                <c:pt idx="0">
                  <c:v>5086</c:v>
                </c:pt>
                <c:pt idx="1">
                  <c:v>15104</c:v>
                </c:pt>
                <c:pt idx="2">
                  <c:v>50124</c:v>
                </c:pt>
                <c:pt idx="3">
                  <c:v>101014</c:v>
                </c:pt>
              </c:numCache>
            </c:numRef>
          </c:yVal>
          <c:smooth val="1"/>
        </c:ser>
        <c:ser>
          <c:idx val="1"/>
          <c:order val="1"/>
          <c:tx>
            <c:v>Manufacturer data</c:v>
          </c:tx>
          <c:spPr>
            <a:ln w="28575">
              <a:noFill/>
            </a:ln>
          </c:spPr>
          <c:marker>
            <c:symbol val="square"/>
            <c:size val="8"/>
            <c:spPr>
              <a:solidFill>
                <a:srgbClr val="FF00FF"/>
              </a:solidFill>
              <a:ln>
                <a:solidFill>
                  <a:srgbClr val="FF00FF"/>
                </a:solidFill>
                <a:prstDash val="solid"/>
              </a:ln>
            </c:spPr>
          </c:marker>
          <c:trendline>
            <c:name>Manufacturer Data Linear Fit</c:name>
            <c:spPr>
              <a:ln w="25400">
                <a:solidFill>
                  <a:srgbClr val="000000"/>
                </a:solidFill>
                <a:prstDash val="solid"/>
              </a:ln>
            </c:spPr>
            <c:trendlineType val="linear"/>
            <c:forward val="10000"/>
            <c:backward val="1000"/>
            <c:dispRSqr val="1"/>
            <c:dispEq val="1"/>
            <c:trendlineLbl>
              <c:layout>
                <c:manualLayout>
                  <c:x val="0.19422118034032501"/>
                  <c:y val="-0.12540156426245699"/>
                </c:manualLayout>
              </c:layout>
              <c:tx>
                <c:rich>
                  <a:bodyPr/>
                  <a:lstStyle/>
                  <a:p>
                    <a:pPr>
                      <a:defRPr sz="2575" b="0" i="0" u="none" strike="noStrike" baseline="0">
                        <a:solidFill>
                          <a:srgbClr val="000000"/>
                        </a:solidFill>
                        <a:latin typeface="Arial"/>
                        <a:ea typeface="Arial"/>
                        <a:cs typeface="Arial"/>
                      </a:defRPr>
                    </a:pPr>
                    <a:r>
                      <a:rPr lang="en-US" sz="1175" b="0" i="0" u="none" strike="noStrike" baseline="0">
                        <a:solidFill>
                          <a:srgbClr val="000000"/>
                        </a:solidFill>
                        <a:latin typeface="Arial"/>
                        <a:cs typeface="Arial"/>
                      </a:rPr>
                      <a:t>Man. Data:  y = 0.954x + 5680.3</a:t>
                    </a:r>
                  </a:p>
                  <a:p>
                    <a:pPr>
                      <a:defRPr sz="2575" b="0" i="0" u="none" strike="noStrike" baseline="0">
                        <a:solidFill>
                          <a:srgbClr val="000000"/>
                        </a:solidFill>
                        <a:latin typeface="Arial"/>
                        <a:ea typeface="Arial"/>
                        <a:cs typeface="Arial"/>
                      </a:defRPr>
                    </a:pPr>
                    <a:r>
                      <a:rPr lang="en-US" sz="1175" b="0" i="0" u="none" strike="noStrike" baseline="0">
                        <a:solidFill>
                          <a:srgbClr val="000000"/>
                        </a:solidFill>
                        <a:latin typeface="Arial"/>
                        <a:cs typeface="Arial"/>
                      </a:rPr>
                      <a:t>R</a:t>
                    </a:r>
                    <a:r>
                      <a:rPr lang="en-US" sz="1175" b="0" i="0" u="none" strike="noStrike" baseline="30000">
                        <a:solidFill>
                          <a:srgbClr val="000000"/>
                        </a:solidFill>
                        <a:latin typeface="Arial"/>
                        <a:cs typeface="Arial"/>
                      </a:rPr>
                      <a:t>2</a:t>
                    </a:r>
                    <a:r>
                      <a:rPr lang="en-US" sz="1175" b="0" i="0" u="none" strike="noStrike" baseline="0">
                        <a:solidFill>
                          <a:srgbClr val="000000"/>
                        </a:solidFill>
                        <a:latin typeface="Arial"/>
                        <a:cs typeface="Arial"/>
                      </a:rPr>
                      <a:t> = 0.3978</a:t>
                    </a:r>
                  </a:p>
                </c:rich>
              </c:tx>
              <c:numFmt formatCode="General" sourceLinked="0"/>
              <c:spPr>
                <a:solidFill>
                  <a:srgbClr val="FFFFFF"/>
                </a:solidFill>
                <a:ln w="25400">
                  <a:noFill/>
                </a:ln>
              </c:spPr>
            </c:trendlineLbl>
          </c:trendline>
          <c:xVal>
            <c:numRef>
              <c:f>'Hub Mass &amp; Cost'!$B$17:$B$21</c:f>
              <c:numCache>
                <c:formatCode>0</c:formatCode>
                <c:ptCount val="5"/>
                <c:pt idx="0">
                  <c:v>3133.3333333333335</c:v>
                </c:pt>
                <c:pt idx="1">
                  <c:v>4648.666666666667</c:v>
                </c:pt>
                <c:pt idx="2">
                  <c:v>6066.666666666667</c:v>
                </c:pt>
                <c:pt idx="3">
                  <c:v>10000</c:v>
                </c:pt>
                <c:pt idx="4">
                  <c:v>12679.333333333334</c:v>
                </c:pt>
              </c:numCache>
            </c:numRef>
          </c:xVal>
          <c:yVal>
            <c:numRef>
              <c:f>'Hub Mass &amp; Cost'!$E$17:$E$21</c:f>
              <c:numCache>
                <c:formatCode>General</c:formatCode>
                <c:ptCount val="5"/>
                <c:pt idx="0">
                  <c:v>2000</c:v>
                </c:pt>
                <c:pt idx="1">
                  <c:v>15000</c:v>
                </c:pt>
                <c:pt idx="2">
                  <c:v>15000</c:v>
                </c:pt>
                <c:pt idx="3">
                  <c:v>15625</c:v>
                </c:pt>
                <c:pt idx="4">
                  <c:v>15625</c:v>
                </c:pt>
              </c:numCache>
            </c:numRef>
          </c:yVal>
          <c:smooth val="1"/>
        </c:ser>
        <c:ser>
          <c:idx val="2"/>
          <c:order val="2"/>
          <c:tx>
            <c:v>WindPACT Final design</c:v>
          </c:tx>
          <c:spPr>
            <a:ln w="28575">
              <a:noFill/>
            </a:ln>
          </c:spPr>
          <c:marker>
            <c:symbol val="diamond"/>
            <c:size val="8"/>
            <c:spPr>
              <a:noFill/>
              <a:ln>
                <a:solidFill>
                  <a:srgbClr val="FF0000"/>
                </a:solidFill>
                <a:prstDash val="solid"/>
              </a:ln>
            </c:spPr>
          </c:marker>
          <c:xVal>
            <c:numRef>
              <c:f>'Hub Mass &amp; Cost'!$B$22:$B$24</c:f>
              <c:numCache>
                <c:formatCode>0</c:formatCode>
                <c:ptCount val="3"/>
                <c:pt idx="0">
                  <c:v>868</c:v>
                </c:pt>
                <c:pt idx="1">
                  <c:v>2281</c:v>
                </c:pt>
                <c:pt idx="2">
                  <c:v>5463</c:v>
                </c:pt>
              </c:numCache>
            </c:numRef>
          </c:xVal>
          <c:yVal>
            <c:numRef>
              <c:f>'Hub Mass &amp; Cost'!$D$22:$D$24</c:f>
              <c:numCache>
                <c:formatCode>General</c:formatCode>
                <c:ptCount val="3"/>
                <c:pt idx="0">
                  <c:v>2464</c:v>
                </c:pt>
                <c:pt idx="1">
                  <c:v>8063</c:v>
                </c:pt>
                <c:pt idx="2">
                  <c:v>21270</c:v>
                </c:pt>
              </c:numCache>
            </c:numRef>
          </c:yVal>
          <c:smooth val="1"/>
        </c:ser>
        <c:ser>
          <c:idx val="3"/>
          <c:order val="3"/>
          <c:tx>
            <c:v>Current Design</c:v>
          </c:tx>
          <c:spPr>
            <a:ln w="28575">
              <a:noFill/>
            </a:ln>
          </c:spPr>
          <c:marker>
            <c:symbol val="circle"/>
            <c:size val="14"/>
            <c:spPr>
              <a:solidFill>
                <a:srgbClr val="00FF00"/>
              </a:solidFill>
              <a:ln>
                <a:solidFill>
                  <a:srgbClr val="00FF00"/>
                </a:solidFill>
                <a:prstDash val="solid"/>
              </a:ln>
            </c:spPr>
          </c:marker>
          <c:xVal>
            <c:numRef>
              <c:f>'Hub Mass &amp; Cost'!$H$9</c:f>
              <c:numCache>
                <c:formatCode>General</c:formatCode>
                <c:ptCount val="1"/>
                <c:pt idx="0">
                  <c:v>9082.8670624211954</c:v>
                </c:pt>
              </c:numCache>
            </c:numRef>
          </c:xVal>
          <c:yVal>
            <c:numRef>
              <c:f>'Hub Mass &amp; Cost'!$I$9</c:f>
              <c:numCache>
                <c:formatCode>0</c:formatCode>
                <c:ptCount val="1"/>
                <c:pt idx="0">
                  <c:v>14345.55787151434</c:v>
                </c:pt>
              </c:numCache>
            </c:numRef>
          </c:yVal>
          <c:smooth val="1"/>
        </c:ser>
        <c:ser>
          <c:idx val="4"/>
          <c:order val="4"/>
          <c:spPr>
            <a:ln w="28575">
              <a:noFill/>
            </a:ln>
          </c:spPr>
          <c:marker>
            <c:symbol val="star"/>
            <c:size val="8"/>
            <c:spPr>
              <a:noFill/>
              <a:ln>
                <a:solidFill>
                  <a:srgbClr val="800080"/>
                </a:solidFill>
                <a:prstDash val="solid"/>
              </a:ln>
            </c:spPr>
          </c:marker>
          <c:trendline>
            <c:spPr>
              <a:ln w="25400">
                <a:solidFill>
                  <a:srgbClr val="000000"/>
                </a:solidFill>
                <a:prstDash val="sysDash"/>
              </a:ln>
            </c:spPr>
            <c:trendlineType val="linear"/>
            <c:dispRSqr val="1"/>
            <c:dispEq val="1"/>
            <c:trendlineLbl>
              <c:layout>
                <c:manualLayout>
                  <c:x val="-5.7281581851209101E-2"/>
                  <c:y val="-0.19342374229093001"/>
                </c:manualLayout>
              </c:layout>
              <c:numFmt formatCode="General" sourceLinked="0"/>
              <c:spPr>
                <a:noFill/>
                <a:ln w="25400">
                  <a:noFill/>
                </a:ln>
              </c:spPr>
              <c:txPr>
                <a:bodyPr/>
                <a:lstStyle/>
                <a:p>
                  <a:pPr>
                    <a:defRPr sz="1150" b="0" i="0" u="none" strike="noStrike" baseline="0">
                      <a:solidFill>
                        <a:srgbClr val="000000"/>
                      </a:solidFill>
                      <a:latin typeface="Arial"/>
                      <a:ea typeface="Arial"/>
                      <a:cs typeface="Arial"/>
                    </a:defRPr>
                  </a:pPr>
                  <a:endParaRPr lang="en-US"/>
                </a:p>
              </c:txPr>
            </c:trendlineLbl>
          </c:trendline>
          <c:xVal>
            <c:numRef>
              <c:f>'Hub Mass &amp; Cost'!$B$22:$B$28</c:f>
              <c:numCache>
                <c:formatCode>0</c:formatCode>
                <c:ptCount val="7"/>
                <c:pt idx="0">
                  <c:v>868</c:v>
                </c:pt>
                <c:pt idx="1">
                  <c:v>2281</c:v>
                </c:pt>
                <c:pt idx="2">
                  <c:v>5463</c:v>
                </c:pt>
                <c:pt idx="3">
                  <c:v>1818</c:v>
                </c:pt>
                <c:pt idx="4">
                  <c:v>4230</c:v>
                </c:pt>
                <c:pt idx="5">
                  <c:v>12936</c:v>
                </c:pt>
                <c:pt idx="6">
                  <c:v>27239</c:v>
                </c:pt>
              </c:numCache>
            </c:numRef>
          </c:xVal>
          <c:yVal>
            <c:numRef>
              <c:f>'Hub Mass &amp; Cost'!$J$22:$J$28</c:f>
              <c:numCache>
                <c:formatCode>General</c:formatCode>
                <c:ptCount val="7"/>
              </c:numCache>
            </c:numRef>
          </c:yVal>
          <c:smooth val="1"/>
        </c:ser>
        <c:dLbls>
          <c:showLegendKey val="0"/>
          <c:showVal val="0"/>
          <c:showCatName val="0"/>
          <c:showSerName val="0"/>
          <c:showPercent val="0"/>
          <c:showBubbleSize val="0"/>
        </c:dLbls>
        <c:axId val="137265152"/>
        <c:axId val="137267072"/>
      </c:scatterChart>
      <c:valAx>
        <c:axId val="137265152"/>
        <c:scaling>
          <c:orientation val="minMax"/>
        </c:scaling>
        <c:delete val="0"/>
        <c:axPos val="b"/>
        <c:title>
          <c:tx>
            <c:rich>
              <a:bodyPr/>
              <a:lstStyle/>
              <a:p>
                <a:pPr>
                  <a:defRPr sz="1475" b="1" i="0" u="none" strike="noStrike" baseline="0">
                    <a:solidFill>
                      <a:srgbClr val="000000"/>
                    </a:solidFill>
                    <a:latin typeface="Arial"/>
                    <a:ea typeface="Arial"/>
                    <a:cs typeface="Arial"/>
                  </a:defRPr>
                </a:pPr>
                <a:r>
                  <a:t>Blade Mass (kg)</a:t>
                </a:r>
              </a:p>
            </c:rich>
          </c:tx>
          <c:layout>
            <c:manualLayout>
              <c:xMode val="edge"/>
              <c:yMode val="edge"/>
              <c:x val="0.47302926345825203"/>
              <c:y val="0.89748639105120798"/>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475" b="0" i="0" u="none" strike="noStrike" baseline="0">
                <a:solidFill>
                  <a:srgbClr val="000000"/>
                </a:solidFill>
                <a:latin typeface="Arial"/>
                <a:ea typeface="Arial"/>
                <a:cs typeface="Arial"/>
              </a:defRPr>
            </a:pPr>
            <a:endParaRPr lang="en-US"/>
          </a:p>
        </c:txPr>
        <c:crossAx val="137267072"/>
        <c:crosses val="autoZero"/>
        <c:crossBetween val="midCat"/>
      </c:valAx>
      <c:valAx>
        <c:axId val="137267072"/>
        <c:scaling>
          <c:orientation val="minMax"/>
        </c:scaling>
        <c:delete val="0"/>
        <c:axPos val="l"/>
        <c:majorGridlines>
          <c:spPr>
            <a:ln w="3175">
              <a:solidFill>
                <a:srgbClr val="000000"/>
              </a:solidFill>
              <a:prstDash val="solid"/>
            </a:ln>
          </c:spPr>
        </c:majorGridlines>
        <c:title>
          <c:tx>
            <c:rich>
              <a:bodyPr/>
              <a:lstStyle/>
              <a:p>
                <a:pPr>
                  <a:defRPr sz="1475" b="1" i="0" u="none" strike="noStrike" baseline="0">
                    <a:solidFill>
                      <a:srgbClr val="000000"/>
                    </a:solidFill>
                    <a:latin typeface="Arial"/>
                    <a:ea typeface="Arial"/>
                    <a:cs typeface="Arial"/>
                  </a:defRPr>
                </a:pPr>
                <a:r>
                  <a:t>Hub Mass (kg)</a:t>
                </a:r>
              </a:p>
            </c:rich>
          </c:tx>
          <c:layout>
            <c:manualLayout>
              <c:xMode val="edge"/>
              <c:yMode val="edge"/>
              <c:x val="2.28215767634855E-2"/>
              <c:y val="0.386847554871580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75" b="0" i="0" u="none" strike="noStrike" baseline="0">
                <a:solidFill>
                  <a:srgbClr val="000000"/>
                </a:solidFill>
                <a:latin typeface="Arial"/>
                <a:ea typeface="Arial"/>
                <a:cs typeface="Arial"/>
              </a:defRPr>
            </a:pPr>
            <a:endParaRPr lang="en-US"/>
          </a:p>
        </c:txPr>
        <c:crossAx val="137265152"/>
        <c:crosses val="autoZero"/>
        <c:crossBetween val="midCat"/>
      </c:valAx>
      <c:spPr>
        <a:noFill/>
        <a:ln w="25400">
          <a:noFill/>
        </a:ln>
      </c:spPr>
    </c:plotArea>
    <c:legend>
      <c:legendPos val="r"/>
      <c:legendEntry>
        <c:idx val="7"/>
        <c:delete val="1"/>
      </c:legendEntry>
      <c:layout>
        <c:manualLayout>
          <c:xMode val="edge"/>
          <c:yMode val="edge"/>
          <c:wMode val="edge"/>
          <c:hMode val="edge"/>
          <c:x val="0.22925322094074299"/>
          <c:y val="0.232108453236514"/>
          <c:w val="0.49896287341675799"/>
          <c:h val="0.46615129465553001"/>
        </c:manualLayout>
      </c:layout>
      <c:overlay val="0"/>
      <c:spPr>
        <a:solidFill>
          <a:srgbClr val="FFFFFF"/>
        </a:solidFill>
        <a:ln w="3175">
          <a:solidFill>
            <a:srgbClr val="000000"/>
          </a:solidFill>
          <a:prstDash val="solid"/>
        </a:ln>
      </c:spPr>
      <c:txPr>
        <a:bodyPr/>
        <a:lstStyle/>
        <a:p>
          <a:pPr>
            <a:defRPr sz="65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00"/>
    </a:solidFill>
    <a:ln w="3175">
      <a:solidFill>
        <a:srgbClr val="000000"/>
      </a:solidFill>
      <a:prstDash val="solid"/>
    </a:ln>
  </c:spPr>
  <c:txPr>
    <a:bodyPr/>
    <a:lstStyle/>
    <a:p>
      <a:pPr>
        <a:defRPr sz="2575"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3730918018085E-2"/>
          <c:y val="5.0467335779913698E-2"/>
          <c:w val="0.90377071685376098"/>
          <c:h val="0.80934653306306004"/>
        </c:manualLayout>
      </c:layout>
      <c:scatterChart>
        <c:scatterStyle val="lineMarker"/>
        <c:varyColors val="0"/>
        <c:ser>
          <c:idx val="5"/>
          <c:order val="0"/>
          <c:tx>
            <c:v>WindPACT Baseline</c:v>
          </c:tx>
          <c:spPr>
            <a:ln w="6350">
              <a:solidFill>
                <a:schemeClr val="tx1"/>
              </a:solidFill>
            </a:ln>
          </c:spPr>
          <c:marker>
            <c:symbol val="diamond"/>
            <c:size val="8"/>
            <c:spPr>
              <a:noFill/>
              <a:ln>
                <a:solidFill>
                  <a:srgbClr val="000080"/>
                </a:solidFill>
                <a:prstDash val="solid"/>
              </a:ln>
            </c:spPr>
          </c:marker>
          <c:xVal>
            <c:numRef>
              <c:f>'Nacelle Mass'!$P$57:$S$57</c:f>
              <c:numCache>
                <c:formatCode>General</c:formatCode>
                <c:ptCount val="4"/>
                <c:pt idx="0">
                  <c:v>50</c:v>
                </c:pt>
                <c:pt idx="1">
                  <c:v>70</c:v>
                </c:pt>
                <c:pt idx="2">
                  <c:v>99</c:v>
                </c:pt>
                <c:pt idx="3">
                  <c:v>128</c:v>
                </c:pt>
              </c:numCache>
            </c:numRef>
          </c:xVal>
          <c:yVal>
            <c:numRef>
              <c:f>'Nacelle Mass'!$P$58:$S$58</c:f>
              <c:numCache>
                <c:formatCode>General</c:formatCode>
                <c:ptCount val="4"/>
                <c:pt idx="0">
                  <c:v>20.905000000000001</c:v>
                </c:pt>
                <c:pt idx="1">
                  <c:v>52.838999999999999</c:v>
                </c:pt>
                <c:pt idx="2">
                  <c:v>132.59800000000001</c:v>
                </c:pt>
                <c:pt idx="3">
                  <c:v>270.66899999999998</c:v>
                </c:pt>
              </c:numCache>
            </c:numRef>
          </c:yVal>
          <c:smooth val="0"/>
        </c:ser>
        <c:ser>
          <c:idx val="6"/>
          <c:order val="1"/>
          <c:tx>
            <c:v>WindPACT Final</c:v>
          </c:tx>
          <c:spPr>
            <a:ln w="6350">
              <a:solidFill>
                <a:schemeClr val="tx1"/>
              </a:solidFill>
              <a:prstDash val="lgDash"/>
            </a:ln>
          </c:spPr>
          <c:marker>
            <c:symbol val="diamond"/>
            <c:size val="8"/>
            <c:spPr>
              <a:noFill/>
              <a:ln>
                <a:solidFill>
                  <a:srgbClr val="FF0000"/>
                </a:solidFill>
                <a:prstDash val="solid"/>
              </a:ln>
            </c:spPr>
          </c:marker>
          <c:xVal>
            <c:numRef>
              <c:f>'Nacelle Mass'!$T$57:$V$57</c:f>
              <c:numCache>
                <c:formatCode>General</c:formatCode>
                <c:ptCount val="3"/>
                <c:pt idx="0">
                  <c:v>50</c:v>
                </c:pt>
                <c:pt idx="1">
                  <c:v>70</c:v>
                </c:pt>
                <c:pt idx="2">
                  <c:v>99</c:v>
                </c:pt>
              </c:numCache>
            </c:numRef>
          </c:xVal>
          <c:yVal>
            <c:numRef>
              <c:f>'Nacelle Mass'!$T$58:$V$58</c:f>
              <c:numCache>
                <c:formatCode>General</c:formatCode>
                <c:ptCount val="3"/>
                <c:pt idx="0">
                  <c:v>19.143000000000001</c:v>
                </c:pt>
                <c:pt idx="1">
                  <c:v>45.917000000000002</c:v>
                </c:pt>
                <c:pt idx="2">
                  <c:v>111.86799999999999</c:v>
                </c:pt>
              </c:numCache>
            </c:numRef>
          </c:yVal>
          <c:smooth val="0"/>
        </c:ser>
        <c:ser>
          <c:idx val="0"/>
          <c:order val="2"/>
          <c:tx>
            <c:v>Vestas</c:v>
          </c:tx>
          <c:spPr>
            <a:ln w="28575">
              <a:noFill/>
            </a:ln>
          </c:spPr>
          <c:marker>
            <c:symbol val="square"/>
            <c:size val="8"/>
            <c:spPr>
              <a:solidFill>
                <a:srgbClr val="993366"/>
              </a:solidFill>
              <a:ln>
                <a:solidFill>
                  <a:srgbClr val="993366"/>
                </a:solidFill>
                <a:prstDash val="solid"/>
              </a:ln>
            </c:spPr>
          </c:marker>
          <c:xVal>
            <c:numRef>
              <c:f>'Nacelle Mass'!$P$44:$U$44</c:f>
              <c:numCache>
                <c:formatCode>General</c:formatCode>
                <c:ptCount val="6"/>
                <c:pt idx="0">
                  <c:v>80</c:v>
                </c:pt>
                <c:pt idx="1">
                  <c:v>82</c:v>
                </c:pt>
                <c:pt idx="2">
                  <c:v>90</c:v>
                </c:pt>
                <c:pt idx="3">
                  <c:v>90</c:v>
                </c:pt>
                <c:pt idx="4">
                  <c:v>100</c:v>
                </c:pt>
                <c:pt idx="5">
                  <c:v>120</c:v>
                </c:pt>
              </c:numCache>
            </c:numRef>
          </c:xVal>
          <c:yVal>
            <c:numRef>
              <c:f>'Nacelle Mass'!$P$45:$U$45</c:f>
              <c:numCache>
                <c:formatCode>General</c:formatCode>
                <c:ptCount val="6"/>
                <c:pt idx="0">
                  <c:v>67</c:v>
                </c:pt>
                <c:pt idx="1">
                  <c:v>52</c:v>
                </c:pt>
                <c:pt idx="2">
                  <c:v>68</c:v>
                </c:pt>
                <c:pt idx="3">
                  <c:v>70</c:v>
                </c:pt>
                <c:pt idx="4">
                  <c:v>70</c:v>
                </c:pt>
                <c:pt idx="5">
                  <c:v>145</c:v>
                </c:pt>
              </c:numCache>
            </c:numRef>
          </c:yVal>
          <c:smooth val="0"/>
        </c:ser>
        <c:ser>
          <c:idx val="2"/>
          <c:order val="3"/>
          <c:tx>
            <c:v>Siemens</c:v>
          </c:tx>
          <c:spPr>
            <a:ln w="28575">
              <a:noFill/>
            </a:ln>
          </c:spPr>
          <c:marker>
            <c:symbol val="square"/>
            <c:size val="8"/>
            <c:spPr>
              <a:solidFill>
                <a:srgbClr val="FF99CC"/>
              </a:solidFill>
              <a:ln>
                <a:solidFill>
                  <a:srgbClr val="FF99CC"/>
                </a:solidFill>
                <a:prstDash val="solid"/>
              </a:ln>
            </c:spPr>
          </c:marker>
          <c:xVal>
            <c:numRef>
              <c:f>'Nacelle Mass'!$P$37:$S$37</c:f>
              <c:numCache>
                <c:formatCode>General</c:formatCode>
                <c:ptCount val="4"/>
                <c:pt idx="0">
                  <c:v>93</c:v>
                </c:pt>
                <c:pt idx="1">
                  <c:v>82.4</c:v>
                </c:pt>
                <c:pt idx="2">
                  <c:v>107</c:v>
                </c:pt>
                <c:pt idx="3">
                  <c:v>62</c:v>
                </c:pt>
              </c:numCache>
            </c:numRef>
          </c:xVal>
          <c:yVal>
            <c:numRef>
              <c:f>'Nacelle Mass'!$P$38:$S$38</c:f>
              <c:numCache>
                <c:formatCode>General</c:formatCode>
                <c:ptCount val="4"/>
                <c:pt idx="0">
                  <c:v>60</c:v>
                </c:pt>
                <c:pt idx="1">
                  <c:v>82</c:v>
                </c:pt>
                <c:pt idx="2">
                  <c:v>125</c:v>
                </c:pt>
                <c:pt idx="3">
                  <c:v>47</c:v>
                </c:pt>
              </c:numCache>
            </c:numRef>
          </c:yVal>
          <c:smooth val="0"/>
        </c:ser>
        <c:ser>
          <c:idx val="9"/>
          <c:order val="4"/>
          <c:tx>
            <c:v>Gamesa</c:v>
          </c:tx>
          <c:spPr>
            <a:ln w="28575">
              <a:noFill/>
            </a:ln>
          </c:spPr>
          <c:marker>
            <c:symbol val="square"/>
            <c:size val="8"/>
            <c:spPr>
              <a:solidFill>
                <a:srgbClr val="FF6600"/>
              </a:solidFill>
              <a:ln>
                <a:solidFill>
                  <a:srgbClr val="FF6600"/>
                </a:solidFill>
                <a:prstDash val="solid"/>
              </a:ln>
            </c:spPr>
          </c:marker>
          <c:xVal>
            <c:numRef>
              <c:f>'Nacelle Mass'!$P$64:$T$64</c:f>
              <c:numCache>
                <c:formatCode>General</c:formatCode>
                <c:ptCount val="5"/>
                <c:pt idx="0">
                  <c:v>52</c:v>
                </c:pt>
                <c:pt idx="1">
                  <c:v>58</c:v>
                </c:pt>
                <c:pt idx="2">
                  <c:v>80</c:v>
                </c:pt>
                <c:pt idx="3">
                  <c:v>83</c:v>
                </c:pt>
                <c:pt idx="4">
                  <c:v>87</c:v>
                </c:pt>
              </c:numCache>
            </c:numRef>
          </c:xVal>
          <c:yVal>
            <c:numRef>
              <c:f>'Nacelle Mass'!$P$65:$T$65</c:f>
              <c:numCache>
                <c:formatCode>General</c:formatCode>
                <c:ptCount val="5"/>
                <c:pt idx="0">
                  <c:v>23</c:v>
                </c:pt>
                <c:pt idx="1">
                  <c:v>23</c:v>
                </c:pt>
                <c:pt idx="2">
                  <c:v>70</c:v>
                </c:pt>
                <c:pt idx="3">
                  <c:v>70</c:v>
                </c:pt>
                <c:pt idx="4">
                  <c:v>70</c:v>
                </c:pt>
              </c:numCache>
            </c:numRef>
          </c:yVal>
          <c:smooth val="0"/>
        </c:ser>
        <c:ser>
          <c:idx val="7"/>
          <c:order val="5"/>
          <c:tx>
            <c:v>Clipper</c:v>
          </c:tx>
          <c:spPr>
            <a:ln w="28575">
              <a:noFill/>
            </a:ln>
          </c:spPr>
          <c:marker>
            <c:symbol val="square"/>
            <c:size val="8"/>
            <c:spPr>
              <a:solidFill>
                <a:srgbClr val="CC99FF"/>
              </a:solidFill>
              <a:ln>
                <a:solidFill>
                  <a:srgbClr val="CC99FF"/>
                </a:solidFill>
                <a:prstDash val="solid"/>
              </a:ln>
            </c:spPr>
          </c:marker>
          <c:xVal>
            <c:numRef>
              <c:f>'Nacelle Mass'!$P$50</c:f>
              <c:numCache>
                <c:formatCode>General</c:formatCode>
                <c:ptCount val="1"/>
                <c:pt idx="0">
                  <c:v>93</c:v>
                </c:pt>
              </c:numCache>
            </c:numRef>
          </c:xVal>
          <c:yVal>
            <c:numRef>
              <c:f>'Nacelle Mass'!$P$51</c:f>
              <c:numCache>
                <c:formatCode>General</c:formatCode>
                <c:ptCount val="1"/>
                <c:pt idx="0">
                  <c:v>70.555999999999997</c:v>
                </c:pt>
              </c:numCache>
            </c:numRef>
          </c:yVal>
          <c:smooth val="0"/>
        </c:ser>
        <c:ser>
          <c:idx val="4"/>
          <c:order val="6"/>
          <c:tx>
            <c:v>5 MW Baseline</c:v>
          </c:tx>
          <c:spPr>
            <a:ln w="28575">
              <a:noFill/>
            </a:ln>
          </c:spPr>
          <c:marker>
            <c:symbol val="diamond"/>
            <c:size val="8"/>
            <c:spPr>
              <a:solidFill>
                <a:srgbClr val="FF6600"/>
              </a:solidFill>
              <a:ln>
                <a:solidFill>
                  <a:srgbClr val="FF6600"/>
                </a:solidFill>
                <a:prstDash val="solid"/>
              </a:ln>
            </c:spPr>
          </c:marker>
          <c:xVal>
            <c:numRef>
              <c:f>'Nacelle Mass'!$P$29</c:f>
              <c:numCache>
                <c:formatCode>General</c:formatCode>
                <c:ptCount val="1"/>
                <c:pt idx="0">
                  <c:v>126</c:v>
                </c:pt>
              </c:numCache>
            </c:numRef>
          </c:xVal>
          <c:yVal>
            <c:numRef>
              <c:f>'Nacelle Mass'!$R$29</c:f>
              <c:numCache>
                <c:formatCode>General</c:formatCode>
                <c:ptCount val="1"/>
                <c:pt idx="0">
                  <c:v>240</c:v>
                </c:pt>
              </c:numCache>
            </c:numRef>
          </c:yVal>
          <c:smooth val="0"/>
        </c:ser>
        <c:ser>
          <c:idx val="10"/>
          <c:order val="7"/>
          <c:tx>
            <c:v>Offshore 5 MW Models</c:v>
          </c:tx>
          <c:spPr>
            <a:ln w="28575">
              <a:noFill/>
            </a:ln>
          </c:spPr>
          <c:marker>
            <c:spPr>
              <a:solidFill>
                <a:srgbClr val="4BACC6">
                  <a:lumMod val="75000"/>
                  <a:alpha val="50000"/>
                </a:srgbClr>
              </a:solidFill>
              <a:ln>
                <a:solidFill>
                  <a:srgbClr val="4BACC6">
                    <a:lumMod val="75000"/>
                    <a:alpha val="50000"/>
                  </a:srgbClr>
                </a:solidFill>
              </a:ln>
            </c:spPr>
          </c:marker>
          <c:xVal>
            <c:numRef>
              <c:f>'Nacelle Mass'!$Q$72:$T$72</c:f>
              <c:numCache>
                <c:formatCode>General</c:formatCode>
                <c:ptCount val="4"/>
                <c:pt idx="0">
                  <c:v>120</c:v>
                </c:pt>
                <c:pt idx="1">
                  <c:v>128</c:v>
                </c:pt>
                <c:pt idx="2">
                  <c:v>118</c:v>
                </c:pt>
                <c:pt idx="3">
                  <c:v>129</c:v>
                </c:pt>
              </c:numCache>
            </c:numRef>
          </c:xVal>
          <c:yVal>
            <c:numRef>
              <c:f>'Nacelle Mass'!$Q$73:$T$73</c:f>
              <c:numCache>
                <c:formatCode>General</c:formatCode>
                <c:ptCount val="4"/>
                <c:pt idx="0">
                  <c:v>246.626</c:v>
                </c:pt>
                <c:pt idx="1">
                  <c:v>270.66899999999998</c:v>
                </c:pt>
                <c:pt idx="2">
                  <c:v>250</c:v>
                </c:pt>
                <c:pt idx="3">
                  <c:v>187.952</c:v>
                </c:pt>
              </c:numCache>
            </c:numRef>
          </c:yVal>
          <c:smooth val="0"/>
        </c:ser>
        <c:ser>
          <c:idx val="11"/>
          <c:order val="8"/>
          <c:tx>
            <c:v>Offshore 5 MW Turbines</c:v>
          </c:tx>
          <c:spPr>
            <a:ln w="28575">
              <a:noFill/>
            </a:ln>
          </c:spPr>
          <c:marker>
            <c:symbol val="triangle"/>
            <c:size val="7"/>
            <c:spPr>
              <a:solidFill>
                <a:schemeClr val="accent5">
                  <a:lumMod val="75000"/>
                </a:schemeClr>
              </a:solidFill>
              <a:ln>
                <a:solidFill>
                  <a:schemeClr val="accent5">
                    <a:lumMod val="75000"/>
                  </a:schemeClr>
                </a:solidFill>
              </a:ln>
            </c:spPr>
          </c:marker>
          <c:xVal>
            <c:numRef>
              <c:f>'Nacelle Mass'!$U$72:$V$72</c:f>
              <c:numCache>
                <c:formatCode>General</c:formatCode>
                <c:ptCount val="2"/>
                <c:pt idx="0">
                  <c:v>116</c:v>
                </c:pt>
                <c:pt idx="1">
                  <c:v>126</c:v>
                </c:pt>
              </c:numCache>
            </c:numRef>
          </c:xVal>
          <c:yVal>
            <c:numRef>
              <c:f>'Nacelle Mass'!$U$73:$V$73</c:f>
              <c:numCache>
                <c:formatCode>General</c:formatCode>
                <c:ptCount val="2"/>
                <c:pt idx="0">
                  <c:v>194.09</c:v>
                </c:pt>
                <c:pt idx="1">
                  <c:v>240</c:v>
                </c:pt>
              </c:numCache>
            </c:numRef>
          </c:yVal>
          <c:smooth val="0"/>
        </c:ser>
        <c:ser>
          <c:idx val="1"/>
          <c:order val="9"/>
          <c:tx>
            <c:v>AMSC 3.1 MW</c:v>
          </c:tx>
          <c:spPr>
            <a:ln>
              <a:noFill/>
            </a:ln>
          </c:spPr>
          <c:marker>
            <c:symbol val="circle"/>
            <c:size val="10"/>
            <c:spPr>
              <a:solidFill>
                <a:srgbClr val="14FC1F"/>
              </a:solidFill>
              <a:ln>
                <a:noFill/>
              </a:ln>
            </c:spPr>
          </c:marker>
          <c:xVal>
            <c:numRef>
              <c:f>'Nacelle Mass'!$Q$77</c:f>
              <c:numCache>
                <c:formatCode>General</c:formatCode>
                <c:ptCount val="1"/>
                <c:pt idx="0">
                  <c:v>115</c:v>
                </c:pt>
              </c:numCache>
            </c:numRef>
          </c:xVal>
          <c:yVal>
            <c:numRef>
              <c:f>'Nacelle Mass'!$V$77</c:f>
              <c:numCache>
                <c:formatCode>General</c:formatCode>
                <c:ptCount val="1"/>
                <c:pt idx="0">
                  <c:v>139.821</c:v>
                </c:pt>
              </c:numCache>
            </c:numRef>
          </c:yVal>
          <c:smooth val="0"/>
        </c:ser>
        <c:ser>
          <c:idx val="3"/>
          <c:order val="10"/>
          <c:tx>
            <c:v>AMSC 6 MW</c:v>
          </c:tx>
          <c:spPr>
            <a:ln>
              <a:noFill/>
            </a:ln>
          </c:spPr>
          <c:marker>
            <c:symbol val="circle"/>
            <c:size val="10"/>
            <c:spPr>
              <a:solidFill>
                <a:srgbClr val="02AA0A"/>
              </a:solidFill>
              <a:ln>
                <a:noFill/>
              </a:ln>
            </c:spPr>
          </c:marker>
          <c:xVal>
            <c:numRef>
              <c:f>'Nacelle Mass'!$Q$78</c:f>
              <c:numCache>
                <c:formatCode>General</c:formatCode>
                <c:ptCount val="1"/>
                <c:pt idx="0">
                  <c:v>127.4</c:v>
                </c:pt>
              </c:numCache>
            </c:numRef>
          </c:xVal>
          <c:yVal>
            <c:numRef>
              <c:f>'Nacelle Mass'!$V$78</c:f>
              <c:numCache>
                <c:formatCode>General</c:formatCode>
                <c:ptCount val="1"/>
                <c:pt idx="0">
                  <c:v>225.91499999999999</c:v>
                </c:pt>
              </c:numCache>
            </c:numRef>
          </c:yVal>
          <c:smooth val="0"/>
        </c:ser>
        <c:ser>
          <c:idx val="8"/>
          <c:order val="11"/>
          <c:tx>
            <c:v>AMSC 8 MW</c:v>
          </c:tx>
          <c:spPr>
            <a:ln>
              <a:noFill/>
            </a:ln>
          </c:spPr>
          <c:marker>
            <c:symbol val="triangle"/>
            <c:size val="10"/>
            <c:spPr>
              <a:solidFill>
                <a:srgbClr val="14FC1F"/>
              </a:solidFill>
              <a:ln>
                <a:noFill/>
              </a:ln>
            </c:spPr>
          </c:marker>
          <c:xVal>
            <c:numRef>
              <c:f>'Nacelle Mass'!$Q$79</c:f>
              <c:numCache>
                <c:formatCode>General</c:formatCode>
                <c:ptCount val="1"/>
                <c:pt idx="0">
                  <c:v>138</c:v>
                </c:pt>
              </c:numCache>
            </c:numRef>
          </c:xVal>
          <c:yVal>
            <c:numRef>
              <c:f>'Nacelle Mass'!$V$79</c:f>
              <c:numCache>
                <c:formatCode>General</c:formatCode>
                <c:ptCount val="1"/>
                <c:pt idx="0">
                  <c:v>311.41300000000001</c:v>
                </c:pt>
              </c:numCache>
            </c:numRef>
          </c:yVal>
          <c:smooth val="0"/>
        </c:ser>
        <c:ser>
          <c:idx val="12"/>
          <c:order val="12"/>
          <c:tx>
            <c:v>AMSC 10 MW</c:v>
          </c:tx>
          <c:spPr>
            <a:ln>
              <a:noFill/>
            </a:ln>
          </c:spPr>
          <c:marker>
            <c:symbol val="triangle"/>
            <c:size val="10"/>
            <c:spPr>
              <a:solidFill>
                <a:srgbClr val="02AA0A"/>
              </a:solidFill>
              <a:ln>
                <a:noFill/>
              </a:ln>
            </c:spPr>
          </c:marker>
          <c:xVal>
            <c:numRef>
              <c:f>'Nacelle Mass'!$Q$80</c:f>
              <c:numCache>
                <c:formatCode>General</c:formatCode>
                <c:ptCount val="1"/>
                <c:pt idx="0">
                  <c:v>149</c:v>
                </c:pt>
              </c:numCache>
            </c:numRef>
          </c:xVal>
          <c:yVal>
            <c:numRef>
              <c:f>'Nacelle Mass'!$V$80</c:f>
              <c:numCache>
                <c:formatCode>General</c:formatCode>
                <c:ptCount val="1"/>
                <c:pt idx="0">
                  <c:v>333.41300000000001</c:v>
                </c:pt>
              </c:numCache>
            </c:numRef>
          </c:yVal>
          <c:smooth val="0"/>
        </c:ser>
        <c:dLbls>
          <c:showLegendKey val="0"/>
          <c:showVal val="0"/>
          <c:showCatName val="0"/>
          <c:showSerName val="0"/>
          <c:showPercent val="0"/>
          <c:showBubbleSize val="0"/>
        </c:dLbls>
        <c:axId val="135459584"/>
        <c:axId val="135461888"/>
      </c:scatterChart>
      <c:valAx>
        <c:axId val="135459584"/>
        <c:scaling>
          <c:orientation val="minMax"/>
        </c:scaling>
        <c:delete val="0"/>
        <c:axPos val="b"/>
        <c:title>
          <c:tx>
            <c:rich>
              <a:bodyPr/>
              <a:lstStyle/>
              <a:p>
                <a:pPr>
                  <a:defRPr sz="1425" b="1" i="0" u="none" strike="noStrike" baseline="0">
                    <a:solidFill>
                      <a:srgbClr val="000000"/>
                    </a:solidFill>
                    <a:latin typeface="Arial"/>
                    <a:ea typeface="Arial"/>
                    <a:cs typeface="Arial"/>
                  </a:defRPr>
                </a:pPr>
                <a:r>
                  <a:t>Rotor Diameter (m)</a:t>
                </a:r>
              </a:p>
            </c:rich>
          </c:tx>
          <c:layout>
            <c:manualLayout>
              <c:xMode val="edge"/>
              <c:yMode val="edge"/>
              <c:x val="0.44146867736207801"/>
              <c:y val="0.9252344298084229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35461888"/>
        <c:crosses val="autoZero"/>
        <c:crossBetween val="midCat"/>
      </c:valAx>
      <c:valAx>
        <c:axId val="135461888"/>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t>Nacelle Mass (metric tons)</a:t>
                </a:r>
              </a:p>
            </c:rich>
          </c:tx>
          <c:layout>
            <c:manualLayout>
              <c:xMode val="edge"/>
              <c:yMode val="edge"/>
              <c:x val="8.9285436953517004E-3"/>
              <c:y val="0.2373833738072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35459584"/>
        <c:crosses val="autoZero"/>
        <c:crossBetween val="midCat"/>
      </c:valAx>
      <c:spPr>
        <a:noFill/>
        <a:ln w="25400">
          <a:noFill/>
        </a:ln>
      </c:spPr>
    </c:plotArea>
    <c:legend>
      <c:legendPos val="r"/>
      <c:layout>
        <c:manualLayout>
          <c:xMode val="edge"/>
          <c:yMode val="edge"/>
          <c:wMode val="edge"/>
          <c:hMode val="edge"/>
          <c:x val="0.13888904419491899"/>
          <c:y val="0.121495327102804"/>
          <c:w val="0.34699746851170199"/>
          <c:h val="0.75535977628964801"/>
        </c:manualLayout>
      </c:layout>
      <c:overlay val="0"/>
      <c:spPr>
        <a:solidFill>
          <a:srgbClr val="FFFFFF"/>
        </a:solidFill>
        <a:ln w="3175">
          <a:solidFill>
            <a:srgbClr val="000000"/>
          </a:solidFill>
          <a:prstDash val="solid"/>
        </a:ln>
      </c:spPr>
      <c:txPr>
        <a:bodyPr/>
        <a:lstStyle/>
        <a:p>
          <a:pPr>
            <a:defRPr sz="65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100" b="1" i="0" u="none" strike="noStrike" baseline="0">
                <a:solidFill>
                  <a:srgbClr val="000000"/>
                </a:solidFill>
                <a:latin typeface="Arial"/>
                <a:ea typeface="Arial"/>
                <a:cs typeface="Arial"/>
              </a:defRPr>
            </a:pPr>
            <a:r>
              <a:t>Hub Mass vs Blade Mass</a:t>
            </a:r>
          </a:p>
        </c:rich>
      </c:tx>
      <c:layout>
        <c:manualLayout>
          <c:xMode val="edge"/>
          <c:yMode val="edge"/>
          <c:x val="0.24170135372082699"/>
          <c:y val="2.9013598733684299E-2"/>
        </c:manualLayout>
      </c:layout>
      <c:overlay val="0"/>
      <c:spPr>
        <a:noFill/>
        <a:ln w="25400">
          <a:noFill/>
        </a:ln>
      </c:spPr>
    </c:title>
    <c:autoTitleDeleted val="0"/>
    <c:plotArea>
      <c:layout>
        <c:manualLayout>
          <c:layoutTarget val="inner"/>
          <c:xMode val="edge"/>
          <c:yMode val="edge"/>
          <c:x val="0.147302979175605"/>
          <c:y val="0.23984548764420699"/>
          <c:w val="0.81639045500845697"/>
          <c:h val="0.57060015205678405"/>
        </c:manualLayout>
      </c:layout>
      <c:scatterChart>
        <c:scatterStyle val="smoothMarker"/>
        <c:varyColors val="0"/>
        <c:ser>
          <c:idx val="0"/>
          <c:order val="0"/>
          <c:tx>
            <c:v>WindPACT baseline design</c:v>
          </c:tx>
          <c:spPr>
            <a:ln w="28575">
              <a:noFill/>
            </a:ln>
          </c:spPr>
          <c:marker>
            <c:symbol val="diamond"/>
            <c:size val="8"/>
            <c:spPr>
              <a:noFill/>
              <a:ln>
                <a:solidFill>
                  <a:srgbClr val="000080"/>
                </a:solidFill>
                <a:prstDash val="solid"/>
              </a:ln>
            </c:spPr>
          </c:marker>
          <c:trendline>
            <c:name>WindPACT Linear Fit</c:name>
            <c:spPr>
              <a:ln w="25400">
                <a:solidFill>
                  <a:srgbClr val="000000"/>
                </a:solidFill>
                <a:prstDash val="lgDash"/>
              </a:ln>
            </c:spPr>
            <c:trendlineType val="linear"/>
            <c:dispRSqr val="1"/>
            <c:dispEq val="1"/>
            <c:trendlineLbl>
              <c:layout>
                <c:manualLayout>
                  <c:x val="0.118866433442439"/>
                  <c:y val="-7.4354876041439005E-2"/>
                </c:manualLayout>
              </c:layout>
              <c:tx>
                <c:rich>
                  <a:bodyPr/>
                  <a:lstStyle/>
                  <a:p>
                    <a:pPr>
                      <a:defRPr sz="2575" b="0" i="0" u="none" strike="noStrike" baseline="0">
                        <a:solidFill>
                          <a:srgbClr val="000000"/>
                        </a:solidFill>
                        <a:latin typeface="Arial"/>
                        <a:ea typeface="Arial"/>
                        <a:cs typeface="Arial"/>
                      </a:defRPr>
                    </a:pPr>
                    <a:r>
                      <a:rPr lang="en-US" sz="1175" b="0" i="0" u="none" strike="noStrike" baseline="0">
                        <a:solidFill>
                          <a:srgbClr val="000000"/>
                        </a:solidFill>
                        <a:latin typeface="Arial"/>
                        <a:cs typeface="Arial"/>
                      </a:rPr>
                      <a:t>WindPACT:  y = 3.7674x - 702.88</a:t>
                    </a:r>
                  </a:p>
                  <a:p>
                    <a:pPr>
                      <a:defRPr sz="2575" b="0" i="0" u="none" strike="noStrike" baseline="0">
                        <a:solidFill>
                          <a:srgbClr val="000000"/>
                        </a:solidFill>
                        <a:latin typeface="Arial"/>
                        <a:ea typeface="Arial"/>
                        <a:cs typeface="Arial"/>
                      </a:defRPr>
                    </a:pPr>
                    <a:r>
                      <a:rPr lang="en-US" sz="1175" b="0" i="0" u="none" strike="noStrike" baseline="0">
                        <a:solidFill>
                          <a:srgbClr val="000000"/>
                        </a:solidFill>
                        <a:latin typeface="Arial"/>
                        <a:cs typeface="Arial"/>
                      </a:rPr>
                      <a:t>R</a:t>
                    </a:r>
                    <a:r>
                      <a:rPr lang="en-US" sz="1175" b="0" i="0" u="none" strike="noStrike" baseline="30000">
                        <a:solidFill>
                          <a:srgbClr val="000000"/>
                        </a:solidFill>
                        <a:latin typeface="Arial"/>
                        <a:cs typeface="Arial"/>
                      </a:rPr>
                      <a:t>2</a:t>
                    </a:r>
                    <a:r>
                      <a:rPr lang="en-US" sz="1175" b="0" i="0" u="none" strike="noStrike" baseline="0">
                        <a:solidFill>
                          <a:srgbClr val="000000"/>
                        </a:solidFill>
                        <a:latin typeface="Arial"/>
                        <a:cs typeface="Arial"/>
                      </a:rPr>
                      <a:t> = 0.9989</a:t>
                    </a:r>
                  </a:p>
                </c:rich>
              </c:tx>
              <c:numFmt formatCode="General" sourceLinked="0"/>
              <c:spPr>
                <a:solidFill>
                  <a:srgbClr val="FFFFFF"/>
                </a:solidFill>
                <a:ln w="25400">
                  <a:noFill/>
                </a:ln>
              </c:spPr>
            </c:trendlineLbl>
          </c:trendline>
          <c:xVal>
            <c:numRef>
              <c:f>'Hub Mass &amp; Cost'!$B$25:$B$28</c:f>
              <c:numCache>
                <c:formatCode>0</c:formatCode>
                <c:ptCount val="4"/>
                <c:pt idx="0">
                  <c:v>1818</c:v>
                </c:pt>
                <c:pt idx="1">
                  <c:v>4230</c:v>
                </c:pt>
                <c:pt idx="2">
                  <c:v>12936</c:v>
                </c:pt>
                <c:pt idx="3">
                  <c:v>27239</c:v>
                </c:pt>
              </c:numCache>
            </c:numRef>
          </c:xVal>
          <c:yVal>
            <c:numRef>
              <c:f>'Hub Mass &amp; Cost'!$D$25:$D$28</c:f>
              <c:numCache>
                <c:formatCode>General</c:formatCode>
                <c:ptCount val="4"/>
                <c:pt idx="0">
                  <c:v>5086</c:v>
                </c:pt>
                <c:pt idx="1">
                  <c:v>15104</c:v>
                </c:pt>
                <c:pt idx="2">
                  <c:v>50124</c:v>
                </c:pt>
                <c:pt idx="3">
                  <c:v>101014</c:v>
                </c:pt>
              </c:numCache>
            </c:numRef>
          </c:yVal>
          <c:smooth val="1"/>
        </c:ser>
        <c:ser>
          <c:idx val="1"/>
          <c:order val="1"/>
          <c:tx>
            <c:v>Manufacturer data</c:v>
          </c:tx>
          <c:spPr>
            <a:ln w="28575">
              <a:noFill/>
            </a:ln>
          </c:spPr>
          <c:marker>
            <c:symbol val="square"/>
            <c:size val="8"/>
            <c:spPr>
              <a:solidFill>
                <a:srgbClr val="FF00FF"/>
              </a:solidFill>
              <a:ln>
                <a:solidFill>
                  <a:srgbClr val="FF00FF"/>
                </a:solidFill>
                <a:prstDash val="solid"/>
              </a:ln>
            </c:spPr>
          </c:marker>
          <c:trendline>
            <c:name>Manufacturer Data Linear Fit</c:name>
            <c:spPr>
              <a:ln w="25400">
                <a:solidFill>
                  <a:srgbClr val="000000"/>
                </a:solidFill>
                <a:prstDash val="solid"/>
              </a:ln>
            </c:spPr>
            <c:trendlineType val="linear"/>
            <c:forward val="10000"/>
            <c:backward val="1000"/>
            <c:dispRSqr val="1"/>
            <c:dispEq val="1"/>
            <c:trendlineLbl>
              <c:layout>
                <c:manualLayout>
                  <c:x val="0.19422118034032501"/>
                  <c:y val="-0.12540156426245699"/>
                </c:manualLayout>
              </c:layout>
              <c:tx>
                <c:rich>
                  <a:bodyPr/>
                  <a:lstStyle/>
                  <a:p>
                    <a:pPr>
                      <a:defRPr sz="2575" b="0" i="0" u="none" strike="noStrike" baseline="0">
                        <a:solidFill>
                          <a:srgbClr val="000000"/>
                        </a:solidFill>
                        <a:latin typeface="Arial"/>
                        <a:ea typeface="Arial"/>
                        <a:cs typeface="Arial"/>
                      </a:defRPr>
                    </a:pPr>
                    <a:r>
                      <a:rPr lang="en-US" sz="1175" b="0" i="0" u="none" strike="noStrike" baseline="0">
                        <a:solidFill>
                          <a:srgbClr val="000000"/>
                        </a:solidFill>
                        <a:latin typeface="Arial"/>
                        <a:cs typeface="Arial"/>
                      </a:rPr>
                      <a:t>Man. Data:  y = 0.954x + 5680.3</a:t>
                    </a:r>
                  </a:p>
                  <a:p>
                    <a:pPr>
                      <a:defRPr sz="2575" b="0" i="0" u="none" strike="noStrike" baseline="0">
                        <a:solidFill>
                          <a:srgbClr val="000000"/>
                        </a:solidFill>
                        <a:latin typeface="Arial"/>
                        <a:ea typeface="Arial"/>
                        <a:cs typeface="Arial"/>
                      </a:defRPr>
                    </a:pPr>
                    <a:r>
                      <a:rPr lang="en-US" sz="1175" b="0" i="0" u="none" strike="noStrike" baseline="0">
                        <a:solidFill>
                          <a:srgbClr val="000000"/>
                        </a:solidFill>
                        <a:latin typeface="Arial"/>
                        <a:cs typeface="Arial"/>
                      </a:rPr>
                      <a:t>R</a:t>
                    </a:r>
                    <a:r>
                      <a:rPr lang="en-US" sz="1175" b="0" i="0" u="none" strike="noStrike" baseline="30000">
                        <a:solidFill>
                          <a:srgbClr val="000000"/>
                        </a:solidFill>
                        <a:latin typeface="Arial"/>
                        <a:cs typeface="Arial"/>
                      </a:rPr>
                      <a:t>2</a:t>
                    </a:r>
                    <a:r>
                      <a:rPr lang="en-US" sz="1175" b="0" i="0" u="none" strike="noStrike" baseline="0">
                        <a:solidFill>
                          <a:srgbClr val="000000"/>
                        </a:solidFill>
                        <a:latin typeface="Arial"/>
                        <a:cs typeface="Arial"/>
                      </a:rPr>
                      <a:t> = 0.3978</a:t>
                    </a:r>
                  </a:p>
                </c:rich>
              </c:tx>
              <c:numFmt formatCode="General" sourceLinked="0"/>
              <c:spPr>
                <a:solidFill>
                  <a:srgbClr val="FFFFFF"/>
                </a:solidFill>
                <a:ln w="25400">
                  <a:noFill/>
                </a:ln>
              </c:spPr>
            </c:trendlineLbl>
          </c:trendline>
          <c:xVal>
            <c:numRef>
              <c:f>'Hub Mass &amp; Cost'!$B$17:$B$21</c:f>
              <c:numCache>
                <c:formatCode>0</c:formatCode>
                <c:ptCount val="5"/>
                <c:pt idx="0">
                  <c:v>3133.3333333333335</c:v>
                </c:pt>
                <c:pt idx="1">
                  <c:v>4648.666666666667</c:v>
                </c:pt>
                <c:pt idx="2">
                  <c:v>6066.666666666667</c:v>
                </c:pt>
                <c:pt idx="3">
                  <c:v>10000</c:v>
                </c:pt>
                <c:pt idx="4">
                  <c:v>12679.333333333334</c:v>
                </c:pt>
              </c:numCache>
            </c:numRef>
          </c:xVal>
          <c:yVal>
            <c:numRef>
              <c:f>'Hub Mass &amp; Cost'!$E$17:$E$21</c:f>
              <c:numCache>
                <c:formatCode>General</c:formatCode>
                <c:ptCount val="5"/>
                <c:pt idx="0">
                  <c:v>2000</c:v>
                </c:pt>
                <c:pt idx="1">
                  <c:v>15000</c:v>
                </c:pt>
                <c:pt idx="2">
                  <c:v>15000</c:v>
                </c:pt>
                <c:pt idx="3">
                  <c:v>15625</c:v>
                </c:pt>
                <c:pt idx="4">
                  <c:v>15625</c:v>
                </c:pt>
              </c:numCache>
            </c:numRef>
          </c:yVal>
          <c:smooth val="1"/>
        </c:ser>
        <c:ser>
          <c:idx val="2"/>
          <c:order val="2"/>
          <c:tx>
            <c:v>WindPACT Final design</c:v>
          </c:tx>
          <c:spPr>
            <a:ln w="28575">
              <a:noFill/>
            </a:ln>
          </c:spPr>
          <c:marker>
            <c:symbol val="diamond"/>
            <c:size val="8"/>
            <c:spPr>
              <a:noFill/>
              <a:ln>
                <a:solidFill>
                  <a:srgbClr val="FF0000"/>
                </a:solidFill>
                <a:prstDash val="solid"/>
              </a:ln>
            </c:spPr>
          </c:marker>
          <c:xVal>
            <c:numRef>
              <c:f>'Hub Mass &amp; Cost'!$B$22:$B$24</c:f>
              <c:numCache>
                <c:formatCode>0</c:formatCode>
                <c:ptCount val="3"/>
                <c:pt idx="0">
                  <c:v>868</c:v>
                </c:pt>
                <c:pt idx="1">
                  <c:v>2281</c:v>
                </c:pt>
                <c:pt idx="2">
                  <c:v>5463</c:v>
                </c:pt>
              </c:numCache>
            </c:numRef>
          </c:xVal>
          <c:yVal>
            <c:numRef>
              <c:f>'Hub Mass &amp; Cost'!$D$22:$D$24</c:f>
              <c:numCache>
                <c:formatCode>General</c:formatCode>
                <c:ptCount val="3"/>
                <c:pt idx="0">
                  <c:v>2464</c:v>
                </c:pt>
                <c:pt idx="1">
                  <c:v>8063</c:v>
                </c:pt>
                <c:pt idx="2">
                  <c:v>21270</c:v>
                </c:pt>
              </c:numCache>
            </c:numRef>
          </c:yVal>
          <c:smooth val="1"/>
        </c:ser>
        <c:ser>
          <c:idx val="3"/>
          <c:order val="3"/>
          <c:tx>
            <c:v>Current Design</c:v>
          </c:tx>
          <c:spPr>
            <a:ln w="28575">
              <a:noFill/>
            </a:ln>
          </c:spPr>
          <c:marker>
            <c:symbol val="circle"/>
            <c:size val="14"/>
            <c:spPr>
              <a:solidFill>
                <a:srgbClr val="00FF00"/>
              </a:solidFill>
              <a:ln>
                <a:solidFill>
                  <a:srgbClr val="00FF00"/>
                </a:solidFill>
                <a:prstDash val="solid"/>
              </a:ln>
            </c:spPr>
          </c:marker>
          <c:xVal>
            <c:numRef>
              <c:f>'Hub Mass &amp; Cost'!$H$9</c:f>
              <c:numCache>
                <c:formatCode>General</c:formatCode>
                <c:ptCount val="1"/>
                <c:pt idx="0">
                  <c:v>9082.8670624211954</c:v>
                </c:pt>
              </c:numCache>
            </c:numRef>
          </c:xVal>
          <c:yVal>
            <c:numRef>
              <c:f>'Hub Mass &amp; Cost'!$I$9</c:f>
              <c:numCache>
                <c:formatCode>0</c:formatCode>
                <c:ptCount val="1"/>
                <c:pt idx="0">
                  <c:v>14345.55787151434</c:v>
                </c:pt>
              </c:numCache>
            </c:numRef>
          </c:yVal>
          <c:smooth val="1"/>
        </c:ser>
        <c:ser>
          <c:idx val="4"/>
          <c:order val="4"/>
          <c:spPr>
            <a:ln w="28575">
              <a:noFill/>
            </a:ln>
          </c:spPr>
          <c:marker>
            <c:symbol val="star"/>
            <c:size val="8"/>
            <c:spPr>
              <a:noFill/>
              <a:ln>
                <a:solidFill>
                  <a:srgbClr val="800080"/>
                </a:solidFill>
                <a:prstDash val="solid"/>
              </a:ln>
            </c:spPr>
          </c:marker>
          <c:trendline>
            <c:spPr>
              <a:ln w="25400">
                <a:solidFill>
                  <a:srgbClr val="000000"/>
                </a:solidFill>
                <a:prstDash val="sysDash"/>
              </a:ln>
            </c:spPr>
            <c:trendlineType val="linear"/>
            <c:dispRSqr val="1"/>
            <c:dispEq val="1"/>
            <c:trendlineLbl>
              <c:layout>
                <c:manualLayout>
                  <c:x val="-5.7281581851209101E-2"/>
                  <c:y val="-0.19342374229093001"/>
                </c:manualLayout>
              </c:layout>
              <c:numFmt formatCode="General" sourceLinked="0"/>
              <c:spPr>
                <a:noFill/>
                <a:ln w="25400">
                  <a:noFill/>
                </a:ln>
              </c:spPr>
              <c:txPr>
                <a:bodyPr/>
                <a:lstStyle/>
                <a:p>
                  <a:pPr>
                    <a:defRPr sz="1150" b="0" i="0" u="none" strike="noStrike" baseline="0">
                      <a:solidFill>
                        <a:srgbClr val="000000"/>
                      </a:solidFill>
                      <a:latin typeface="Arial"/>
                      <a:ea typeface="Arial"/>
                      <a:cs typeface="Arial"/>
                    </a:defRPr>
                  </a:pPr>
                  <a:endParaRPr lang="en-US"/>
                </a:p>
              </c:txPr>
            </c:trendlineLbl>
          </c:trendline>
          <c:xVal>
            <c:numRef>
              <c:f>'Hub Mass &amp; Cost'!$B$22:$B$28</c:f>
              <c:numCache>
                <c:formatCode>0</c:formatCode>
                <c:ptCount val="7"/>
                <c:pt idx="0">
                  <c:v>868</c:v>
                </c:pt>
                <c:pt idx="1">
                  <c:v>2281</c:v>
                </c:pt>
                <c:pt idx="2">
                  <c:v>5463</c:v>
                </c:pt>
                <c:pt idx="3">
                  <c:v>1818</c:v>
                </c:pt>
                <c:pt idx="4">
                  <c:v>4230</c:v>
                </c:pt>
                <c:pt idx="5">
                  <c:v>12936</c:v>
                </c:pt>
                <c:pt idx="6">
                  <c:v>27239</c:v>
                </c:pt>
              </c:numCache>
            </c:numRef>
          </c:xVal>
          <c:yVal>
            <c:numRef>
              <c:f>'Hub Mass &amp; Cost'!$J$22:$J$28</c:f>
              <c:numCache>
                <c:formatCode>General</c:formatCode>
                <c:ptCount val="7"/>
              </c:numCache>
            </c:numRef>
          </c:yVal>
          <c:smooth val="1"/>
        </c:ser>
        <c:dLbls>
          <c:showLegendKey val="0"/>
          <c:showVal val="0"/>
          <c:showCatName val="0"/>
          <c:showSerName val="0"/>
          <c:showPercent val="0"/>
          <c:showBubbleSize val="0"/>
        </c:dLbls>
        <c:axId val="135562368"/>
        <c:axId val="135564288"/>
      </c:scatterChart>
      <c:valAx>
        <c:axId val="135562368"/>
        <c:scaling>
          <c:orientation val="minMax"/>
        </c:scaling>
        <c:delete val="0"/>
        <c:axPos val="b"/>
        <c:title>
          <c:tx>
            <c:rich>
              <a:bodyPr/>
              <a:lstStyle/>
              <a:p>
                <a:pPr>
                  <a:defRPr sz="1475" b="1" i="0" u="none" strike="noStrike" baseline="0">
                    <a:solidFill>
                      <a:srgbClr val="000000"/>
                    </a:solidFill>
                    <a:latin typeface="Arial"/>
                    <a:ea typeface="Arial"/>
                    <a:cs typeface="Arial"/>
                  </a:defRPr>
                </a:pPr>
                <a:r>
                  <a:t>Blade Mass (kg)</a:t>
                </a:r>
              </a:p>
            </c:rich>
          </c:tx>
          <c:layout>
            <c:manualLayout>
              <c:xMode val="edge"/>
              <c:yMode val="edge"/>
              <c:x val="0.47302926345825203"/>
              <c:y val="0.89748628242279005"/>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475" b="0" i="0" u="none" strike="noStrike" baseline="0">
                <a:solidFill>
                  <a:srgbClr val="000000"/>
                </a:solidFill>
                <a:latin typeface="Arial"/>
                <a:ea typeface="Arial"/>
                <a:cs typeface="Arial"/>
              </a:defRPr>
            </a:pPr>
            <a:endParaRPr lang="en-US"/>
          </a:p>
        </c:txPr>
        <c:crossAx val="135564288"/>
        <c:crosses val="autoZero"/>
        <c:crossBetween val="midCat"/>
      </c:valAx>
      <c:valAx>
        <c:axId val="135564288"/>
        <c:scaling>
          <c:orientation val="minMax"/>
        </c:scaling>
        <c:delete val="0"/>
        <c:axPos val="l"/>
        <c:majorGridlines>
          <c:spPr>
            <a:ln w="3175">
              <a:solidFill>
                <a:srgbClr val="000000"/>
              </a:solidFill>
              <a:prstDash val="solid"/>
            </a:ln>
          </c:spPr>
        </c:majorGridlines>
        <c:title>
          <c:tx>
            <c:rich>
              <a:bodyPr/>
              <a:lstStyle/>
              <a:p>
                <a:pPr>
                  <a:defRPr sz="1475" b="1" i="0" u="none" strike="noStrike" baseline="0">
                    <a:solidFill>
                      <a:srgbClr val="000000"/>
                    </a:solidFill>
                    <a:latin typeface="Arial"/>
                    <a:ea typeface="Arial"/>
                    <a:cs typeface="Arial"/>
                  </a:defRPr>
                </a:pPr>
                <a:r>
                  <a:t>Hub Mass (kg)</a:t>
                </a:r>
              </a:p>
            </c:rich>
          </c:tx>
          <c:layout>
            <c:manualLayout>
              <c:xMode val="edge"/>
              <c:yMode val="edge"/>
              <c:x val="2.28215767634855E-2"/>
              <c:y val="0.386847511113133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75" b="0" i="0" u="none" strike="noStrike" baseline="0">
                <a:solidFill>
                  <a:srgbClr val="000000"/>
                </a:solidFill>
                <a:latin typeface="Arial"/>
                <a:ea typeface="Arial"/>
                <a:cs typeface="Arial"/>
              </a:defRPr>
            </a:pPr>
            <a:endParaRPr lang="en-US"/>
          </a:p>
        </c:txPr>
        <c:crossAx val="135562368"/>
        <c:crosses val="autoZero"/>
        <c:crossBetween val="midCat"/>
      </c:valAx>
      <c:spPr>
        <a:noFill/>
        <a:ln w="25400">
          <a:noFill/>
        </a:ln>
      </c:spPr>
    </c:plotArea>
    <c:legend>
      <c:legendPos val="r"/>
      <c:legendEntry>
        <c:idx val="7"/>
        <c:delete val="1"/>
      </c:legendEntry>
      <c:layout>
        <c:manualLayout>
          <c:xMode val="edge"/>
          <c:yMode val="edge"/>
          <c:wMode val="edge"/>
          <c:hMode val="edge"/>
          <c:x val="0.22925322094074299"/>
          <c:y val="0.23210858758262201"/>
          <c:w val="0.49896287341675799"/>
          <c:h val="0.466151442052402"/>
        </c:manualLayout>
      </c:layout>
      <c:overlay val="0"/>
      <c:spPr>
        <a:solidFill>
          <a:srgbClr val="FFFFFF"/>
        </a:solidFill>
        <a:ln w="3175">
          <a:solidFill>
            <a:srgbClr val="000000"/>
          </a:solidFill>
          <a:prstDash val="solid"/>
        </a:ln>
      </c:spPr>
      <c:txPr>
        <a:bodyPr/>
        <a:lstStyle/>
        <a:p>
          <a:pPr>
            <a:defRPr sz="65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00"/>
    </a:solidFill>
    <a:ln w="3175">
      <a:solidFill>
        <a:srgbClr val="000000"/>
      </a:solidFill>
      <a:prstDash val="solid"/>
    </a:ln>
  </c:spPr>
  <c:txPr>
    <a:bodyPr/>
    <a:lstStyle/>
    <a:p>
      <a:pPr>
        <a:defRPr sz="2575"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133219509500707E-2"/>
          <c:y val="5.0467335779913698E-2"/>
          <c:w val="0.89035201340911996"/>
          <c:h val="0.80685436750313"/>
        </c:manualLayout>
      </c:layout>
      <c:scatterChart>
        <c:scatterStyle val="lineMarker"/>
        <c:varyColors val="0"/>
        <c:ser>
          <c:idx val="5"/>
          <c:order val="0"/>
          <c:tx>
            <c:v>WindPACT Baseline</c:v>
          </c:tx>
          <c:spPr>
            <a:ln w="6350">
              <a:solidFill>
                <a:schemeClr val="tx1"/>
              </a:solidFill>
            </a:ln>
          </c:spPr>
          <c:marker>
            <c:symbol val="diamond"/>
            <c:size val="5"/>
            <c:spPr>
              <a:noFill/>
              <a:ln>
                <a:solidFill>
                  <a:srgbClr val="000080"/>
                </a:solidFill>
                <a:prstDash val="solid"/>
              </a:ln>
            </c:spPr>
          </c:marker>
          <c:xVal>
            <c:numRef>
              <c:f>'Tower Top Mass'!$Q$66:$T$66</c:f>
              <c:numCache>
                <c:formatCode>General</c:formatCode>
                <c:ptCount val="4"/>
                <c:pt idx="0">
                  <c:v>1963.4954084936207</c:v>
                </c:pt>
                <c:pt idx="1">
                  <c:v>3848.4510006474966</c:v>
                </c:pt>
                <c:pt idx="2">
                  <c:v>7697.6873994583902</c:v>
                </c:pt>
                <c:pt idx="3">
                  <c:v>12867.963509103793</c:v>
                </c:pt>
              </c:numCache>
            </c:numRef>
          </c:xVal>
          <c:yVal>
            <c:numRef>
              <c:f>'Tower Top Mass'!$Q$67:$T$67</c:f>
              <c:numCache>
                <c:formatCode>General</c:formatCode>
                <c:ptCount val="4"/>
                <c:pt idx="0">
                  <c:v>33.286000000000001</c:v>
                </c:pt>
                <c:pt idx="1">
                  <c:v>84.85499999999999</c:v>
                </c:pt>
                <c:pt idx="2">
                  <c:v>233.91700000000003</c:v>
                </c:pt>
                <c:pt idx="3">
                  <c:v>480.07600000000002</c:v>
                </c:pt>
              </c:numCache>
            </c:numRef>
          </c:yVal>
          <c:smooth val="0"/>
        </c:ser>
        <c:ser>
          <c:idx val="6"/>
          <c:order val="1"/>
          <c:tx>
            <c:v>WindPACT Final</c:v>
          </c:tx>
          <c:spPr>
            <a:ln w="6350">
              <a:solidFill>
                <a:schemeClr val="tx1"/>
              </a:solidFill>
              <a:prstDash val="lgDash"/>
            </a:ln>
          </c:spPr>
          <c:marker>
            <c:symbol val="diamond"/>
            <c:size val="5"/>
            <c:spPr>
              <a:noFill/>
              <a:ln>
                <a:solidFill>
                  <a:srgbClr val="FF0000"/>
                </a:solidFill>
                <a:prstDash val="solid"/>
              </a:ln>
            </c:spPr>
          </c:marker>
          <c:xVal>
            <c:numRef>
              <c:f>'Tower Top Mass'!$U$66:$W$66</c:f>
              <c:numCache>
                <c:formatCode>General</c:formatCode>
                <c:ptCount val="3"/>
                <c:pt idx="0">
                  <c:v>1963.4954084936207</c:v>
                </c:pt>
                <c:pt idx="1">
                  <c:v>3848.4510006474966</c:v>
                </c:pt>
                <c:pt idx="2">
                  <c:v>7697.6873994583902</c:v>
                </c:pt>
              </c:numCache>
            </c:numRef>
          </c:xVal>
          <c:yVal>
            <c:numRef>
              <c:f>'Tower Top Mass'!$U$67:$W$67</c:f>
              <c:numCache>
                <c:formatCode>General</c:formatCode>
                <c:ptCount val="3"/>
                <c:pt idx="0">
                  <c:v>25.206</c:v>
                </c:pt>
                <c:pt idx="1">
                  <c:v>63.799000000000007</c:v>
                </c:pt>
                <c:pt idx="2">
                  <c:v>161.36599999999999</c:v>
                </c:pt>
              </c:numCache>
            </c:numRef>
          </c:yVal>
          <c:smooth val="0"/>
        </c:ser>
        <c:ser>
          <c:idx val="0"/>
          <c:order val="2"/>
          <c:tx>
            <c:v>Vestas</c:v>
          </c:tx>
          <c:spPr>
            <a:ln w="28575">
              <a:noFill/>
            </a:ln>
          </c:spPr>
          <c:marker>
            <c:symbol val="square"/>
            <c:size val="5"/>
            <c:spPr>
              <a:solidFill>
                <a:schemeClr val="bg1">
                  <a:lumMod val="50000"/>
                </a:schemeClr>
              </a:solidFill>
              <a:ln>
                <a:solidFill>
                  <a:schemeClr val="bg1">
                    <a:lumMod val="50000"/>
                  </a:schemeClr>
                </a:solidFill>
                <a:prstDash val="solid"/>
              </a:ln>
            </c:spPr>
          </c:marker>
          <c:xVal>
            <c:numRef>
              <c:f>'Tower Top Mass'!$Q$48:$V$48</c:f>
              <c:numCache>
                <c:formatCode>General</c:formatCode>
                <c:ptCount val="6"/>
                <c:pt idx="0">
                  <c:v>5026.5482457436692</c:v>
                </c:pt>
                <c:pt idx="1">
                  <c:v>5281.0172506844419</c:v>
                </c:pt>
                <c:pt idx="2">
                  <c:v>6361.7251235193307</c:v>
                </c:pt>
                <c:pt idx="3">
                  <c:v>6361.7251235193307</c:v>
                </c:pt>
                <c:pt idx="4">
                  <c:v>7853.981633974483</c:v>
                </c:pt>
                <c:pt idx="5">
                  <c:v>11309.733552923255</c:v>
                </c:pt>
              </c:numCache>
            </c:numRef>
          </c:xVal>
          <c:yVal>
            <c:numRef>
              <c:f>'Tower Top Mass'!$Q$49:$V$49</c:f>
              <c:numCache>
                <c:formatCode>General</c:formatCode>
                <c:ptCount val="6"/>
                <c:pt idx="0">
                  <c:v>104</c:v>
                </c:pt>
                <c:pt idx="1">
                  <c:v>95</c:v>
                </c:pt>
                <c:pt idx="2">
                  <c:v>106</c:v>
                </c:pt>
                <c:pt idx="3">
                  <c:v>111</c:v>
                </c:pt>
                <c:pt idx="4">
                  <c:v>114</c:v>
                </c:pt>
                <c:pt idx="5">
                  <c:v>220</c:v>
                </c:pt>
              </c:numCache>
            </c:numRef>
          </c:yVal>
          <c:smooth val="0"/>
        </c:ser>
        <c:ser>
          <c:idx val="2"/>
          <c:order val="3"/>
          <c:tx>
            <c:v>Siemens</c:v>
          </c:tx>
          <c:spPr>
            <a:ln w="28575">
              <a:noFill/>
            </a:ln>
          </c:spPr>
          <c:marker>
            <c:symbol val="square"/>
            <c:size val="5"/>
            <c:spPr>
              <a:solidFill>
                <a:schemeClr val="bg1">
                  <a:lumMod val="50000"/>
                </a:schemeClr>
              </a:solidFill>
              <a:ln>
                <a:solidFill>
                  <a:schemeClr val="bg1">
                    <a:lumMod val="50000"/>
                  </a:schemeClr>
                </a:solidFill>
                <a:prstDash val="solid"/>
              </a:ln>
            </c:spPr>
          </c:marker>
          <c:xVal>
            <c:numRef>
              <c:f>'Tower Top Mass'!$Q$38:$T$38</c:f>
              <c:numCache>
                <c:formatCode>General</c:formatCode>
                <c:ptCount val="4"/>
                <c:pt idx="0">
                  <c:v>6792.9087152245302</c:v>
                </c:pt>
                <c:pt idx="1">
                  <c:v>5332.6650339094595</c:v>
                </c:pt>
                <c:pt idx="2">
                  <c:v>8992.0235727373856</c:v>
                </c:pt>
                <c:pt idx="3">
                  <c:v>3019.0705400997913</c:v>
                </c:pt>
              </c:numCache>
            </c:numRef>
          </c:xVal>
          <c:yVal>
            <c:numRef>
              <c:f>'Tower Top Mass'!$Q$39:$T$39</c:f>
              <c:numCache>
                <c:formatCode>General</c:formatCode>
                <c:ptCount val="4"/>
                <c:pt idx="0">
                  <c:v>120</c:v>
                </c:pt>
                <c:pt idx="1">
                  <c:v>136</c:v>
                </c:pt>
                <c:pt idx="2">
                  <c:v>220</c:v>
                </c:pt>
                <c:pt idx="3">
                  <c:v>77</c:v>
                </c:pt>
              </c:numCache>
            </c:numRef>
          </c:yVal>
          <c:smooth val="0"/>
        </c:ser>
        <c:ser>
          <c:idx val="9"/>
          <c:order val="4"/>
          <c:tx>
            <c:v>Gamesa</c:v>
          </c:tx>
          <c:spPr>
            <a:ln w="28575">
              <a:noFill/>
            </a:ln>
          </c:spPr>
          <c:marker>
            <c:symbol val="square"/>
            <c:size val="5"/>
            <c:spPr>
              <a:solidFill>
                <a:schemeClr val="bg1">
                  <a:lumMod val="50000"/>
                </a:schemeClr>
              </a:solidFill>
              <a:ln>
                <a:solidFill>
                  <a:schemeClr val="bg1">
                    <a:lumMod val="50000"/>
                  </a:schemeClr>
                </a:solidFill>
                <a:prstDash val="solid"/>
              </a:ln>
            </c:spPr>
          </c:marker>
          <c:xVal>
            <c:numRef>
              <c:f>'Tower Top Mass'!$Q$76:$U$76</c:f>
              <c:numCache>
                <c:formatCode>General</c:formatCode>
                <c:ptCount val="5"/>
                <c:pt idx="0">
                  <c:v>2123.7166338267002</c:v>
                </c:pt>
                <c:pt idx="1">
                  <c:v>2642.079421669016</c:v>
                </c:pt>
                <c:pt idx="2">
                  <c:v>5026.5482457436692</c:v>
                </c:pt>
                <c:pt idx="3">
                  <c:v>5410.6079476450213</c:v>
                </c:pt>
                <c:pt idx="4">
                  <c:v>5944.678698755286</c:v>
                </c:pt>
              </c:numCache>
            </c:numRef>
          </c:xVal>
          <c:yVal>
            <c:numRef>
              <c:f>'Tower Top Mass'!$Q$77:$U$77</c:f>
              <c:numCache>
                <c:formatCode>General</c:formatCode>
                <c:ptCount val="5"/>
                <c:pt idx="0">
                  <c:v>33</c:v>
                </c:pt>
                <c:pt idx="1">
                  <c:v>35</c:v>
                </c:pt>
                <c:pt idx="2">
                  <c:v>108</c:v>
                </c:pt>
                <c:pt idx="3">
                  <c:v>110.5</c:v>
                </c:pt>
                <c:pt idx="4">
                  <c:v>107</c:v>
                </c:pt>
              </c:numCache>
            </c:numRef>
          </c:yVal>
          <c:smooth val="0"/>
        </c:ser>
        <c:ser>
          <c:idx val="4"/>
          <c:order val="5"/>
          <c:tx>
            <c:v>5 MW Baseline</c:v>
          </c:tx>
          <c:spPr>
            <a:ln w="28575">
              <a:noFill/>
            </a:ln>
          </c:spPr>
          <c:marker>
            <c:symbol val="diamond"/>
            <c:size val="5"/>
            <c:spPr>
              <a:solidFill>
                <a:srgbClr val="FF6600"/>
              </a:solidFill>
              <a:ln>
                <a:solidFill>
                  <a:srgbClr val="FF6600"/>
                </a:solidFill>
                <a:prstDash val="solid"/>
              </a:ln>
            </c:spPr>
          </c:marker>
          <c:xVal>
            <c:numRef>
              <c:f>'Tower Top Mass'!$R$29</c:f>
              <c:numCache>
                <c:formatCode>General</c:formatCode>
                <c:ptCount val="1"/>
                <c:pt idx="0">
                  <c:v>12468.981242097889</c:v>
                </c:pt>
              </c:numCache>
            </c:numRef>
          </c:xVal>
          <c:yVal>
            <c:numRef>
              <c:f>'Tower Top Mass'!$U$29</c:f>
              <c:numCache>
                <c:formatCode>General</c:formatCode>
                <c:ptCount val="1"/>
                <c:pt idx="0">
                  <c:v>350</c:v>
                </c:pt>
              </c:numCache>
            </c:numRef>
          </c:yVal>
          <c:smooth val="0"/>
        </c:ser>
        <c:ser>
          <c:idx val="10"/>
          <c:order val="6"/>
          <c:tx>
            <c:v>Offshore 5 MW Models</c:v>
          </c:tx>
          <c:spPr>
            <a:ln w="28575">
              <a:noFill/>
            </a:ln>
          </c:spPr>
          <c:marker>
            <c:symbol val="square"/>
            <c:size val="5"/>
            <c:spPr>
              <a:solidFill>
                <a:srgbClr val="4BACC6">
                  <a:lumMod val="75000"/>
                  <a:alpha val="50000"/>
                </a:srgbClr>
              </a:solidFill>
              <a:ln>
                <a:solidFill>
                  <a:srgbClr val="4BACC6">
                    <a:lumMod val="75000"/>
                    <a:alpha val="50000"/>
                  </a:srgbClr>
                </a:solidFill>
              </a:ln>
            </c:spPr>
          </c:marker>
          <c:xVal>
            <c:numRef>
              <c:f>'Tower Top Mass'!$R$87:$U$87</c:f>
              <c:numCache>
                <c:formatCode>General</c:formatCode>
                <c:ptCount val="4"/>
                <c:pt idx="0">
                  <c:v>11309.733552923255</c:v>
                </c:pt>
                <c:pt idx="1">
                  <c:v>12867.963509103793</c:v>
                </c:pt>
                <c:pt idx="2">
                  <c:v>10935.88402714607</c:v>
                </c:pt>
                <c:pt idx="3">
                  <c:v>13069.810837096937</c:v>
                </c:pt>
              </c:numCache>
            </c:numRef>
          </c:xVal>
          <c:yVal>
            <c:numRef>
              <c:f>'Tower Top Mass'!$R$90:$U$90</c:f>
              <c:numCache>
                <c:formatCode>General</c:formatCode>
                <c:ptCount val="4"/>
                <c:pt idx="0">
                  <c:v>419.48099999999999</c:v>
                </c:pt>
                <c:pt idx="1">
                  <c:v>480.07499999999999</c:v>
                </c:pt>
                <c:pt idx="2">
                  <c:v>341.43900000000002</c:v>
                </c:pt>
                <c:pt idx="3">
                  <c:v>271.66699999999997</c:v>
                </c:pt>
              </c:numCache>
            </c:numRef>
          </c:yVal>
          <c:smooth val="0"/>
        </c:ser>
        <c:ser>
          <c:idx val="11"/>
          <c:order val="7"/>
          <c:tx>
            <c:v>Offshore 5 MW Turbines</c:v>
          </c:tx>
          <c:spPr>
            <a:ln w="28575">
              <a:noFill/>
            </a:ln>
          </c:spPr>
          <c:marker>
            <c:symbol val="triangle"/>
            <c:size val="5"/>
            <c:spPr>
              <a:solidFill>
                <a:schemeClr val="accent5">
                  <a:lumMod val="75000"/>
                </a:schemeClr>
              </a:solidFill>
              <a:ln>
                <a:solidFill>
                  <a:schemeClr val="accent5">
                    <a:lumMod val="75000"/>
                  </a:schemeClr>
                </a:solidFill>
              </a:ln>
            </c:spPr>
          </c:marker>
          <c:xVal>
            <c:numRef>
              <c:f>'Tower Top Mass'!$V$87:$W$87</c:f>
              <c:numCache>
                <c:formatCode>General</c:formatCode>
                <c:ptCount val="2"/>
                <c:pt idx="0">
                  <c:v>10568.317686676064</c:v>
                </c:pt>
                <c:pt idx="1">
                  <c:v>12468.981242097889</c:v>
                </c:pt>
              </c:numCache>
            </c:numRef>
          </c:xVal>
          <c:yVal>
            <c:numRef>
              <c:f>'Tower Top Mass'!$V$90:$W$90</c:f>
              <c:numCache>
                <c:formatCode>General</c:formatCode>
                <c:ptCount val="2"/>
                <c:pt idx="0">
                  <c:v>301.79000000000002</c:v>
                </c:pt>
                <c:pt idx="1">
                  <c:v>350</c:v>
                </c:pt>
              </c:numCache>
            </c:numRef>
          </c:yVal>
          <c:smooth val="0"/>
        </c:ser>
        <c:ser>
          <c:idx val="7"/>
          <c:order val="8"/>
          <c:tx>
            <c:v>Commercial Turbines</c:v>
          </c:tx>
          <c:spPr>
            <a:ln>
              <a:noFill/>
            </a:ln>
          </c:spPr>
          <c:marker>
            <c:symbol val="square"/>
            <c:size val="5"/>
            <c:spPr>
              <a:solidFill>
                <a:schemeClr val="bg1">
                  <a:lumMod val="50000"/>
                </a:schemeClr>
              </a:solidFill>
              <a:ln>
                <a:solidFill>
                  <a:schemeClr val="bg1">
                    <a:lumMod val="50000"/>
                  </a:schemeClr>
                </a:solidFill>
              </a:ln>
            </c:spPr>
          </c:marker>
          <c:xVal>
            <c:numRef>
              <c:f>'Tower Top Mass'!$Q$57</c:f>
              <c:numCache>
                <c:formatCode>General</c:formatCode>
                <c:ptCount val="1"/>
                <c:pt idx="0">
                  <c:v>6792.9087152245302</c:v>
                </c:pt>
              </c:numCache>
            </c:numRef>
          </c:xVal>
          <c:yVal>
            <c:numRef>
              <c:f>'Tower Top Mass'!$Q$58</c:f>
              <c:numCache>
                <c:formatCode>General</c:formatCode>
                <c:ptCount val="1"/>
                <c:pt idx="0">
                  <c:v>124.149</c:v>
                </c:pt>
              </c:numCache>
            </c:numRef>
          </c:yVal>
          <c:smooth val="0"/>
        </c:ser>
        <c:ser>
          <c:idx val="1"/>
          <c:order val="9"/>
          <c:tx>
            <c:v>AMSC 3.1 MW</c:v>
          </c:tx>
          <c:spPr>
            <a:ln>
              <a:noFill/>
            </a:ln>
          </c:spPr>
          <c:marker>
            <c:symbol val="circle"/>
            <c:size val="10"/>
            <c:spPr>
              <a:solidFill>
                <a:srgbClr val="14FC1F"/>
              </a:solidFill>
              <a:ln>
                <a:noFill/>
              </a:ln>
            </c:spPr>
          </c:marker>
          <c:xVal>
            <c:numRef>
              <c:f>'Tower Top Mass'!$AE$29</c:f>
              <c:numCache>
                <c:formatCode>General</c:formatCode>
                <c:ptCount val="1"/>
                <c:pt idx="0">
                  <c:v>10386.890710931253</c:v>
                </c:pt>
              </c:numCache>
            </c:numRef>
          </c:xVal>
          <c:yVal>
            <c:numRef>
              <c:f>'Tower Top Mass'!$AH$29</c:f>
              <c:numCache>
                <c:formatCode>General</c:formatCode>
                <c:ptCount val="1"/>
                <c:pt idx="0">
                  <c:v>198.32300000000001</c:v>
                </c:pt>
              </c:numCache>
            </c:numRef>
          </c:yVal>
          <c:smooth val="0"/>
        </c:ser>
        <c:ser>
          <c:idx val="3"/>
          <c:order val="10"/>
          <c:tx>
            <c:v>AMSC 6 MW</c:v>
          </c:tx>
          <c:spPr>
            <a:ln>
              <a:noFill/>
            </a:ln>
          </c:spPr>
          <c:marker>
            <c:symbol val="square"/>
            <c:size val="10"/>
            <c:spPr>
              <a:solidFill>
                <a:srgbClr val="02F83D"/>
              </a:solidFill>
              <a:ln>
                <a:noFill/>
              </a:ln>
            </c:spPr>
          </c:marker>
          <c:xVal>
            <c:numRef>
              <c:f>'Tower Top Mass'!$AE$30</c:f>
              <c:numCache>
                <c:formatCode>General</c:formatCode>
                <c:ptCount val="1"/>
                <c:pt idx="0">
                  <c:v>12747.609094544769</c:v>
                </c:pt>
              </c:numCache>
            </c:numRef>
          </c:xVal>
          <c:yVal>
            <c:numRef>
              <c:f>'Tower Top Mass'!$AH$30</c:f>
              <c:numCache>
                <c:formatCode>General</c:formatCode>
                <c:ptCount val="1"/>
                <c:pt idx="0">
                  <c:v>334.88200000000001</c:v>
                </c:pt>
              </c:numCache>
            </c:numRef>
          </c:yVal>
          <c:smooth val="0"/>
        </c:ser>
        <c:ser>
          <c:idx val="8"/>
          <c:order val="11"/>
          <c:tx>
            <c:v>AMSC 8 MW</c:v>
          </c:tx>
          <c:spPr>
            <a:ln>
              <a:noFill/>
            </a:ln>
          </c:spPr>
          <c:marker>
            <c:symbol val="triangle"/>
            <c:size val="10"/>
            <c:spPr>
              <a:solidFill>
                <a:srgbClr val="14FC1F"/>
              </a:solidFill>
              <a:ln>
                <a:noFill/>
              </a:ln>
            </c:spPr>
          </c:marker>
          <c:xVal>
            <c:numRef>
              <c:f>'Tower Top Mass'!$AE$31</c:f>
              <c:numCache>
                <c:formatCode>General</c:formatCode>
                <c:ptCount val="1"/>
                <c:pt idx="0">
                  <c:v>14957.122623741005</c:v>
                </c:pt>
              </c:numCache>
            </c:numRef>
          </c:xVal>
          <c:yVal>
            <c:numRef>
              <c:f>'Tower Top Mass'!$AH$31</c:f>
              <c:numCache>
                <c:formatCode>General</c:formatCode>
                <c:ptCount val="1"/>
                <c:pt idx="0">
                  <c:v>449.51400000000001</c:v>
                </c:pt>
              </c:numCache>
            </c:numRef>
          </c:yVal>
          <c:smooth val="0"/>
        </c:ser>
        <c:ser>
          <c:idx val="12"/>
          <c:order val="12"/>
          <c:tx>
            <c:v>AMSC 10 MW</c:v>
          </c:tx>
          <c:spPr>
            <a:ln>
              <a:noFill/>
            </a:ln>
          </c:spPr>
          <c:marker>
            <c:symbol val="diamond"/>
            <c:size val="10"/>
            <c:spPr>
              <a:solidFill>
                <a:srgbClr val="02F83D"/>
              </a:solidFill>
              <a:ln>
                <a:noFill/>
              </a:ln>
            </c:spPr>
          </c:marker>
          <c:xVal>
            <c:numRef>
              <c:f>'Tower Top Mass'!$AE$32</c:f>
              <c:numCache>
                <c:formatCode>General</c:formatCode>
                <c:ptCount val="1"/>
                <c:pt idx="0">
                  <c:v>17436.624625586748</c:v>
                </c:pt>
              </c:numCache>
            </c:numRef>
          </c:xVal>
          <c:yVal>
            <c:numRef>
              <c:f>'Tower Top Mass'!$AH$32</c:f>
              <c:numCache>
                <c:formatCode>General</c:formatCode>
                <c:ptCount val="1"/>
                <c:pt idx="0">
                  <c:v>479.30500000000001</c:v>
                </c:pt>
              </c:numCache>
            </c:numRef>
          </c:yVal>
          <c:smooth val="0"/>
        </c:ser>
        <c:dLbls>
          <c:showLegendKey val="0"/>
          <c:showVal val="0"/>
          <c:showCatName val="0"/>
          <c:showSerName val="0"/>
          <c:showPercent val="0"/>
          <c:showBubbleSize val="0"/>
        </c:dLbls>
        <c:axId val="137357184"/>
        <c:axId val="137380224"/>
      </c:scatterChart>
      <c:valAx>
        <c:axId val="137357184"/>
        <c:scaling>
          <c:orientation val="minMax"/>
        </c:scaling>
        <c:delete val="0"/>
        <c:axPos val="b"/>
        <c:title>
          <c:tx>
            <c:rich>
              <a:bodyPr/>
              <a:lstStyle/>
              <a:p>
                <a:pPr>
                  <a:defRPr sz="1100" b="0" i="0" u="none" strike="noStrike" baseline="0">
                    <a:solidFill>
                      <a:srgbClr val="000000"/>
                    </a:solidFill>
                    <a:latin typeface="Calibri"/>
                    <a:ea typeface="Calibri"/>
                    <a:cs typeface="Calibri"/>
                  </a:defRPr>
                </a:pPr>
                <a:r>
                  <a:rPr lang="en-US" sz="1425" b="1" i="0" u="none" strike="noStrike" baseline="0">
                    <a:solidFill>
                      <a:srgbClr val="000000"/>
                    </a:solidFill>
                    <a:latin typeface="Arial"/>
                    <a:cs typeface="Arial"/>
                  </a:rPr>
                  <a:t>Swept Area (m</a:t>
                </a:r>
                <a:r>
                  <a:rPr lang="en-US" sz="1425" b="1" i="0" u="none" strike="noStrike" baseline="30000">
                    <a:solidFill>
                      <a:srgbClr val="000000"/>
                    </a:solidFill>
                    <a:latin typeface="Arial"/>
                    <a:cs typeface="Arial"/>
                  </a:rPr>
                  <a:t>2</a:t>
                </a:r>
                <a:r>
                  <a:rPr lang="en-US" sz="1425" b="1" i="0" u="none" strike="noStrike" baseline="0">
                    <a:solidFill>
                      <a:srgbClr val="000000"/>
                    </a:solidFill>
                    <a:latin typeface="Arial"/>
                    <a:cs typeface="Arial"/>
                  </a:rPr>
                  <a:t>)</a:t>
                </a:r>
              </a:p>
            </c:rich>
          </c:tx>
          <c:layout>
            <c:manualLayout>
              <c:xMode val="edge"/>
              <c:yMode val="edge"/>
              <c:x val="0.44146864831018501"/>
              <c:y val="0.925234457633098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37380224"/>
        <c:crosses val="autoZero"/>
        <c:crossBetween val="midCat"/>
      </c:valAx>
      <c:valAx>
        <c:axId val="137380224"/>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t>Tower Top Mass (Metric Tons )</a:t>
                </a:r>
              </a:p>
            </c:rich>
          </c:tx>
          <c:layout>
            <c:manualLayout>
              <c:xMode val="edge"/>
              <c:yMode val="edge"/>
              <c:x val="8.9285563655593994E-3"/>
              <c:y val="0.23738335879656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37357184"/>
        <c:crosses val="autoZero"/>
        <c:crossBetween val="midCat"/>
      </c:valAx>
      <c:spPr>
        <a:noFill/>
        <a:ln w="25400">
          <a:noFill/>
        </a:ln>
      </c:spPr>
    </c:plotArea>
    <c:legend>
      <c:legendPos val="r"/>
      <c:legendEntry>
        <c:idx val="2"/>
        <c:delete val="1"/>
      </c:legendEntry>
      <c:legendEntry>
        <c:idx val="3"/>
        <c:delete val="1"/>
      </c:legendEntry>
      <c:legendEntry>
        <c:idx val="4"/>
        <c:delete val="1"/>
      </c:legendEntry>
      <c:layout>
        <c:manualLayout>
          <c:xMode val="edge"/>
          <c:yMode val="edge"/>
          <c:wMode val="edge"/>
          <c:hMode val="edge"/>
          <c:x val="9.0079259252049598E-2"/>
          <c:y val="6.9121714263328998E-2"/>
          <c:w val="0.282003575263849"/>
          <c:h val="0.650390566850788"/>
        </c:manualLayout>
      </c:layout>
      <c:overlay val="0"/>
      <c:spPr>
        <a:solidFill>
          <a:srgbClr val="FFFFFF"/>
        </a:solidFill>
        <a:ln w="3175">
          <a:solidFill>
            <a:srgbClr val="000000"/>
          </a:solidFill>
          <a:prstDash val="solid"/>
        </a:ln>
      </c:spPr>
      <c:txPr>
        <a:bodyPr/>
        <a:lstStyle/>
        <a:p>
          <a:pPr>
            <a:defRPr sz="65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Total Pitch Bearing Mass vs Total Blade Mass</a:t>
            </a:r>
          </a:p>
        </c:rich>
      </c:tx>
      <c:layout>
        <c:manualLayout>
          <c:xMode val="edge"/>
          <c:yMode val="edge"/>
          <c:x val="0.16095011031987499"/>
          <c:y val="3.5335698778393598E-2"/>
        </c:manualLayout>
      </c:layout>
      <c:overlay val="0"/>
      <c:spPr>
        <a:noFill/>
        <a:ln w="25400">
          <a:noFill/>
        </a:ln>
      </c:spPr>
    </c:title>
    <c:autoTitleDeleted val="0"/>
    <c:plotArea>
      <c:layout>
        <c:manualLayout>
          <c:layoutTarget val="inner"/>
          <c:xMode val="edge"/>
          <c:yMode val="edge"/>
          <c:x val="0.145606131902835"/>
          <c:y val="0.11194776578853601"/>
          <c:w val="0.78731415545168404"/>
          <c:h val="0.70390800686951505"/>
        </c:manualLayout>
      </c:layout>
      <c:scatterChart>
        <c:scatterStyle val="lineMarker"/>
        <c:varyColors val="0"/>
        <c:ser>
          <c:idx val="0"/>
          <c:order val="0"/>
          <c:tx>
            <c:v>Base Data</c:v>
          </c:tx>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2.5756241778210598E-3"/>
                  <c:y val="-0.206477299579753"/>
                </c:manualLayout>
              </c:layout>
              <c:numFmt formatCode="General"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trendlineLbl>
          </c:trendline>
          <c:xVal>
            <c:numRef>
              <c:f>'Pitch Mech &amp; Bearings'!$B$35:$B$43</c:f>
              <c:numCache>
                <c:formatCode>General</c:formatCode>
                <c:ptCount val="9"/>
                <c:pt idx="0">
                  <c:v>4227</c:v>
                </c:pt>
                <c:pt idx="1">
                  <c:v>5454</c:v>
                </c:pt>
                <c:pt idx="2">
                  <c:v>11662</c:v>
                </c:pt>
                <c:pt idx="3">
                  <c:v>12690</c:v>
                </c:pt>
                <c:pt idx="4">
                  <c:v>31699</c:v>
                </c:pt>
                <c:pt idx="5">
                  <c:v>30000</c:v>
                </c:pt>
                <c:pt idx="6">
                  <c:v>38808</c:v>
                </c:pt>
                <c:pt idx="7">
                  <c:v>66653</c:v>
                </c:pt>
                <c:pt idx="8">
                  <c:v>81717</c:v>
                </c:pt>
              </c:numCache>
            </c:numRef>
          </c:xVal>
          <c:yVal>
            <c:numRef>
              <c:f>'Pitch Mech &amp; Bearings'!$C$35:$C$43</c:f>
              <c:numCache>
                <c:formatCode>0</c:formatCode>
                <c:ptCount val="9"/>
                <c:pt idx="0" formatCode="General">
                  <c:v>620</c:v>
                </c:pt>
                <c:pt idx="1">
                  <c:v>1349</c:v>
                </c:pt>
                <c:pt idx="2">
                  <c:v>1850</c:v>
                </c:pt>
                <c:pt idx="3">
                  <c:v>2619</c:v>
                </c:pt>
                <c:pt idx="4">
                  <c:v>4700</c:v>
                </c:pt>
                <c:pt idx="5">
                  <c:v>4602</c:v>
                </c:pt>
                <c:pt idx="6">
                  <c:v>6282</c:v>
                </c:pt>
                <c:pt idx="7">
                  <c:v>5700</c:v>
                </c:pt>
                <c:pt idx="8">
                  <c:v>13338</c:v>
                </c:pt>
              </c:numCache>
            </c:numRef>
          </c:yVal>
          <c:smooth val="0"/>
        </c:ser>
        <c:ser>
          <c:idx val="1"/>
          <c:order val="1"/>
          <c:tx>
            <c:v>Current Design</c:v>
          </c:tx>
          <c:spPr>
            <a:ln w="28575">
              <a:noFill/>
            </a:ln>
          </c:spPr>
          <c:marker>
            <c:symbol val="circle"/>
            <c:size val="8"/>
            <c:spPr>
              <a:solidFill>
                <a:srgbClr val="00FF00"/>
              </a:solidFill>
              <a:ln>
                <a:solidFill>
                  <a:srgbClr val="00FF00"/>
                </a:solidFill>
                <a:prstDash val="solid"/>
              </a:ln>
            </c:spPr>
          </c:marker>
          <c:xVal>
            <c:numRef>
              <c:f>'Pitch Mech &amp; Bearings'!$B$45</c:f>
              <c:numCache>
                <c:formatCode>0</c:formatCode>
                <c:ptCount val="1"/>
                <c:pt idx="0">
                  <c:v>27248.601187263586</c:v>
                </c:pt>
              </c:numCache>
            </c:numRef>
          </c:xVal>
          <c:yVal>
            <c:numRef>
              <c:f>'Pitch Mech &amp; Bearings'!$C$45</c:f>
              <c:numCache>
                <c:formatCode>0</c:formatCode>
                <c:ptCount val="1"/>
                <c:pt idx="0">
                  <c:v>4020.0038537506343</c:v>
                </c:pt>
              </c:numCache>
            </c:numRef>
          </c:yVal>
          <c:smooth val="0"/>
        </c:ser>
        <c:dLbls>
          <c:showLegendKey val="0"/>
          <c:showVal val="0"/>
          <c:showCatName val="0"/>
          <c:showSerName val="0"/>
          <c:showPercent val="0"/>
          <c:showBubbleSize val="0"/>
        </c:dLbls>
        <c:axId val="137481216"/>
        <c:axId val="137487872"/>
      </c:scatterChart>
      <c:valAx>
        <c:axId val="137481216"/>
        <c:scaling>
          <c:orientation val="minMax"/>
        </c:scaling>
        <c:delete val="0"/>
        <c:axPos val="b"/>
        <c:title>
          <c:tx>
            <c:rich>
              <a:bodyPr/>
              <a:lstStyle/>
              <a:p>
                <a:pPr>
                  <a:defRPr sz="1000" b="1" i="0" u="none" strike="noStrike" baseline="0">
                    <a:solidFill>
                      <a:srgbClr val="000000"/>
                    </a:solidFill>
                    <a:latin typeface="Arial"/>
                    <a:ea typeface="Arial"/>
                    <a:cs typeface="Arial"/>
                  </a:defRPr>
                </a:pPr>
                <a:r>
                  <a:t>Total Blade Mass (3 Blades)</a:t>
                </a:r>
              </a:p>
            </c:rich>
          </c:tx>
          <c:layout>
            <c:manualLayout>
              <c:xMode val="edge"/>
              <c:yMode val="edge"/>
              <c:x val="0.35092407273792098"/>
              <c:y val="0.865725835196532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7487872"/>
        <c:crosses val="autoZero"/>
        <c:crossBetween val="midCat"/>
      </c:valAx>
      <c:valAx>
        <c:axId val="13748787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t>Total Pitch Bearing Mass (3 Bearings)</a:t>
                </a:r>
              </a:p>
            </c:rich>
          </c:tx>
          <c:layout>
            <c:manualLayout>
              <c:xMode val="edge"/>
              <c:yMode val="edge"/>
              <c:x val="4.22163315242969E-2"/>
              <c:y val="0.307420854800558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7481216"/>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Bearing Cost vs Rotor Diameter</a:t>
            </a:r>
          </a:p>
        </c:rich>
      </c:tx>
      <c:layout>
        <c:manualLayout>
          <c:xMode val="edge"/>
          <c:yMode val="edge"/>
          <c:x val="0.17678125272704201"/>
          <c:y val="3.8461559978182097E-2"/>
        </c:manualLayout>
      </c:layout>
      <c:overlay val="0"/>
      <c:spPr>
        <a:noFill/>
        <a:ln w="25400">
          <a:noFill/>
        </a:ln>
      </c:spPr>
    </c:title>
    <c:autoTitleDeleted val="0"/>
    <c:plotArea>
      <c:layout>
        <c:manualLayout>
          <c:layoutTarget val="inner"/>
          <c:xMode val="edge"/>
          <c:yMode val="edge"/>
          <c:x val="0.206815017688006"/>
          <c:y val="0.112356284061295"/>
          <c:w val="0.72458451644951305"/>
          <c:h val="0.64638611114996003"/>
        </c:manualLayout>
      </c:layout>
      <c:scatterChart>
        <c:scatterStyle val="lineMarker"/>
        <c:varyColors val="0"/>
        <c:ser>
          <c:idx val="2"/>
          <c:order val="0"/>
          <c:tx>
            <c:v>Base Data</c:v>
          </c:tx>
          <c:spPr>
            <a:ln w="28575">
              <a:noFill/>
            </a:ln>
          </c:spPr>
          <c:marker>
            <c:symbol val="triangle"/>
            <c:size val="5"/>
            <c:spPr>
              <a:solidFill>
                <a:srgbClr val="FFFF00"/>
              </a:solidFill>
              <a:ln>
                <a:solidFill>
                  <a:srgbClr val="FFFF00"/>
                </a:solidFill>
                <a:prstDash val="solid"/>
              </a:ln>
            </c:spPr>
          </c:marker>
          <c:trendline>
            <c:spPr>
              <a:ln w="25400">
                <a:solidFill>
                  <a:srgbClr val="000000"/>
                </a:solidFill>
                <a:prstDash val="solid"/>
              </a:ln>
            </c:spPr>
            <c:trendlineType val="power"/>
            <c:dispRSqr val="0"/>
            <c:dispEq val="1"/>
            <c:trendlineLbl>
              <c:layout>
                <c:manualLayout>
                  <c:x val="-6.4820062024785199E-2"/>
                  <c:y val="-0.12587426611970701"/>
                </c:manualLayout>
              </c:layout>
              <c:numFmt formatCode="General"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trendlineLbl>
          </c:trendline>
          <c:xVal>
            <c:numRef>
              <c:f>'Pitch Mech &amp; Bearings'!$A$35:$A$43</c:f>
              <c:numCache>
                <c:formatCode>General</c:formatCode>
                <c:ptCount val="9"/>
                <c:pt idx="0">
                  <c:v>46.6</c:v>
                </c:pt>
                <c:pt idx="1">
                  <c:v>50</c:v>
                </c:pt>
                <c:pt idx="2">
                  <c:v>66</c:v>
                </c:pt>
                <c:pt idx="3">
                  <c:v>70</c:v>
                </c:pt>
                <c:pt idx="4">
                  <c:v>93</c:v>
                </c:pt>
                <c:pt idx="5">
                  <c:v>93</c:v>
                </c:pt>
                <c:pt idx="6">
                  <c:v>99</c:v>
                </c:pt>
                <c:pt idx="7">
                  <c:v>120</c:v>
                </c:pt>
                <c:pt idx="8">
                  <c:v>128</c:v>
                </c:pt>
              </c:numCache>
            </c:numRef>
          </c:xVal>
          <c:yVal>
            <c:numRef>
              <c:f>'Pitch Mech &amp; Bearings'!$D$35:$D$43</c:f>
              <c:numCache>
                <c:formatCode>"$"#,##0</c:formatCode>
                <c:ptCount val="9"/>
                <c:pt idx="0" formatCode="&quot;$&quot;#,##0_);\(&quot;$&quot;#,##0\)">
                  <c:v>4045</c:v>
                </c:pt>
                <c:pt idx="1">
                  <c:v>9500</c:v>
                </c:pt>
                <c:pt idx="2">
                  <c:v>13795</c:v>
                </c:pt>
                <c:pt idx="3">
                  <c:v>18000</c:v>
                </c:pt>
                <c:pt idx="4">
                  <c:v>31754</c:v>
                </c:pt>
                <c:pt idx="5">
                  <c:v>45634.001592241446</c:v>
                </c:pt>
                <c:pt idx="6">
                  <c:v>42500</c:v>
                </c:pt>
                <c:pt idx="8">
                  <c:v>74608</c:v>
                </c:pt>
              </c:numCache>
            </c:numRef>
          </c:yVal>
          <c:smooth val="0"/>
        </c:ser>
        <c:ser>
          <c:idx val="0"/>
          <c:order val="1"/>
          <c:tx>
            <c:v>Current Design</c:v>
          </c:tx>
          <c:spPr>
            <a:ln w="28575">
              <a:noFill/>
            </a:ln>
          </c:spPr>
          <c:marker>
            <c:symbol val="circle"/>
            <c:size val="8"/>
            <c:spPr>
              <a:solidFill>
                <a:srgbClr val="00FF00"/>
              </a:solidFill>
              <a:ln>
                <a:solidFill>
                  <a:srgbClr val="00FF00"/>
                </a:solidFill>
                <a:prstDash val="solid"/>
              </a:ln>
            </c:spPr>
          </c:marker>
          <c:xVal>
            <c:numRef>
              <c:f>'Pitch Mech &amp; Bearings'!$A$45</c:f>
              <c:numCache>
                <c:formatCode>General</c:formatCode>
                <c:ptCount val="1"/>
                <c:pt idx="0">
                  <c:v>96.9</c:v>
                </c:pt>
              </c:numCache>
            </c:numRef>
          </c:xVal>
          <c:yVal>
            <c:numRef>
              <c:f>'Pitch Mech &amp; Bearings'!$D$45</c:f>
              <c:numCache>
                <c:formatCode>"$"#,##0</c:formatCode>
                <c:ptCount val="1"/>
                <c:pt idx="0">
                  <c:v>40023.257840633101</c:v>
                </c:pt>
              </c:numCache>
            </c:numRef>
          </c:yVal>
          <c:smooth val="0"/>
        </c:ser>
        <c:dLbls>
          <c:showLegendKey val="0"/>
          <c:showVal val="0"/>
          <c:showCatName val="0"/>
          <c:showSerName val="0"/>
          <c:showPercent val="0"/>
          <c:showBubbleSize val="0"/>
        </c:dLbls>
        <c:axId val="134855296"/>
        <c:axId val="134866048"/>
      </c:scatterChart>
      <c:valAx>
        <c:axId val="134855296"/>
        <c:scaling>
          <c:orientation val="minMax"/>
        </c:scaling>
        <c:delete val="0"/>
        <c:axPos val="b"/>
        <c:title>
          <c:tx>
            <c:rich>
              <a:bodyPr/>
              <a:lstStyle/>
              <a:p>
                <a:pPr>
                  <a:defRPr sz="1000" b="1" i="0" u="none" strike="noStrike" baseline="0">
                    <a:solidFill>
                      <a:srgbClr val="000000"/>
                    </a:solidFill>
                    <a:latin typeface="Arial"/>
                    <a:ea typeface="Arial"/>
                    <a:cs typeface="Arial"/>
                  </a:defRPr>
                </a:pPr>
                <a:r>
                  <a:t>Rotor Diameter in meters</a:t>
                </a:r>
              </a:p>
            </c:rich>
          </c:tx>
          <c:layout>
            <c:manualLayout>
              <c:xMode val="edge"/>
              <c:yMode val="edge"/>
              <c:x val="0.38522477529183802"/>
              <c:y val="0.867134352433302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4866048"/>
        <c:crosses val="autoZero"/>
        <c:crossBetween val="midCat"/>
      </c:valAx>
      <c:valAx>
        <c:axId val="134866048"/>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t>Bearing Cost $ (3 Bearings)</a:t>
                </a:r>
              </a:p>
            </c:rich>
          </c:tx>
          <c:layout>
            <c:manualLayout>
              <c:xMode val="edge"/>
              <c:yMode val="edge"/>
              <c:x val="4.2216404535111197E-2"/>
              <c:y val="0.188811531773449"/>
            </c:manualLayout>
          </c:layout>
          <c:overlay val="0"/>
          <c:spPr>
            <a:noFill/>
            <a:ln w="25400">
              <a:noFill/>
            </a:ln>
          </c:spPr>
        </c:title>
        <c:numFmt formatCode="&quot;$&quot;#,##0_);\(&quot;$&quot;#,##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4855296"/>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125" b="1" i="0" u="none" strike="noStrike" baseline="0">
                <a:solidFill>
                  <a:srgbClr val="000000"/>
                </a:solidFill>
                <a:latin typeface="Arial"/>
                <a:ea typeface="Arial"/>
                <a:cs typeface="Arial"/>
              </a:defRPr>
            </a:pPr>
            <a:r>
              <a:t>Nose Cone / Spinner Mass</a:t>
            </a:r>
          </a:p>
        </c:rich>
      </c:tx>
      <c:layout>
        <c:manualLayout>
          <c:xMode val="edge"/>
          <c:yMode val="edge"/>
          <c:x val="0.23632822752624699"/>
          <c:y val="2.9880478087649501E-2"/>
        </c:manualLayout>
      </c:layout>
      <c:overlay val="0"/>
      <c:spPr>
        <a:noFill/>
        <a:ln w="25400">
          <a:noFill/>
        </a:ln>
      </c:spPr>
    </c:title>
    <c:autoTitleDeleted val="0"/>
    <c:plotArea>
      <c:layout>
        <c:manualLayout>
          <c:layoutTarget val="inner"/>
          <c:xMode val="edge"/>
          <c:yMode val="edge"/>
          <c:x val="0.151367259677535"/>
          <c:y val="0.25697236150355901"/>
          <c:w val="0.82226601708699099"/>
          <c:h val="0.53386506110816601"/>
        </c:manualLayout>
      </c:layout>
      <c:scatterChart>
        <c:scatterStyle val="smoothMarker"/>
        <c:varyColors val="0"/>
        <c:ser>
          <c:idx val="3"/>
          <c:order val="0"/>
          <c:tx>
            <c:v>Current Design</c:v>
          </c:tx>
          <c:spPr>
            <a:ln w="28575">
              <a:noFill/>
            </a:ln>
          </c:spPr>
          <c:marker>
            <c:symbol val="circle"/>
            <c:size val="14"/>
            <c:spPr>
              <a:solidFill>
                <a:srgbClr val="00FF00"/>
              </a:solidFill>
              <a:ln>
                <a:solidFill>
                  <a:srgbClr val="00FF00"/>
                </a:solidFill>
                <a:prstDash val="solid"/>
              </a:ln>
            </c:spPr>
          </c:marker>
          <c:xVal>
            <c:numRef>
              <c:f>'Nose cone'!$H$9</c:f>
              <c:numCache>
                <c:formatCode>General</c:formatCode>
                <c:ptCount val="1"/>
                <c:pt idx="0">
                  <c:v>96.9</c:v>
                </c:pt>
              </c:numCache>
            </c:numRef>
          </c:xVal>
          <c:yVal>
            <c:numRef>
              <c:f>'Nose cone'!$I$9</c:f>
              <c:numCache>
                <c:formatCode>0</c:formatCode>
                <c:ptCount val="1"/>
                <c:pt idx="0">
                  <c:v>1272.1500000000001</c:v>
                </c:pt>
              </c:numCache>
            </c:numRef>
          </c:yVal>
          <c:smooth val="1"/>
        </c:ser>
        <c:ser>
          <c:idx val="0"/>
          <c:order val="1"/>
          <c:tx>
            <c:v>Manufacturer data</c:v>
          </c:tx>
          <c:spPr>
            <a:ln w="28575">
              <a:noFill/>
            </a:ln>
          </c:spPr>
          <c:marker>
            <c:symbol val="diamond"/>
            <c:size val="8"/>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3.54289513512418E-2"/>
                  <c:y val="-0.109455615672177"/>
                </c:manualLayout>
              </c:layout>
              <c:numFmt formatCode="General" sourceLinked="0"/>
              <c:spPr>
                <a:solidFill>
                  <a:srgbClr val="FFFFFF"/>
                </a:solidFill>
                <a:ln w="25400">
                  <a:noFill/>
                </a:ln>
              </c:spPr>
              <c:txPr>
                <a:bodyPr/>
                <a:lstStyle/>
                <a:p>
                  <a:pPr>
                    <a:defRPr sz="1125" b="0" i="0" u="none" strike="noStrike" baseline="0">
                      <a:solidFill>
                        <a:srgbClr val="000000"/>
                      </a:solidFill>
                      <a:latin typeface="Arial"/>
                      <a:ea typeface="Arial"/>
                      <a:cs typeface="Arial"/>
                    </a:defRPr>
                  </a:pPr>
                  <a:endParaRPr lang="en-US"/>
                </a:p>
              </c:txPr>
            </c:trendlineLbl>
          </c:trendline>
          <c:xVal>
            <c:numRef>
              <c:f>'Nose cone'!$A$16:$A$17</c:f>
              <c:numCache>
                <c:formatCode>General</c:formatCode>
                <c:ptCount val="2"/>
                <c:pt idx="0">
                  <c:v>43</c:v>
                </c:pt>
                <c:pt idx="1">
                  <c:v>93</c:v>
                </c:pt>
              </c:numCache>
            </c:numRef>
          </c:xVal>
          <c:yVal>
            <c:numRef>
              <c:f>'Nose cone'!$B$16:$B$17</c:f>
              <c:numCache>
                <c:formatCode>0</c:formatCode>
                <c:ptCount val="2"/>
                <c:pt idx="0">
                  <c:v>275</c:v>
                </c:pt>
                <c:pt idx="1">
                  <c:v>1200</c:v>
                </c:pt>
              </c:numCache>
            </c:numRef>
          </c:yVal>
          <c:smooth val="1"/>
        </c:ser>
        <c:dLbls>
          <c:showLegendKey val="0"/>
          <c:showVal val="0"/>
          <c:showCatName val="0"/>
          <c:showSerName val="0"/>
          <c:showPercent val="0"/>
          <c:showBubbleSize val="0"/>
        </c:dLbls>
        <c:axId val="137645056"/>
        <c:axId val="137651328"/>
      </c:scatterChart>
      <c:valAx>
        <c:axId val="137645056"/>
        <c:scaling>
          <c:orientation val="minMax"/>
          <c:max val="160"/>
          <c:min val="0"/>
        </c:scaling>
        <c:delete val="0"/>
        <c:axPos val="b"/>
        <c:title>
          <c:tx>
            <c:rich>
              <a:bodyPr/>
              <a:lstStyle/>
              <a:p>
                <a:pPr>
                  <a:defRPr sz="1575" b="1" i="0" u="none" strike="noStrike" baseline="0">
                    <a:solidFill>
                      <a:srgbClr val="000000"/>
                    </a:solidFill>
                    <a:latin typeface="Arial"/>
                    <a:ea typeface="Arial"/>
                    <a:cs typeface="Arial"/>
                  </a:defRPr>
                </a:pPr>
                <a:r>
                  <a:t>Rotor Diameter (m)</a:t>
                </a:r>
              </a:p>
            </c:rich>
          </c:tx>
          <c:layout>
            <c:manualLayout>
              <c:xMode val="edge"/>
              <c:yMode val="edge"/>
              <c:x val="0.46679708005249299"/>
              <c:y val="0.8924311154332800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575" b="0" i="0" u="none" strike="noStrike" baseline="0">
                <a:solidFill>
                  <a:srgbClr val="000000"/>
                </a:solidFill>
                <a:latin typeface="Arial"/>
                <a:ea typeface="Arial"/>
                <a:cs typeface="Arial"/>
              </a:defRPr>
            </a:pPr>
            <a:endParaRPr lang="en-US"/>
          </a:p>
        </c:txPr>
        <c:crossAx val="137651328"/>
        <c:crosses val="autoZero"/>
        <c:crossBetween val="midCat"/>
        <c:majorUnit val="20"/>
      </c:valAx>
      <c:valAx>
        <c:axId val="137651328"/>
        <c:scaling>
          <c:orientation val="minMax"/>
        </c:scaling>
        <c:delete val="0"/>
        <c:axPos val="l"/>
        <c:majorGridlines>
          <c:spPr>
            <a:ln w="3175">
              <a:solidFill>
                <a:srgbClr val="000000"/>
              </a:solidFill>
              <a:prstDash val="solid"/>
            </a:ln>
          </c:spPr>
        </c:majorGridlines>
        <c:title>
          <c:tx>
            <c:rich>
              <a:bodyPr/>
              <a:lstStyle/>
              <a:p>
                <a:pPr>
                  <a:defRPr sz="1575" b="1" i="0" u="none" strike="noStrike" baseline="0">
                    <a:solidFill>
                      <a:srgbClr val="000000"/>
                    </a:solidFill>
                    <a:latin typeface="Arial"/>
                    <a:ea typeface="Arial"/>
                    <a:cs typeface="Arial"/>
                  </a:defRPr>
                </a:pPr>
                <a:r>
                  <a:t>Nose Cone / Spinner Mass (kg)</a:t>
                </a:r>
              </a:p>
            </c:rich>
          </c:tx>
          <c:layout>
            <c:manualLayout>
              <c:xMode val="edge"/>
              <c:yMode val="edge"/>
              <c:x val="2.2460937500000201E-2"/>
              <c:y val="0.25498028881848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575" b="0" i="0" u="none" strike="noStrike" baseline="0">
                <a:solidFill>
                  <a:srgbClr val="000000"/>
                </a:solidFill>
                <a:latin typeface="Arial"/>
                <a:ea typeface="Arial"/>
                <a:cs typeface="Arial"/>
              </a:defRPr>
            </a:pPr>
            <a:endParaRPr lang="en-US"/>
          </a:p>
        </c:txPr>
        <c:crossAx val="137645056"/>
        <c:crosses val="autoZero"/>
        <c:crossBetween val="midCat"/>
      </c:valAx>
      <c:spPr>
        <a:noFill/>
        <a:ln w="25400">
          <a:noFill/>
        </a:ln>
      </c:spPr>
    </c:plotArea>
    <c:legend>
      <c:legendPos val="r"/>
      <c:layout>
        <c:manualLayout>
          <c:xMode val="edge"/>
          <c:yMode val="edge"/>
          <c:wMode val="edge"/>
          <c:hMode val="edge"/>
          <c:x val="0.16406260252624699"/>
          <c:y val="0.27490060754357898"/>
          <c:w val="0.41796895505249598"/>
          <c:h val="0.44621555771664001"/>
        </c:manualLayout>
      </c:layout>
      <c:overlay val="0"/>
      <c:spPr>
        <a:solidFill>
          <a:srgbClr val="FFFFFF"/>
        </a:solidFill>
        <a:ln w="3175">
          <a:solidFill>
            <a:srgbClr val="000000"/>
          </a:solidFill>
          <a:prstDash val="solid"/>
        </a:ln>
      </c:spPr>
      <c:txPr>
        <a:bodyPr/>
        <a:lstStyle/>
        <a:p>
          <a:pPr>
            <a:defRPr sz="65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6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75" b="1" i="0" u="none" strike="noStrike" baseline="0">
                <a:solidFill>
                  <a:srgbClr val="000000"/>
                </a:solidFill>
                <a:latin typeface="Arial"/>
                <a:ea typeface="Arial"/>
                <a:cs typeface="Arial"/>
              </a:defRPr>
            </a:pPr>
            <a:r>
              <a:rPr lang="en-US"/>
              <a:t>Offshore COE Cost</a:t>
            </a:r>
          </a:p>
        </c:rich>
      </c:tx>
      <c:layout>
        <c:manualLayout>
          <c:xMode val="edge"/>
          <c:yMode val="edge"/>
          <c:x val="0.30000007753831398"/>
          <c:y val="3.3519473018518903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9642857142857398"/>
          <c:y val="0.45251458367147201"/>
          <c:w val="0.40892857142857297"/>
          <c:h val="0.25419029082780198"/>
        </c:manualLayout>
      </c:layout>
      <c:pie3DChart>
        <c:varyColors val="1"/>
        <c:ser>
          <c:idx val="0"/>
          <c:order val="0"/>
          <c:spPr>
            <a:solidFill>
              <a:srgbClr val="9999FF"/>
            </a:solidFill>
            <a:ln w="12700">
              <a:solidFill>
                <a:srgbClr val="000000"/>
              </a:solidFill>
              <a:prstDash val="solid"/>
            </a:ln>
          </c:spPr>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dLbls>
            <c:dLbl>
              <c:idx val="0"/>
              <c:numFmt formatCode="0%" sourceLinked="0"/>
              <c:spPr>
                <a:noFill/>
                <a:ln w="25400">
                  <a:noFill/>
                </a:ln>
              </c:spPr>
              <c:txPr>
                <a:bodyPr/>
                <a:lstStyle/>
                <a:p>
                  <a:pPr>
                    <a:defRPr sz="9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dLbl>
              <c:idx val="1"/>
              <c:numFmt formatCode="0%" sourceLinked="0"/>
              <c:spPr>
                <a:noFill/>
                <a:ln w="25400">
                  <a:noFill/>
                </a:ln>
              </c:spPr>
              <c:txPr>
                <a:bodyPr/>
                <a:lstStyle/>
                <a:p>
                  <a:pPr>
                    <a:defRPr sz="9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dLbl>
              <c:idx val="2"/>
              <c:numFmt formatCode="0%" sourceLinked="0"/>
              <c:spPr>
                <a:noFill/>
                <a:ln w="25400">
                  <a:noFill/>
                </a:ln>
              </c:spPr>
              <c:txPr>
                <a:bodyPr/>
                <a:lstStyle/>
                <a:p>
                  <a:pPr>
                    <a:defRPr sz="9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dLbl>
              <c:idx val="3"/>
              <c:numFmt formatCode="0%" sourceLinked="0"/>
              <c:spPr>
                <a:noFill/>
                <a:ln w="25400">
                  <a:noFill/>
                </a:ln>
              </c:spPr>
              <c:txPr>
                <a:bodyPr/>
                <a:lstStyle/>
                <a:p>
                  <a:pPr>
                    <a:defRPr sz="9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dLbl>
              <c:idx val="4"/>
              <c:numFmt formatCode="0%" sourceLinked="0"/>
              <c:spPr>
                <a:noFill/>
                <a:ln w="25400">
                  <a:noFill/>
                </a:ln>
              </c:spPr>
              <c:txPr>
                <a:bodyPr/>
                <a:lstStyle/>
                <a:p>
                  <a:pPr>
                    <a:defRPr sz="9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dLbl>
              <c:idx val="5"/>
              <c:numFmt formatCode="0%" sourceLinked="0"/>
              <c:spPr>
                <a:noFill/>
                <a:ln w="25400">
                  <a:noFill/>
                </a:ln>
              </c:spPr>
              <c:txPr>
                <a:bodyPr/>
                <a:lstStyle/>
                <a:p>
                  <a:pPr>
                    <a:defRPr sz="9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dLbl>
              <c:idx val="6"/>
              <c:numFmt formatCode="0%" sourceLinked="0"/>
              <c:spPr>
                <a:noFill/>
                <a:ln w="25400">
                  <a:noFill/>
                </a:ln>
              </c:spPr>
              <c:txPr>
                <a:bodyPr/>
                <a:lstStyle/>
                <a:p>
                  <a:pPr>
                    <a:defRPr sz="9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dLbl>
              <c:idx val="7"/>
              <c:numFmt formatCode="0%" sourceLinked="0"/>
              <c:spPr>
                <a:noFill/>
                <a:ln w="25400">
                  <a:noFill/>
                </a:ln>
              </c:spPr>
              <c:txPr>
                <a:bodyPr/>
                <a:lstStyle/>
                <a:p>
                  <a:pPr>
                    <a:defRPr sz="900" b="0" i="0" u="none" strike="noStrike" baseline="0">
                      <a:solidFill>
                        <a:srgbClr val="000000"/>
                      </a:solidFill>
                      <a:latin typeface="Arial"/>
                      <a:ea typeface="Arial"/>
                      <a:cs typeface="Arial"/>
                    </a:defRPr>
                  </a:pPr>
                  <a:endParaRPr lang="en-US"/>
                </a:p>
              </c:txPr>
              <c:dLblPos val="bestFit"/>
              <c:showLegendKey val="0"/>
              <c:showVal val="0"/>
              <c:showCatName val="1"/>
              <c:showSerName val="0"/>
              <c:showPercent val="1"/>
              <c:showBubbleSize val="0"/>
            </c:dLbl>
            <c:numFmt formatCode="0%" sourceLinked="0"/>
            <c:spPr>
              <a:noFill/>
              <a:ln w="25400">
                <a:noFill/>
              </a:ln>
            </c:spPr>
            <c:txPr>
              <a:bodyPr/>
              <a:lstStyle/>
              <a:p>
                <a:pPr>
                  <a:defRPr sz="15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'Input &amp; Summary'!$A$67:$A$74</c:f>
              <c:strCache>
                <c:ptCount val="8"/>
                <c:pt idx="0">
                  <c:v>Turbine</c:v>
                </c:pt>
                <c:pt idx="1">
                  <c:v>Offshore Warranty</c:v>
                </c:pt>
                <c:pt idx="2">
                  <c:v>Misc BOS</c:v>
                </c:pt>
                <c:pt idx="3">
                  <c:v>Support Structure</c:v>
                </c:pt>
                <c:pt idx="4">
                  <c:v>Eng/Permits/Surety</c:v>
                </c:pt>
                <c:pt idx="5">
                  <c:v>Electrical Infrastructure</c:v>
                </c:pt>
                <c:pt idx="6">
                  <c:v>LRC &amp; Lease Cost</c:v>
                </c:pt>
                <c:pt idx="7">
                  <c:v>O&amp;M (After Tax)</c:v>
                </c:pt>
              </c:strCache>
            </c:strRef>
          </c:cat>
          <c:val>
            <c:numRef>
              <c:f>'Input &amp; Summary'!$B$67:$B$74</c:f>
              <c:numCache>
                <c:formatCode>"$"#,##0.0000</c:formatCode>
                <c:ptCount val="8"/>
                <c:pt idx="0">
                  <c:v>3.4719921004214997E-2</c:v>
                </c:pt>
                <c:pt idx="1">
                  <c:v>0</c:v>
                </c:pt>
                <c:pt idx="2">
                  <c:v>9.4676314587608945E-2</c:v>
                </c:pt>
                <c:pt idx="3">
                  <c:v>4.6806218466956126E-4</c:v>
                </c:pt>
                <c:pt idx="4">
                  <c:v>5.3879942131505203E-2</c:v>
                </c:pt>
                <c:pt idx="5">
                  <c:v>2.7399381339838474E-2</c:v>
                </c:pt>
                <c:pt idx="6">
                  <c:v>4.1602389130830026E-3</c:v>
                </c:pt>
                <c:pt idx="7">
                  <c:v>4.7306122448979582E-3</c:v>
                </c:pt>
              </c:numCache>
            </c:numRef>
          </c:val>
        </c:ser>
        <c:ser>
          <c:idx val="1"/>
          <c:order val="1"/>
          <c:spPr>
            <a:solidFill>
              <a:srgbClr val="993366"/>
            </a:solidFill>
            <a:ln w="12700">
              <a:solidFill>
                <a:srgbClr val="000000"/>
              </a:solidFill>
              <a:prstDash val="solid"/>
            </a:ln>
          </c:spPr>
          <c:dPt>
            <c:idx val="0"/>
            <c:bubble3D val="0"/>
            <c:spPr>
              <a:solidFill>
                <a:srgbClr val="9999FF"/>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dLbls>
            <c:numFmt formatCode="0%" sourceLinked="0"/>
            <c:spPr>
              <a:noFill/>
              <a:ln w="25400">
                <a:noFill/>
              </a:ln>
            </c:spPr>
            <c:txPr>
              <a:bodyPr/>
              <a:lstStyle/>
              <a:p>
                <a:pPr>
                  <a:defRPr sz="1500"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'Input &amp; Summary'!$A$67:$A$74</c:f>
              <c:strCache>
                <c:ptCount val="8"/>
                <c:pt idx="0">
                  <c:v>Turbine</c:v>
                </c:pt>
                <c:pt idx="1">
                  <c:v>Offshore Warranty</c:v>
                </c:pt>
                <c:pt idx="2">
                  <c:v>Misc BOS</c:v>
                </c:pt>
                <c:pt idx="3">
                  <c:v>Support Structure</c:v>
                </c:pt>
                <c:pt idx="4">
                  <c:v>Eng/Permits/Surety</c:v>
                </c:pt>
                <c:pt idx="5">
                  <c:v>Electrical Infrastructure</c:v>
                </c:pt>
                <c:pt idx="6">
                  <c:v>LRC &amp; Lease Cost</c:v>
                </c:pt>
                <c:pt idx="7">
                  <c:v>O&amp;M (After Tax)</c:v>
                </c:pt>
              </c:strCache>
            </c:strRef>
          </c:cat>
          <c:val>
            <c:numRef>
              <c:f>'Input &amp; Summary'!$C$67:$C$74</c:f>
              <c:numCache>
                <c:formatCode>0.00%</c:formatCode>
                <c:ptCount val="8"/>
                <c:pt idx="0">
                  <c:v>0.15779309771143357</c:v>
                </c:pt>
                <c:pt idx="1">
                  <c:v>0</c:v>
                </c:pt>
                <c:pt idx="2">
                  <c:v>0.43027946281523438</c:v>
                </c:pt>
                <c:pt idx="3">
                  <c:v>2.1272220645785719E-3</c:v>
                </c:pt>
                <c:pt idx="4">
                  <c:v>0.24487045844404021</c:v>
                </c:pt>
                <c:pt idx="5">
                  <c:v>0.12452313058157873</c:v>
                </c:pt>
                <c:pt idx="6">
                  <c:v>1.8907214254183371E-2</c:v>
                </c:pt>
                <c:pt idx="7">
                  <c:v>2.149941412895115E-2</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Low Speed Shaft Cost</a:t>
            </a:r>
          </a:p>
        </c:rich>
      </c:tx>
      <c:layout>
        <c:manualLayout>
          <c:xMode val="edge"/>
          <c:yMode val="edge"/>
          <c:x val="0.27435978436827302"/>
          <c:y val="3.9130474544340502E-2"/>
        </c:manualLayout>
      </c:layout>
      <c:overlay val="0"/>
      <c:spPr>
        <a:noFill/>
        <a:ln w="25400">
          <a:noFill/>
        </a:ln>
      </c:spPr>
    </c:title>
    <c:autoTitleDeleted val="0"/>
    <c:plotArea>
      <c:layout>
        <c:manualLayout>
          <c:layoutTarget val="inner"/>
          <c:xMode val="edge"/>
          <c:yMode val="edge"/>
          <c:x val="0.18854668615525"/>
          <c:y val="0.173318935783808"/>
          <c:w val="0.73966083580870001"/>
          <c:h val="0.60541718701163505"/>
        </c:manualLayout>
      </c:layout>
      <c:scatterChart>
        <c:scatterStyle val="smoothMarker"/>
        <c:varyColors val="0"/>
        <c:ser>
          <c:idx val="0"/>
          <c:order val="0"/>
          <c:tx>
            <c:v>Base Low Speed Shaft Cost</c:v>
          </c:tx>
          <c:spPr>
            <a:ln w="12700">
              <a:solidFill>
                <a:srgbClr val="000080"/>
              </a:solidFill>
              <a:prstDash val="solid"/>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power"/>
            <c:dispRSqr val="0"/>
            <c:dispEq val="1"/>
            <c:trendlineLbl>
              <c:layout>
                <c:manualLayout>
                  <c:x val="-7.9915431718039207E-2"/>
                  <c:y val="-0.15217391304347799"/>
                </c:manualLayout>
              </c:layout>
              <c:numFmt formatCode="General" sourceLinked="0"/>
              <c:spPr>
                <a:noFill/>
                <a:ln w="25400">
                  <a:noFill/>
                </a:ln>
              </c:spPr>
              <c:txPr>
                <a:bodyPr/>
                <a:lstStyle/>
                <a:p>
                  <a:pPr>
                    <a:defRPr sz="1025" b="0" i="0" u="none" strike="noStrike" baseline="0">
                      <a:solidFill>
                        <a:srgbClr val="000000"/>
                      </a:solidFill>
                      <a:latin typeface="Arial"/>
                      <a:ea typeface="Arial"/>
                      <a:cs typeface="Arial"/>
                    </a:defRPr>
                  </a:pPr>
                  <a:endParaRPr lang="en-US"/>
                </a:p>
              </c:txPr>
            </c:trendlineLbl>
          </c:trendline>
          <c:xVal>
            <c:numRef>
              <c:f>'Low Speed Shaft'!$B$30:$B$33</c:f>
              <c:numCache>
                <c:formatCode>General</c:formatCode>
                <c:ptCount val="4"/>
                <c:pt idx="0">
                  <c:v>50</c:v>
                </c:pt>
                <c:pt idx="1">
                  <c:v>70</c:v>
                </c:pt>
                <c:pt idx="2">
                  <c:v>99</c:v>
                </c:pt>
                <c:pt idx="3">
                  <c:v>126</c:v>
                </c:pt>
              </c:numCache>
            </c:numRef>
          </c:xVal>
          <c:yVal>
            <c:numRef>
              <c:f>'Low Speed Shaft'!$C$30:$C$33</c:f>
              <c:numCache>
                <c:formatCode>General</c:formatCode>
                <c:ptCount val="4"/>
                <c:pt idx="0">
                  <c:v>8433</c:v>
                </c:pt>
                <c:pt idx="1">
                  <c:v>19857</c:v>
                </c:pt>
                <c:pt idx="2">
                  <c:v>56263</c:v>
                </c:pt>
                <c:pt idx="3">
                  <c:v>120903</c:v>
                </c:pt>
              </c:numCache>
            </c:numRef>
          </c:yVal>
          <c:smooth val="1"/>
        </c:ser>
        <c:ser>
          <c:idx val="1"/>
          <c:order val="1"/>
          <c:tx>
            <c:v>Current Design</c:v>
          </c:tx>
          <c:spPr>
            <a:ln w="12700">
              <a:solidFill>
                <a:srgbClr val="FF00FF"/>
              </a:solidFill>
              <a:prstDash val="solid"/>
            </a:ln>
          </c:spPr>
          <c:marker>
            <c:symbol val="circle"/>
            <c:size val="8"/>
            <c:spPr>
              <a:solidFill>
                <a:srgbClr val="00FF00"/>
              </a:solidFill>
              <a:ln>
                <a:solidFill>
                  <a:srgbClr val="00FF00"/>
                </a:solidFill>
                <a:prstDash val="solid"/>
              </a:ln>
            </c:spPr>
          </c:marker>
          <c:xVal>
            <c:numRef>
              <c:f>'Low Speed Shaft'!$B$35</c:f>
              <c:numCache>
                <c:formatCode>General</c:formatCode>
                <c:ptCount val="1"/>
                <c:pt idx="0">
                  <c:v>96.9</c:v>
                </c:pt>
              </c:numCache>
            </c:numRef>
          </c:xVal>
          <c:yVal>
            <c:numRef>
              <c:f>'Low Speed Shaft'!$C$35</c:f>
              <c:numCache>
                <c:formatCode>"$"#,##0</c:formatCode>
                <c:ptCount val="1"/>
                <c:pt idx="0">
                  <c:v>54230.446825081759</c:v>
                </c:pt>
              </c:numCache>
            </c:numRef>
          </c:yVal>
          <c:smooth val="1"/>
        </c:ser>
        <c:dLbls>
          <c:showLegendKey val="0"/>
          <c:showVal val="0"/>
          <c:showCatName val="0"/>
          <c:showSerName val="0"/>
          <c:showPercent val="0"/>
          <c:showBubbleSize val="0"/>
        </c:dLbls>
        <c:axId val="137899008"/>
        <c:axId val="137934336"/>
      </c:scatterChart>
      <c:valAx>
        <c:axId val="137899008"/>
        <c:scaling>
          <c:orientation val="minMax"/>
        </c:scaling>
        <c:delete val="0"/>
        <c:axPos val="b"/>
        <c:title>
          <c:tx>
            <c:rich>
              <a:bodyPr/>
              <a:lstStyle/>
              <a:p>
                <a:pPr>
                  <a:defRPr sz="1025" b="1" i="0" u="none" strike="noStrike" baseline="0">
                    <a:solidFill>
                      <a:srgbClr val="000000"/>
                    </a:solidFill>
                    <a:latin typeface="Arial"/>
                    <a:ea typeface="Arial"/>
                    <a:cs typeface="Arial"/>
                  </a:defRPr>
                </a:pPr>
                <a:r>
                  <a:rPr lang="en-US"/>
                  <a:t>Rotor Diameter</a:t>
                </a:r>
              </a:p>
            </c:rich>
          </c:tx>
          <c:layout>
            <c:manualLayout>
              <c:xMode val="edge"/>
              <c:yMode val="edge"/>
              <c:x val="0.40936693542049901"/>
              <c:y val="0.900380257345883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37934336"/>
        <c:crosses val="autoZero"/>
        <c:crossBetween val="midCat"/>
      </c:valAx>
      <c:valAx>
        <c:axId val="137934336"/>
        <c:scaling>
          <c:orientation val="minMax"/>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Shaft Cost</a:t>
                </a:r>
              </a:p>
            </c:rich>
          </c:tx>
          <c:layout>
            <c:manualLayout>
              <c:xMode val="edge"/>
              <c:yMode val="edge"/>
              <c:x val="4.1025665205023001E-2"/>
              <c:y val="0.247826094908868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37899008"/>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Gearbox Mass
 vs Rating</a:t>
            </a:r>
          </a:p>
        </c:rich>
      </c:tx>
      <c:layout>
        <c:manualLayout>
          <c:xMode val="edge"/>
          <c:yMode val="edge"/>
          <c:x val="0.37327188940092199"/>
          <c:y val="5.3231939163498103E-2"/>
        </c:manualLayout>
      </c:layout>
      <c:overlay val="0"/>
      <c:spPr>
        <a:noFill/>
        <a:ln w="25400">
          <a:noFill/>
        </a:ln>
      </c:spPr>
    </c:title>
    <c:autoTitleDeleted val="0"/>
    <c:plotArea>
      <c:layout>
        <c:manualLayout>
          <c:layoutTarget val="inner"/>
          <c:xMode val="edge"/>
          <c:yMode val="edge"/>
          <c:x val="0.27419354838709697"/>
          <c:y val="0.33079847908745502"/>
          <c:w val="0.65207373271889901"/>
          <c:h val="0.37262357414448899"/>
        </c:manualLayout>
      </c:layout>
      <c:scatterChart>
        <c:scatterStyle val="smoothMarker"/>
        <c:varyColors val="0"/>
        <c:ser>
          <c:idx val="7"/>
          <c:order val="0"/>
          <c:spPr>
            <a:ln w="12700">
              <a:solidFill>
                <a:srgbClr val="0000FF"/>
              </a:solidFill>
              <a:prstDash val="solid"/>
            </a:ln>
          </c:spPr>
          <c:marker>
            <c:symbol val="dot"/>
            <c:size val="5"/>
            <c:spPr>
              <a:noFill/>
              <a:ln>
                <a:solidFill>
                  <a:srgbClr val="0000FF"/>
                </a:solidFill>
                <a:prstDash val="solid"/>
              </a:ln>
            </c:spPr>
          </c:marker>
          <c:trendline>
            <c:spPr>
              <a:ln w="25400">
                <a:solidFill>
                  <a:srgbClr val="000000"/>
                </a:solidFill>
                <a:prstDash val="solid"/>
              </a:ln>
            </c:spPr>
            <c:trendlineType val="power"/>
            <c:dispRSqr val="0"/>
            <c:dispEq val="1"/>
            <c:trendlineLbl>
              <c:layout>
                <c:manualLayout>
                  <c:x val="-7.3410259201470804E-2"/>
                  <c:y val="-0.12506731335389201"/>
                </c:manualLayout>
              </c:layout>
              <c:numFmt formatCode="General" sourceLinked="0"/>
              <c:spPr>
                <a:noFill/>
                <a:ln w="25400">
                  <a:noFill/>
                </a:ln>
              </c:spPr>
              <c:txPr>
                <a:bodyPr/>
                <a:lstStyle/>
                <a:p>
                  <a:pPr>
                    <a:defRPr sz="1150" b="0" i="0" u="none" strike="noStrike" baseline="0">
                      <a:solidFill>
                        <a:srgbClr val="000000"/>
                      </a:solidFill>
                      <a:latin typeface="Arial"/>
                      <a:ea typeface="Arial"/>
                      <a:cs typeface="Arial"/>
                    </a:defRPr>
                  </a:pPr>
                  <a:endParaRPr lang="en-US"/>
                </a:p>
              </c:txPr>
            </c:trendlineLbl>
          </c:trendline>
          <c:xVal>
            <c:numRef>
              <c:f>Gearbox!$A$73:$A$78</c:f>
              <c:numCache>
                <c:formatCode>General</c:formatCode>
                <c:ptCount val="6"/>
                <c:pt idx="0">
                  <c:v>750</c:v>
                </c:pt>
                <c:pt idx="1">
                  <c:v>1500</c:v>
                </c:pt>
                <c:pt idx="2">
                  <c:v>2500</c:v>
                </c:pt>
                <c:pt idx="3">
                  <c:v>3200</c:v>
                </c:pt>
                <c:pt idx="4">
                  <c:v>3000</c:v>
                </c:pt>
                <c:pt idx="5">
                  <c:v>5000</c:v>
                </c:pt>
              </c:numCache>
            </c:numRef>
          </c:xVal>
          <c:yVal>
            <c:numRef>
              <c:f>Gearbox!$L$73:$L$78</c:f>
              <c:numCache>
                <c:formatCode>General</c:formatCode>
                <c:ptCount val="6"/>
                <c:pt idx="0">
                  <c:v>4723</c:v>
                </c:pt>
                <c:pt idx="1">
                  <c:v>10603</c:v>
                </c:pt>
                <c:pt idx="3">
                  <c:v>18143</c:v>
                </c:pt>
                <c:pt idx="4">
                  <c:v>23500</c:v>
                </c:pt>
                <c:pt idx="5">
                  <c:v>42259</c:v>
                </c:pt>
              </c:numCache>
            </c:numRef>
          </c:yVal>
          <c:smooth val="1"/>
        </c:ser>
        <c:dLbls>
          <c:showLegendKey val="0"/>
          <c:showVal val="0"/>
          <c:showCatName val="0"/>
          <c:showSerName val="0"/>
          <c:showPercent val="0"/>
          <c:showBubbleSize val="0"/>
        </c:dLbls>
        <c:axId val="138144384"/>
        <c:axId val="138150656"/>
      </c:scatterChart>
      <c:valAx>
        <c:axId val="138144384"/>
        <c:scaling>
          <c:orientation val="minMax"/>
        </c:scaling>
        <c:delete val="0"/>
        <c:axPos val="b"/>
        <c:title>
          <c:tx>
            <c:rich>
              <a:bodyPr/>
              <a:lstStyle/>
              <a:p>
                <a:pPr>
                  <a:defRPr sz="1150" b="1" i="0" u="none" strike="noStrike" baseline="0">
                    <a:solidFill>
                      <a:srgbClr val="000000"/>
                    </a:solidFill>
                    <a:latin typeface="Arial"/>
                    <a:ea typeface="Arial"/>
                    <a:cs typeface="Arial"/>
                  </a:defRPr>
                </a:pPr>
                <a:r>
                  <a:rPr lang="en-US"/>
                  <a:t>Machine Rating</a:t>
                </a:r>
              </a:p>
            </c:rich>
          </c:tx>
          <c:layout>
            <c:manualLayout>
              <c:xMode val="edge"/>
              <c:yMode val="edge"/>
              <c:x val="0.467741935483871"/>
              <c:y val="0.836501901140685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138150656"/>
        <c:crosses val="autoZero"/>
        <c:crossBetween val="midCat"/>
      </c:valAx>
      <c:valAx>
        <c:axId val="13815065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Mass kgs
</a:t>
                </a:r>
              </a:p>
            </c:rich>
          </c:tx>
          <c:layout>
            <c:manualLayout>
              <c:xMode val="edge"/>
              <c:yMode val="edge"/>
              <c:x val="3.91705069124424E-2"/>
              <c:y val="0.3840304182509520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Arial"/>
                <a:ea typeface="Arial"/>
                <a:cs typeface="Arial"/>
              </a:defRPr>
            </a:pPr>
            <a:endParaRPr lang="en-US"/>
          </a:p>
        </c:txPr>
        <c:crossAx val="138144384"/>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orientation="landscape" horizontalDpi="300" verticalDpi="300"/>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Gearbox Cost vs Rating Type 1 Design (From WindPACT Rotor Study)</a:t>
            </a:r>
          </a:p>
        </c:rich>
      </c:tx>
      <c:layout>
        <c:manualLayout>
          <c:xMode val="edge"/>
          <c:yMode val="edge"/>
          <c:x val="0.12590799031477001"/>
          <c:y val="5.8333770778652698E-2"/>
        </c:manualLayout>
      </c:layout>
      <c:overlay val="0"/>
      <c:spPr>
        <a:noFill/>
        <a:ln w="25400">
          <a:noFill/>
        </a:ln>
      </c:spPr>
    </c:title>
    <c:autoTitleDeleted val="0"/>
    <c:plotArea>
      <c:layout>
        <c:manualLayout>
          <c:layoutTarget val="inner"/>
          <c:xMode val="edge"/>
          <c:yMode val="edge"/>
          <c:x val="0.256658595641648"/>
          <c:y val="0.35000142415944202"/>
          <c:w val="0.66585956416464998"/>
          <c:h val="0.325001322433766"/>
        </c:manualLayout>
      </c:layout>
      <c:scatterChart>
        <c:scatterStyle val="smoothMarker"/>
        <c:varyColors val="0"/>
        <c:ser>
          <c:idx val="7"/>
          <c:order val="0"/>
          <c:spPr>
            <a:ln w="12700">
              <a:solidFill>
                <a:srgbClr val="0000FF"/>
              </a:solidFill>
              <a:prstDash val="solid"/>
            </a:ln>
          </c:spPr>
          <c:marker>
            <c:symbol val="dot"/>
            <c:size val="5"/>
            <c:spPr>
              <a:noFill/>
              <a:ln>
                <a:solidFill>
                  <a:srgbClr val="0000FF"/>
                </a:solidFill>
                <a:prstDash val="solid"/>
              </a:ln>
            </c:spPr>
          </c:marker>
          <c:trendline>
            <c:spPr>
              <a:ln w="25400">
                <a:solidFill>
                  <a:srgbClr val="000000"/>
                </a:solidFill>
                <a:prstDash val="solid"/>
              </a:ln>
            </c:spPr>
            <c:trendlineType val="power"/>
            <c:dispRSqr val="0"/>
            <c:dispEq val="1"/>
            <c:trendlineLbl>
              <c:layout>
                <c:manualLayout>
                  <c:x val="-7.7853234447389397E-2"/>
                  <c:y val="-0.154167046517278"/>
                </c:manualLayout>
              </c:layout>
              <c:numFmt formatCode="General" sourceLinked="0"/>
              <c:spPr>
                <a:noFill/>
                <a:ln w="25400">
                  <a:noFill/>
                </a:ln>
              </c:spPr>
              <c:txPr>
                <a:bodyPr/>
                <a:lstStyle/>
                <a:p>
                  <a:pPr>
                    <a:defRPr sz="1100" b="0" i="0" u="none" strike="noStrike" baseline="0">
                      <a:solidFill>
                        <a:srgbClr val="000000"/>
                      </a:solidFill>
                      <a:latin typeface="Arial"/>
                      <a:ea typeface="Arial"/>
                      <a:cs typeface="Arial"/>
                    </a:defRPr>
                  </a:pPr>
                  <a:endParaRPr lang="en-US"/>
                </a:p>
              </c:txPr>
            </c:trendlineLbl>
          </c:trendline>
          <c:xVal>
            <c:numRef>
              <c:f>Gearbox!$A$36:$A$40</c:f>
              <c:numCache>
                <c:formatCode>General</c:formatCode>
                <c:ptCount val="5"/>
                <c:pt idx="0">
                  <c:v>750</c:v>
                </c:pt>
                <c:pt idx="1">
                  <c:v>1500</c:v>
                </c:pt>
                <c:pt idx="2">
                  <c:v>2500</c:v>
                </c:pt>
                <c:pt idx="3">
                  <c:v>3000</c:v>
                </c:pt>
                <c:pt idx="4">
                  <c:v>5000</c:v>
                </c:pt>
              </c:numCache>
            </c:numRef>
          </c:xVal>
          <c:yVal>
            <c:numRef>
              <c:f>Gearbox!$I$36:$I$40</c:f>
              <c:numCache>
                <c:formatCode>General</c:formatCode>
                <c:ptCount val="5"/>
                <c:pt idx="0">
                  <c:v>64919</c:v>
                </c:pt>
                <c:pt idx="1">
                  <c:v>150881</c:v>
                </c:pt>
                <c:pt idx="3">
                  <c:v>357224</c:v>
                </c:pt>
                <c:pt idx="4">
                  <c:v>697062</c:v>
                </c:pt>
              </c:numCache>
            </c:numRef>
          </c:yVal>
          <c:smooth val="1"/>
        </c:ser>
        <c:dLbls>
          <c:showLegendKey val="0"/>
          <c:showVal val="0"/>
          <c:showCatName val="0"/>
          <c:showSerName val="0"/>
          <c:showPercent val="0"/>
          <c:showBubbleSize val="0"/>
        </c:dLbls>
        <c:axId val="138192384"/>
        <c:axId val="138194304"/>
      </c:scatterChart>
      <c:valAx>
        <c:axId val="138192384"/>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n-US"/>
                  <a:t>Machine Rating kWs</a:t>
                </a:r>
              </a:p>
            </c:rich>
          </c:tx>
          <c:layout>
            <c:manualLayout>
              <c:xMode val="edge"/>
              <c:yMode val="edge"/>
              <c:x val="0.41162227602905799"/>
              <c:y val="0.820836832895891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38194304"/>
        <c:crosses val="autoZero"/>
        <c:crossBetween val="midCat"/>
      </c:valAx>
      <c:valAx>
        <c:axId val="138194304"/>
        <c:scaling>
          <c:orientation val="minMax"/>
        </c:scaling>
        <c:delete val="0"/>
        <c:axPos val="l"/>
        <c:majorGridlines>
          <c:spPr>
            <a:ln w="3175">
              <a:solidFill>
                <a:srgbClr val="000000"/>
              </a:solidFill>
              <a:prstDash val="solid"/>
            </a:ln>
          </c:spPr>
        </c:majorGridlines>
        <c:title>
          <c:tx>
            <c:rich>
              <a:bodyPr/>
              <a:lstStyle/>
              <a:p>
                <a:pPr>
                  <a:defRPr sz="1100" b="1" i="0" u="none" strike="noStrike" baseline="0">
                    <a:solidFill>
                      <a:srgbClr val="000000"/>
                    </a:solidFill>
                    <a:latin typeface="Arial"/>
                    <a:ea typeface="Arial"/>
                    <a:cs typeface="Arial"/>
                  </a:defRPr>
                </a:pPr>
                <a:r>
                  <a:rPr lang="en-US"/>
                  <a:t>Cost $</a:t>
                </a:r>
              </a:p>
            </c:rich>
          </c:tx>
          <c:layout>
            <c:manualLayout>
              <c:xMode val="edge"/>
              <c:yMode val="edge"/>
              <c:x val="3.8740920096852302E-2"/>
              <c:y val="0.4125017497812770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38192384"/>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orientation="landscape" horizontalDpi="300" verticalDpi="300"/>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Gearbox Cost vs Rating Type Type 2 Design 
(From GEC WindPACT Drive Train Study)</a:t>
            </a:r>
          </a:p>
        </c:rich>
      </c:tx>
      <c:layout>
        <c:manualLayout>
          <c:xMode val="edge"/>
          <c:yMode val="edge"/>
          <c:x val="0.12609970674486801"/>
          <c:y val="4.1493775933609998E-2"/>
        </c:manualLayout>
      </c:layout>
      <c:overlay val="0"/>
      <c:spPr>
        <a:noFill/>
        <a:ln w="25400">
          <a:noFill/>
        </a:ln>
      </c:spPr>
    </c:title>
    <c:autoTitleDeleted val="0"/>
    <c:plotArea>
      <c:layout>
        <c:manualLayout>
          <c:layoutTarget val="inner"/>
          <c:xMode val="edge"/>
          <c:yMode val="edge"/>
          <c:x val="0.269794721407625"/>
          <c:y val="0.46888061803159398"/>
          <c:w val="0.64222873900293198"/>
          <c:h val="0.25311254601705502"/>
        </c:manualLayout>
      </c:layout>
      <c:scatterChart>
        <c:scatterStyle val="smoothMarker"/>
        <c:varyColors val="0"/>
        <c:ser>
          <c:idx val="4"/>
          <c:order val="0"/>
          <c:spPr>
            <a:ln w="12700">
              <a:solidFill>
                <a:srgbClr val="800080"/>
              </a:solidFill>
              <a:prstDash val="solid"/>
            </a:ln>
          </c:spPr>
          <c:marker>
            <c:symbol val="star"/>
            <c:size val="5"/>
            <c:spPr>
              <a:noFill/>
              <a:ln>
                <a:solidFill>
                  <a:srgbClr val="800080"/>
                </a:solidFill>
                <a:prstDash val="solid"/>
              </a:ln>
            </c:spPr>
          </c:marker>
          <c:trendline>
            <c:spPr>
              <a:ln w="25400">
                <a:solidFill>
                  <a:srgbClr val="000000"/>
                </a:solidFill>
                <a:prstDash val="solid"/>
              </a:ln>
            </c:spPr>
            <c:trendlineType val="power"/>
            <c:dispRSqr val="0"/>
            <c:dispEq val="1"/>
            <c:trendlineLbl>
              <c:layout>
                <c:manualLayout>
                  <c:x val="-2.62953641058799E-2"/>
                  <c:y val="-0.116182662031065"/>
                </c:manualLayout>
              </c:layout>
              <c:tx>
                <c:rich>
                  <a:bodyPr/>
                  <a:lstStyle/>
                  <a:p>
                    <a:pPr>
                      <a:defRPr sz="900" b="0" i="0" u="none" strike="noStrike" baseline="0">
                        <a:solidFill>
                          <a:srgbClr val="000000"/>
                        </a:solidFill>
                        <a:latin typeface="Arial"/>
                        <a:ea typeface="Arial"/>
                        <a:cs typeface="Arial"/>
                      </a:defRPr>
                    </a:pPr>
                    <a:r>
                      <a:rPr lang="en-US" sz="1000" b="0" i="0" u="none" strike="noStrike" baseline="0">
                        <a:solidFill>
                          <a:srgbClr val="000000"/>
                        </a:solidFill>
                        <a:latin typeface="Arial"/>
                        <a:cs typeface="Arial"/>
                      </a:rPr>
                      <a:t>y = 74.101x</a:t>
                    </a:r>
                    <a:r>
                      <a:rPr lang="en-US" sz="1000" b="0" i="0" u="none" strike="noStrike" baseline="30000">
                        <a:solidFill>
                          <a:srgbClr val="000000"/>
                        </a:solidFill>
                        <a:latin typeface="Arial"/>
                        <a:cs typeface="Arial"/>
                      </a:rPr>
                      <a:t>1.002</a:t>
                    </a:r>
                  </a:p>
                </c:rich>
              </c:tx>
              <c:numFmt formatCode="General" sourceLinked="0"/>
              <c:spPr>
                <a:noFill/>
                <a:ln w="25400">
                  <a:noFill/>
                </a:ln>
              </c:spPr>
            </c:trendlineLbl>
          </c:trendline>
          <c:xVal>
            <c:numRef>
              <c:f>Gearbox!$A$36:$A$40</c:f>
              <c:numCache>
                <c:formatCode>General</c:formatCode>
                <c:ptCount val="5"/>
                <c:pt idx="0">
                  <c:v>750</c:v>
                </c:pt>
                <c:pt idx="1">
                  <c:v>1500</c:v>
                </c:pt>
                <c:pt idx="2">
                  <c:v>2500</c:v>
                </c:pt>
                <c:pt idx="3">
                  <c:v>3000</c:v>
                </c:pt>
                <c:pt idx="4">
                  <c:v>5000</c:v>
                </c:pt>
              </c:numCache>
            </c:numRef>
          </c:xVal>
          <c:yVal>
            <c:numRef>
              <c:f>Gearbox!$F$36:$F$40</c:f>
              <c:numCache>
                <c:formatCode>General</c:formatCode>
                <c:ptCount val="5"/>
                <c:pt idx="0">
                  <c:v>57728</c:v>
                </c:pt>
                <c:pt idx="1">
                  <c:v>107307</c:v>
                </c:pt>
                <c:pt idx="3">
                  <c:v>231548</c:v>
                </c:pt>
              </c:numCache>
            </c:numRef>
          </c:yVal>
          <c:smooth val="1"/>
        </c:ser>
        <c:dLbls>
          <c:showLegendKey val="0"/>
          <c:showVal val="0"/>
          <c:showCatName val="0"/>
          <c:showSerName val="0"/>
          <c:showPercent val="0"/>
          <c:showBubbleSize val="0"/>
        </c:dLbls>
        <c:axId val="138764672"/>
        <c:axId val="138766592"/>
      </c:scatterChart>
      <c:valAx>
        <c:axId val="138764672"/>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Machine Rating kWs</a:t>
                </a:r>
              </a:p>
            </c:rich>
          </c:tx>
          <c:layout>
            <c:manualLayout>
              <c:xMode val="edge"/>
              <c:yMode val="edge"/>
              <c:x val="0.41348973607038098"/>
              <c:y val="0.846474771566417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8766592"/>
        <c:crosses val="autoZero"/>
        <c:crossBetween val="midCat"/>
      </c:valAx>
      <c:valAx>
        <c:axId val="138766592"/>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Cost $</a:t>
                </a:r>
              </a:p>
            </c:rich>
          </c:tx>
          <c:layout>
            <c:manualLayout>
              <c:xMode val="edge"/>
              <c:yMode val="edge"/>
              <c:x val="4.6920821114369501E-2"/>
              <c:y val="0.5103743152437899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38764672"/>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3 Stage Gearbox Mass Vs Torque</a:t>
            </a:r>
          </a:p>
        </c:rich>
      </c:tx>
      <c:layout>
        <c:manualLayout>
          <c:xMode val="edge"/>
          <c:yMode val="edge"/>
          <c:x val="0.16095014508410699"/>
          <c:y val="3.8461538461538498E-2"/>
        </c:manualLayout>
      </c:layout>
      <c:overlay val="0"/>
      <c:spPr>
        <a:noFill/>
        <a:ln w="25400">
          <a:noFill/>
        </a:ln>
      </c:spPr>
    </c:title>
    <c:autoTitleDeleted val="0"/>
    <c:plotArea>
      <c:layout>
        <c:manualLayout>
          <c:layoutTarget val="inner"/>
          <c:xMode val="edge"/>
          <c:yMode val="edge"/>
          <c:x val="0.226913221101507"/>
          <c:y val="0.25"/>
          <c:w val="0.69393229243833199"/>
          <c:h val="0.484615384615385"/>
        </c:manualLayout>
      </c:layout>
      <c:scatterChart>
        <c:scatterStyle val="smoothMarker"/>
        <c:varyColors val="0"/>
        <c:ser>
          <c:idx val="8"/>
          <c:order val="0"/>
          <c:spPr>
            <a:ln w="12700">
              <a:solidFill>
                <a:srgbClr val="00CCFF"/>
              </a:solidFill>
              <a:prstDash val="solid"/>
            </a:ln>
          </c:spPr>
          <c:marker>
            <c:symbol val="dash"/>
            <c:size val="5"/>
            <c:spPr>
              <a:noFill/>
              <a:ln>
                <a:solidFill>
                  <a:srgbClr val="00CCFF"/>
                </a:solidFill>
                <a:prstDash val="solid"/>
              </a:ln>
            </c:spPr>
          </c:marker>
          <c:trendline>
            <c:spPr>
              <a:ln w="25400">
                <a:solidFill>
                  <a:srgbClr val="000000"/>
                </a:solidFill>
                <a:prstDash val="solid"/>
              </a:ln>
            </c:spPr>
            <c:trendlineType val="power"/>
            <c:dispRSqr val="0"/>
            <c:dispEq val="1"/>
            <c:trendlineLbl>
              <c:layout>
                <c:manualLayout>
                  <c:x val="-8.7909229351489301E-3"/>
                  <c:y val="-0.115384615384615"/>
                </c:manualLayout>
              </c:layout>
              <c:numFmt formatCode="General"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trendlineLbl>
          </c:trendline>
          <c:xVal>
            <c:numRef>
              <c:f>Gearbox!$C$73:$C$78</c:f>
              <c:numCache>
                <c:formatCode>General</c:formatCode>
                <c:ptCount val="6"/>
                <c:pt idx="0">
                  <c:v>277.62274671238362</c:v>
                </c:pt>
                <c:pt idx="1">
                  <c:v>774.63517619260222</c:v>
                </c:pt>
                <c:pt idx="2">
                  <c:v>1613.8232837345879</c:v>
                </c:pt>
                <c:pt idx="3">
                  <c:v>1958.2299637084664</c:v>
                </c:pt>
                <c:pt idx="4">
                  <c:v>2190.3477395790819</c:v>
                </c:pt>
                <c:pt idx="5">
                  <c:v>4726.1967595084361</c:v>
                </c:pt>
              </c:numCache>
            </c:numRef>
          </c:xVal>
          <c:yVal>
            <c:numRef>
              <c:f>Gearbox!$L$73:$L$78</c:f>
              <c:numCache>
                <c:formatCode>General</c:formatCode>
                <c:ptCount val="6"/>
                <c:pt idx="0">
                  <c:v>4723</c:v>
                </c:pt>
                <c:pt idx="1">
                  <c:v>10603</c:v>
                </c:pt>
                <c:pt idx="3">
                  <c:v>18143</c:v>
                </c:pt>
                <c:pt idx="4">
                  <c:v>23500</c:v>
                </c:pt>
                <c:pt idx="5">
                  <c:v>42259</c:v>
                </c:pt>
              </c:numCache>
            </c:numRef>
          </c:yVal>
          <c:smooth val="1"/>
        </c:ser>
        <c:dLbls>
          <c:showLegendKey val="0"/>
          <c:showVal val="0"/>
          <c:showCatName val="0"/>
          <c:showSerName val="0"/>
          <c:showPercent val="0"/>
          <c:showBubbleSize val="0"/>
        </c:dLbls>
        <c:axId val="138788224"/>
        <c:axId val="67699840"/>
      </c:scatterChart>
      <c:valAx>
        <c:axId val="13878822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Torque (kNms)</a:t>
                </a:r>
              </a:p>
            </c:rich>
          </c:tx>
          <c:layout>
            <c:manualLayout>
              <c:xMode val="edge"/>
              <c:yMode val="edge"/>
              <c:x val="0.44854936668536499"/>
              <c:y val="0.8538461538461540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7699840"/>
        <c:crosses val="autoZero"/>
        <c:crossBetween val="midCat"/>
      </c:valAx>
      <c:valAx>
        <c:axId val="67699840"/>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Mass (kgs)</a:t>
                </a:r>
              </a:p>
            </c:rich>
          </c:tx>
          <c:layout>
            <c:manualLayout>
              <c:xMode val="edge"/>
              <c:yMode val="edge"/>
              <c:x val="4.2216358839050103E-2"/>
              <c:y val="0.361538461538462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38788224"/>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Brake Costs vs Machine Rating</a:t>
            </a:r>
          </a:p>
        </c:rich>
      </c:tx>
      <c:layout>
        <c:manualLayout>
          <c:xMode val="edge"/>
          <c:yMode val="edge"/>
          <c:x val="0.191919722155943"/>
          <c:y val="4.1493775933609998E-2"/>
        </c:manualLayout>
      </c:layout>
      <c:overlay val="0"/>
      <c:spPr>
        <a:noFill/>
        <a:ln w="25400">
          <a:noFill/>
        </a:ln>
      </c:spPr>
    </c:title>
    <c:autoTitleDeleted val="0"/>
    <c:plotArea>
      <c:layout>
        <c:manualLayout>
          <c:layoutTarget val="inner"/>
          <c:xMode val="edge"/>
          <c:yMode val="edge"/>
          <c:x val="0.23232380524928301"/>
          <c:y val="0.26971009001817398"/>
          <c:w val="0.68687038073701101"/>
          <c:h val="0.435685530029359"/>
        </c:manualLayout>
      </c:layout>
      <c:scatterChart>
        <c:scatterStyle val="smoothMarker"/>
        <c:varyColors val="0"/>
        <c:ser>
          <c:idx val="1"/>
          <c:order val="0"/>
          <c:tx>
            <c:v>Baseline Brake Cost</c:v>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25400">
                <a:solidFill>
                  <a:srgbClr val="000000"/>
                </a:solidFill>
                <a:prstDash val="solid"/>
              </a:ln>
            </c:spPr>
            <c:trendlineType val="linear"/>
            <c:dispRSqr val="0"/>
            <c:dispEq val="1"/>
            <c:trendlineLbl>
              <c:layout>
                <c:manualLayout>
                  <c:x val="-4.2037776368259401E-2"/>
                  <c:y val="-0.14937771793520099"/>
                </c:manualLayout>
              </c:layout>
              <c:numFmt formatCode="General" sourceLinked="0"/>
              <c:spPr>
                <a:noFill/>
                <a:ln w="25400">
                  <a:noFill/>
                </a:ln>
              </c:spPr>
              <c:txPr>
                <a:bodyPr/>
                <a:lstStyle/>
                <a:p>
                  <a:pPr>
                    <a:defRPr sz="1050" b="0" i="0" u="none" strike="noStrike" baseline="0">
                      <a:solidFill>
                        <a:srgbClr val="000000"/>
                      </a:solidFill>
                      <a:latin typeface="Arial"/>
                      <a:ea typeface="Arial"/>
                      <a:cs typeface="Arial"/>
                    </a:defRPr>
                  </a:pPr>
                  <a:endParaRPr lang="en-US"/>
                </a:p>
              </c:txPr>
            </c:trendlineLbl>
          </c:trendline>
          <c:xVal>
            <c:numRef>
              <c:f>'Mech Brake &amp; Couplings'!$B$21:$B$24</c:f>
              <c:numCache>
                <c:formatCode>General</c:formatCode>
                <c:ptCount val="4"/>
                <c:pt idx="0">
                  <c:v>750</c:v>
                </c:pt>
                <c:pt idx="1">
                  <c:v>1500</c:v>
                </c:pt>
                <c:pt idx="2">
                  <c:v>3000</c:v>
                </c:pt>
                <c:pt idx="3">
                  <c:v>5000</c:v>
                </c:pt>
              </c:numCache>
            </c:numRef>
          </c:xVal>
          <c:yVal>
            <c:numRef>
              <c:f>'Mech Brake &amp; Couplings'!$D$21:$D$24</c:f>
              <c:numCache>
                <c:formatCode>General</c:formatCode>
                <c:ptCount val="4"/>
                <c:pt idx="0">
                  <c:v>1492</c:v>
                </c:pt>
                <c:pt idx="1">
                  <c:v>2984</c:v>
                </c:pt>
                <c:pt idx="2">
                  <c:v>5968</c:v>
                </c:pt>
                <c:pt idx="3">
                  <c:v>9947</c:v>
                </c:pt>
              </c:numCache>
            </c:numRef>
          </c:yVal>
          <c:smooth val="1"/>
        </c:ser>
        <c:ser>
          <c:idx val="0"/>
          <c:order val="1"/>
          <c:tx>
            <c:v>Current Design</c:v>
          </c:tx>
          <c:spPr>
            <a:ln w="12700">
              <a:solidFill>
                <a:srgbClr val="000080"/>
              </a:solidFill>
              <a:prstDash val="solid"/>
            </a:ln>
          </c:spPr>
          <c:marker>
            <c:symbol val="circle"/>
            <c:size val="8"/>
            <c:spPr>
              <a:solidFill>
                <a:srgbClr val="00FF00"/>
              </a:solidFill>
              <a:ln>
                <a:solidFill>
                  <a:srgbClr val="00FF00"/>
                </a:solidFill>
                <a:prstDash val="solid"/>
              </a:ln>
            </c:spPr>
          </c:marker>
          <c:xVal>
            <c:numRef>
              <c:f>'Mech Brake &amp; Couplings'!$B$26</c:f>
              <c:numCache>
                <c:formatCode>General</c:formatCode>
                <c:ptCount val="1"/>
                <c:pt idx="0">
                  <c:v>1910</c:v>
                </c:pt>
              </c:numCache>
            </c:numRef>
          </c:xVal>
          <c:yVal>
            <c:numRef>
              <c:f>'Mech Brake &amp; Couplings'!$D$26</c:f>
              <c:numCache>
                <c:formatCode>"$"#,##0</c:formatCode>
                <c:ptCount val="1"/>
                <c:pt idx="0">
                  <c:v>3799.6399000000001</c:v>
                </c:pt>
              </c:numCache>
            </c:numRef>
          </c:yVal>
          <c:smooth val="1"/>
        </c:ser>
        <c:dLbls>
          <c:showLegendKey val="0"/>
          <c:showVal val="0"/>
          <c:showCatName val="0"/>
          <c:showSerName val="0"/>
          <c:showPercent val="0"/>
          <c:showBubbleSize val="0"/>
        </c:dLbls>
        <c:axId val="67603072"/>
        <c:axId val="67609728"/>
      </c:scatterChart>
      <c:valAx>
        <c:axId val="67603072"/>
        <c:scaling>
          <c:orientation val="minMax"/>
        </c:scaling>
        <c:delete val="0"/>
        <c:axPos val="b"/>
        <c:title>
          <c:tx>
            <c:rich>
              <a:bodyPr/>
              <a:lstStyle/>
              <a:p>
                <a:pPr>
                  <a:defRPr sz="1050" b="1" i="0" u="none" strike="noStrike" baseline="0">
                    <a:solidFill>
                      <a:srgbClr val="000000"/>
                    </a:solidFill>
                    <a:latin typeface="Arial"/>
                    <a:ea typeface="Arial"/>
                    <a:cs typeface="Arial"/>
                  </a:defRPr>
                </a:pPr>
                <a:r>
                  <a:t>Machine Rating kWs</a:t>
                </a:r>
              </a:p>
            </c:rich>
          </c:tx>
          <c:layout>
            <c:manualLayout>
              <c:xMode val="edge"/>
              <c:yMode val="edge"/>
              <c:x val="0.391415201887646"/>
              <c:y val="0.8381760163796989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67609728"/>
        <c:crosses val="autoZero"/>
        <c:crossBetween val="midCat"/>
      </c:valAx>
      <c:valAx>
        <c:axId val="67609728"/>
        <c:scaling>
          <c:orientation val="minMax"/>
        </c:scaling>
        <c:delete val="0"/>
        <c:axPos val="l"/>
        <c:majorGridlines>
          <c:spPr>
            <a:ln w="3175">
              <a:solidFill>
                <a:srgbClr val="000000"/>
              </a:solidFill>
              <a:prstDash val="solid"/>
            </a:ln>
          </c:spPr>
        </c:majorGridlines>
        <c:title>
          <c:tx>
            <c:rich>
              <a:bodyPr/>
              <a:lstStyle/>
              <a:p>
                <a:pPr>
                  <a:defRPr sz="1050" b="1" i="0" u="none" strike="noStrike" baseline="0">
                    <a:solidFill>
                      <a:srgbClr val="000000"/>
                    </a:solidFill>
                    <a:latin typeface="Arial"/>
                    <a:ea typeface="Arial"/>
                    <a:cs typeface="Arial"/>
                  </a:defRPr>
                </a:pPr>
                <a:r>
                  <a:t>Cost in $</a:t>
                </a:r>
              </a:p>
            </c:rich>
          </c:tx>
          <c:layout>
            <c:manualLayout>
              <c:xMode val="edge"/>
              <c:yMode val="edge"/>
              <c:x val="4.0404040404040401E-2"/>
              <c:y val="0.352697966696072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67603072"/>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Brake Cost vs Rotor Diameter</a:t>
            </a:r>
          </a:p>
        </c:rich>
      </c:tx>
      <c:layout>
        <c:manualLayout>
          <c:xMode val="edge"/>
          <c:yMode val="edge"/>
          <c:x val="0.18469684693107299"/>
          <c:y val="2.0746887966804999E-2"/>
        </c:manualLayout>
      </c:layout>
      <c:overlay val="0"/>
      <c:spPr>
        <a:noFill/>
        <a:ln w="25400">
          <a:noFill/>
        </a:ln>
      </c:spPr>
    </c:title>
    <c:autoTitleDeleted val="0"/>
    <c:plotArea>
      <c:layout>
        <c:manualLayout>
          <c:layoutTarget val="inner"/>
          <c:xMode val="edge"/>
          <c:yMode val="edge"/>
          <c:x val="0.226913221101507"/>
          <c:y val="0.265560704017895"/>
          <c:w val="0.47229612299034601"/>
          <c:h val="0.44813368803019499"/>
        </c:manualLayout>
      </c:layout>
      <c:scatterChart>
        <c:scatterStyle val="smoothMarker"/>
        <c:varyColors val="0"/>
        <c:ser>
          <c:idx val="0"/>
          <c:order val="0"/>
          <c:tx>
            <c:v>Baseline Brake Cost</c:v>
          </c:tx>
          <c:spPr>
            <a:ln w="12700">
              <a:solidFill>
                <a:srgbClr val="000080"/>
              </a:solidFill>
              <a:prstDash val="solid"/>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power"/>
            <c:dispRSqr val="0"/>
            <c:dispEq val="1"/>
            <c:trendlineLbl>
              <c:layout>
                <c:manualLayout>
                  <c:x val="9.83236595553557E-3"/>
                  <c:y val="-0.15094555940863"/>
                </c:manualLayout>
              </c:layout>
              <c:numFmt formatCode="General"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trendlineLbl>
          </c:trendline>
          <c:xVal>
            <c:numRef>
              <c:f>'Mech Brake &amp; Couplings'!$C$21:$C$24</c:f>
              <c:numCache>
                <c:formatCode>General</c:formatCode>
                <c:ptCount val="4"/>
                <c:pt idx="0">
                  <c:v>50</c:v>
                </c:pt>
                <c:pt idx="1">
                  <c:v>70</c:v>
                </c:pt>
                <c:pt idx="2">
                  <c:v>99</c:v>
                </c:pt>
                <c:pt idx="3">
                  <c:v>128</c:v>
                </c:pt>
              </c:numCache>
            </c:numRef>
          </c:xVal>
          <c:yVal>
            <c:numRef>
              <c:f>'Mech Brake &amp; Couplings'!$D$21:$D$24</c:f>
              <c:numCache>
                <c:formatCode>General</c:formatCode>
                <c:ptCount val="4"/>
                <c:pt idx="0">
                  <c:v>1492</c:v>
                </c:pt>
                <c:pt idx="1">
                  <c:v>2984</c:v>
                </c:pt>
                <c:pt idx="2">
                  <c:v>5968</c:v>
                </c:pt>
                <c:pt idx="3">
                  <c:v>9947</c:v>
                </c:pt>
              </c:numCache>
            </c:numRef>
          </c:yVal>
          <c:smooth val="1"/>
        </c:ser>
        <c:ser>
          <c:idx val="1"/>
          <c:order val="1"/>
          <c:tx>
            <c:v>Current Design</c:v>
          </c:tx>
          <c:spPr>
            <a:ln w="12700">
              <a:solidFill>
                <a:srgbClr val="FF00FF"/>
              </a:solidFill>
              <a:prstDash val="solid"/>
            </a:ln>
          </c:spPr>
          <c:marker>
            <c:symbol val="circle"/>
            <c:size val="8"/>
            <c:spPr>
              <a:solidFill>
                <a:srgbClr val="00FF00"/>
              </a:solidFill>
              <a:ln>
                <a:solidFill>
                  <a:srgbClr val="00FF00"/>
                </a:solidFill>
                <a:prstDash val="solid"/>
              </a:ln>
            </c:spPr>
          </c:marker>
          <c:xVal>
            <c:numRef>
              <c:f>'Mech Brake &amp; Couplings'!$C$26</c:f>
              <c:numCache>
                <c:formatCode>General</c:formatCode>
                <c:ptCount val="1"/>
                <c:pt idx="0">
                  <c:v>96.9</c:v>
                </c:pt>
              </c:numCache>
            </c:numRef>
          </c:xVal>
          <c:yVal>
            <c:numRef>
              <c:f>'Mech Brake &amp; Couplings'!$D$26</c:f>
              <c:numCache>
                <c:formatCode>"$"#,##0</c:formatCode>
                <c:ptCount val="1"/>
                <c:pt idx="0">
                  <c:v>3799.6399000000001</c:v>
                </c:pt>
              </c:numCache>
            </c:numRef>
          </c:yVal>
          <c:smooth val="1"/>
        </c:ser>
        <c:dLbls>
          <c:showLegendKey val="0"/>
          <c:showVal val="0"/>
          <c:showCatName val="0"/>
          <c:showSerName val="0"/>
          <c:showPercent val="0"/>
          <c:showBubbleSize val="0"/>
        </c:dLbls>
        <c:axId val="67455232"/>
        <c:axId val="67461888"/>
      </c:scatterChart>
      <c:valAx>
        <c:axId val="67455232"/>
        <c:scaling>
          <c:orientation val="minMax"/>
        </c:scaling>
        <c:delete val="0"/>
        <c:axPos val="b"/>
        <c:title>
          <c:tx>
            <c:rich>
              <a:bodyPr/>
              <a:lstStyle/>
              <a:p>
                <a:pPr>
                  <a:defRPr sz="1000" b="1" i="0" u="none" strike="noStrike" baseline="0">
                    <a:solidFill>
                      <a:srgbClr val="000000"/>
                    </a:solidFill>
                    <a:latin typeface="Arial"/>
                    <a:ea typeface="Arial"/>
                    <a:cs typeface="Arial"/>
                  </a:defRPr>
                </a:pPr>
                <a:r>
                  <a:t>Rotor Diameter</a:t>
                </a:r>
              </a:p>
            </c:rich>
          </c:tx>
          <c:layout>
            <c:manualLayout>
              <c:xMode val="edge"/>
              <c:yMode val="edge"/>
              <c:x val="0.32981585745053599"/>
              <c:y val="0.842325393973056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7461888"/>
        <c:crosses val="autoZero"/>
        <c:crossBetween val="midCat"/>
      </c:valAx>
      <c:valAx>
        <c:axId val="67461888"/>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t>Brake Costs</a:t>
                </a:r>
              </a:p>
            </c:rich>
          </c:tx>
          <c:layout>
            <c:manualLayout>
              <c:xMode val="edge"/>
              <c:yMode val="edge"/>
              <c:x val="4.2216358839050103E-2"/>
              <c:y val="0.327801701135908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7455232"/>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WindPACT Generator Costs</a:t>
            </a:r>
          </a:p>
        </c:rich>
      </c:tx>
      <c:layout>
        <c:manualLayout>
          <c:xMode val="edge"/>
          <c:yMode val="edge"/>
          <c:x val="0.28627508358521198"/>
          <c:y val="3.5842293906810103E-2"/>
        </c:manualLayout>
      </c:layout>
      <c:overlay val="0"/>
      <c:spPr>
        <a:noFill/>
        <a:ln w="25400">
          <a:noFill/>
        </a:ln>
      </c:spPr>
    </c:title>
    <c:autoTitleDeleted val="0"/>
    <c:plotArea>
      <c:layout>
        <c:manualLayout>
          <c:layoutTarget val="inner"/>
          <c:xMode val="edge"/>
          <c:yMode val="edge"/>
          <c:x val="0.22549062785429699"/>
          <c:y val="0.24372845167048901"/>
          <c:w val="0.70588370458736305"/>
          <c:h val="0.46953569365932202"/>
        </c:manualLayout>
      </c:layout>
      <c:scatterChart>
        <c:scatterStyle val="smoothMarker"/>
        <c:varyColors val="0"/>
        <c:ser>
          <c:idx val="0"/>
          <c:order val="0"/>
          <c:tx>
            <c:strRef>
              <c:f>Generators!$C$34</c:f>
              <c:strCache>
                <c:ptCount val="1"/>
                <c:pt idx="0">
                  <c:v>WindPACT Cost - 3 stage Planetary (1)</c:v>
                </c:pt>
              </c:strCache>
            </c:strRef>
          </c:tx>
          <c:spPr>
            <a:ln w="12700">
              <a:solidFill>
                <a:srgbClr val="000080"/>
              </a:solidFill>
              <a:prstDash val="solid"/>
            </a:ln>
          </c:spPr>
          <c:marker>
            <c:symbol val="none"/>
          </c:marker>
          <c:trendline>
            <c:spPr>
              <a:ln w="25400">
                <a:solidFill>
                  <a:srgbClr val="000000"/>
                </a:solidFill>
                <a:prstDash val="solid"/>
              </a:ln>
            </c:spPr>
            <c:trendlineType val="linear"/>
            <c:dispRSqr val="0"/>
            <c:dispEq val="1"/>
            <c:trendlineLbl>
              <c:layout>
                <c:manualLayout>
                  <c:x val="-0.160706534244132"/>
                  <c:y val="-0.12903250883262599"/>
                </c:manualLayout>
              </c:layout>
              <c:numFmt formatCode="General" sourceLinked="0"/>
              <c:spPr>
                <a:noFill/>
                <a:ln w="25400">
                  <a:noFill/>
                </a:ln>
              </c:spPr>
              <c:txPr>
                <a:bodyPr/>
                <a:lstStyle/>
                <a:p>
                  <a:pPr>
                    <a:defRPr sz="1200" b="0" i="0" u="none" strike="noStrike" baseline="0">
                      <a:solidFill>
                        <a:srgbClr val="000000"/>
                      </a:solidFill>
                      <a:latin typeface="Arial"/>
                      <a:ea typeface="Arial"/>
                      <a:cs typeface="Arial"/>
                    </a:defRPr>
                  </a:pPr>
                  <a:endParaRPr lang="en-US"/>
                </a:p>
              </c:txPr>
            </c:trendlineLbl>
          </c:trendline>
          <c:xVal>
            <c:numRef>
              <c:f>Generators!$B$35:$B$39</c:f>
              <c:numCache>
                <c:formatCode>General</c:formatCode>
                <c:ptCount val="5"/>
                <c:pt idx="0">
                  <c:v>750</c:v>
                </c:pt>
                <c:pt idx="1">
                  <c:v>1500</c:v>
                </c:pt>
                <c:pt idx="2">
                  <c:v>2500</c:v>
                </c:pt>
                <c:pt idx="3">
                  <c:v>3000</c:v>
                </c:pt>
                <c:pt idx="4">
                  <c:v>5000</c:v>
                </c:pt>
              </c:numCache>
            </c:numRef>
          </c:xVal>
          <c:yVal>
            <c:numRef>
              <c:f>Generators!$C$35:$C$39</c:f>
              <c:numCache>
                <c:formatCode>General</c:formatCode>
                <c:ptCount val="5"/>
                <c:pt idx="0">
                  <c:v>48750</c:v>
                </c:pt>
                <c:pt idx="1">
                  <c:v>97500</c:v>
                </c:pt>
                <c:pt idx="2">
                  <c:v>162500</c:v>
                </c:pt>
                <c:pt idx="3">
                  <c:v>195000</c:v>
                </c:pt>
                <c:pt idx="4">
                  <c:v>325000</c:v>
                </c:pt>
              </c:numCache>
            </c:numRef>
          </c:yVal>
          <c:smooth val="1"/>
        </c:ser>
        <c:dLbls>
          <c:showLegendKey val="0"/>
          <c:showVal val="0"/>
          <c:showCatName val="0"/>
          <c:showSerName val="0"/>
          <c:showPercent val="0"/>
          <c:showBubbleSize val="0"/>
        </c:dLbls>
        <c:axId val="67901312"/>
        <c:axId val="67907584"/>
      </c:scatterChart>
      <c:valAx>
        <c:axId val="67901312"/>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Machine Rating kW</a:t>
                </a:r>
              </a:p>
            </c:rich>
          </c:tx>
          <c:layout>
            <c:manualLayout>
              <c:xMode val="edge"/>
              <c:yMode val="edge"/>
              <c:x val="0.42941249703200601"/>
              <c:y val="0.8422969171864279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7907584"/>
        <c:crosses val="autoZero"/>
        <c:crossBetween val="midCat"/>
      </c:valAx>
      <c:valAx>
        <c:axId val="67907584"/>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Generator Cost in $</a:t>
                </a:r>
              </a:p>
            </c:rich>
          </c:tx>
          <c:layout>
            <c:manualLayout>
              <c:xMode val="edge"/>
              <c:yMode val="edge"/>
              <c:x val="3.1372594318130803E-2"/>
              <c:y val="0.204301827862915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7901312"/>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75" b="1" i="0" u="none" strike="noStrike" baseline="0">
                <a:solidFill>
                  <a:srgbClr val="000000"/>
                </a:solidFill>
                <a:latin typeface="Arial"/>
                <a:ea typeface="Arial"/>
                <a:cs typeface="Arial"/>
              </a:defRPr>
            </a:pPr>
            <a:r>
              <a:rPr lang="en-US"/>
              <a:t>Generator Mass vs. Rating</a:t>
            </a:r>
          </a:p>
        </c:rich>
      </c:tx>
      <c:layout>
        <c:manualLayout>
          <c:xMode val="edge"/>
          <c:yMode val="edge"/>
          <c:x val="0.230108032076102"/>
          <c:y val="3.6363488619650101E-2"/>
        </c:manualLayout>
      </c:layout>
      <c:overlay val="0"/>
      <c:spPr>
        <a:noFill/>
        <a:ln w="25400">
          <a:noFill/>
        </a:ln>
      </c:spPr>
    </c:title>
    <c:autoTitleDeleted val="0"/>
    <c:plotArea>
      <c:layout>
        <c:manualLayout>
          <c:layoutTarget val="inner"/>
          <c:xMode val="edge"/>
          <c:yMode val="edge"/>
          <c:x val="0.227957467988634"/>
          <c:y val="0.27272727272727298"/>
          <c:w val="0.69677565687092202"/>
          <c:h val="0.43636363636363801"/>
        </c:manualLayout>
      </c:layout>
      <c:scatterChart>
        <c:scatterStyle val="smoothMarker"/>
        <c:varyColors val="0"/>
        <c:ser>
          <c:idx val="4"/>
          <c:order val="0"/>
          <c:spPr>
            <a:ln w="12700">
              <a:solidFill>
                <a:srgbClr val="800080"/>
              </a:solidFill>
              <a:prstDash val="solid"/>
            </a:ln>
          </c:spPr>
          <c:marker>
            <c:symbol val="star"/>
            <c:size val="5"/>
            <c:spPr>
              <a:noFill/>
              <a:ln>
                <a:solidFill>
                  <a:srgbClr val="800080"/>
                </a:solidFill>
                <a:prstDash val="solid"/>
              </a:ln>
            </c:spPr>
          </c:marker>
          <c:trendline>
            <c:spPr>
              <a:ln w="25400">
                <a:solidFill>
                  <a:srgbClr val="000000"/>
                </a:solidFill>
                <a:prstDash val="solid"/>
              </a:ln>
            </c:spPr>
            <c:trendlineType val="power"/>
            <c:dispRSqr val="0"/>
            <c:dispEq val="1"/>
            <c:trendlineLbl>
              <c:layout>
                <c:manualLayout>
                  <c:x val="-8.8559916286870599E-2"/>
                  <c:y val="-0.14181818181818301"/>
                </c:manualLayout>
              </c:layout>
              <c:numFmt formatCode="General" sourceLinked="0"/>
              <c:spPr>
                <a:noFill/>
                <a:ln w="25400">
                  <a:noFill/>
                </a:ln>
              </c:spPr>
              <c:txPr>
                <a:bodyPr/>
                <a:lstStyle/>
                <a:p>
                  <a:pPr>
                    <a:defRPr sz="1200" b="0" i="0" u="none" strike="noStrike" baseline="0">
                      <a:solidFill>
                        <a:srgbClr val="000000"/>
                      </a:solidFill>
                      <a:latin typeface="Arial"/>
                      <a:ea typeface="Arial"/>
                      <a:cs typeface="Arial"/>
                    </a:defRPr>
                  </a:pPr>
                  <a:endParaRPr lang="en-US"/>
                </a:p>
              </c:txPr>
            </c:trendlineLbl>
          </c:trendline>
          <c:xVal>
            <c:numRef>
              <c:f>Generators!$B$66:$B$70</c:f>
              <c:numCache>
                <c:formatCode>General</c:formatCode>
                <c:ptCount val="5"/>
                <c:pt idx="0">
                  <c:v>750</c:v>
                </c:pt>
                <c:pt idx="1">
                  <c:v>1500</c:v>
                </c:pt>
                <c:pt idx="2">
                  <c:v>2500</c:v>
                </c:pt>
                <c:pt idx="3">
                  <c:v>3000</c:v>
                </c:pt>
                <c:pt idx="4">
                  <c:v>5000</c:v>
                </c:pt>
              </c:numCache>
            </c:numRef>
          </c:xVal>
          <c:yVal>
            <c:numRef>
              <c:f>Generators!$G$66:$G$70</c:f>
              <c:numCache>
                <c:formatCode>0</c:formatCode>
                <c:ptCount val="5"/>
                <c:pt idx="0">
                  <c:v>2946</c:v>
                </c:pt>
                <c:pt idx="1">
                  <c:v>5421</c:v>
                </c:pt>
                <c:pt idx="2">
                  <c:v>8721</c:v>
                </c:pt>
                <c:pt idx="3">
                  <c:v>10371</c:v>
                </c:pt>
                <c:pt idx="4">
                  <c:v>16971</c:v>
                </c:pt>
              </c:numCache>
            </c:numRef>
          </c:yVal>
          <c:smooth val="1"/>
        </c:ser>
        <c:dLbls>
          <c:showLegendKey val="0"/>
          <c:showVal val="0"/>
          <c:showCatName val="0"/>
          <c:showSerName val="0"/>
          <c:showPercent val="0"/>
          <c:showBubbleSize val="0"/>
        </c:dLbls>
        <c:axId val="67941120"/>
        <c:axId val="67943040"/>
      </c:scatterChart>
      <c:valAx>
        <c:axId val="67941120"/>
        <c:scaling>
          <c:orientation val="minMax"/>
        </c:scaling>
        <c:delete val="0"/>
        <c:axPos val="b"/>
        <c:title>
          <c:tx>
            <c:rich>
              <a:bodyPr/>
              <a:lstStyle/>
              <a:p>
                <a:pPr>
                  <a:defRPr sz="1200" b="1" i="0" u="none" strike="noStrike" baseline="0">
                    <a:solidFill>
                      <a:srgbClr val="000000"/>
                    </a:solidFill>
                    <a:latin typeface="Arial"/>
                    <a:ea typeface="Arial"/>
                    <a:cs typeface="Arial"/>
                  </a:defRPr>
                </a:pPr>
                <a:r>
                  <a:rPr lang="en-US"/>
                  <a:t>Machine Rating</a:t>
                </a:r>
              </a:p>
            </c:rich>
          </c:tx>
          <c:layout>
            <c:manualLayout>
              <c:xMode val="edge"/>
              <c:yMode val="edge"/>
              <c:x val="0.44301155725699998"/>
              <c:y val="0.840000000000000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7943040"/>
        <c:crosses val="autoZero"/>
        <c:crossBetween val="midCat"/>
      </c:valAx>
      <c:valAx>
        <c:axId val="6794304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Generator Mass</a:t>
                </a:r>
              </a:p>
            </c:rich>
          </c:tx>
          <c:layout>
            <c:manualLayout>
              <c:xMode val="edge"/>
              <c:yMode val="edge"/>
              <c:x val="3.4408723771407003E-2"/>
              <c:y val="0.26181809317179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794112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Direct Drive Generator Mass vs Torque</a:t>
            </a:r>
          </a:p>
        </c:rich>
      </c:tx>
      <c:overlay val="0"/>
      <c:spPr>
        <a:noFill/>
        <a:ln w="25400">
          <a:noFill/>
        </a:ln>
      </c:spPr>
    </c:title>
    <c:autoTitleDeleted val="0"/>
    <c:plotArea>
      <c:layout>
        <c:manualLayout>
          <c:layoutTarget val="inner"/>
          <c:xMode val="edge"/>
          <c:yMode val="edge"/>
          <c:x val="0.206061018688453"/>
          <c:y val="0.165710977304308"/>
          <c:w val="0.542228603003577"/>
          <c:h val="0.57929712830013902"/>
        </c:manualLayout>
      </c:layout>
      <c:scatterChart>
        <c:scatterStyle val="smoothMarker"/>
        <c:varyColors val="0"/>
        <c:ser>
          <c:idx val="0"/>
          <c:order val="0"/>
          <c:tx>
            <c:strRef>
              <c:f>Generators!$U$63</c:f>
              <c:strCache>
                <c:ptCount val="1"/>
                <c:pt idx="0">
                  <c:v>Constant Density Mass (kg)</c:v>
                </c:pt>
              </c:strCache>
            </c:strRef>
          </c:tx>
          <c:spPr>
            <a:ln w="12700">
              <a:noFill/>
              <a:prstDash val="solid"/>
            </a:ln>
          </c:spPr>
          <c:marker>
            <c:symbol val="diamond"/>
            <c:size val="5"/>
            <c:spPr>
              <a:solidFill>
                <a:srgbClr val="000080">
                  <a:alpha val="50000"/>
                </a:srgbClr>
              </a:solidFill>
              <a:ln>
                <a:noFill/>
                <a:prstDash val="solid"/>
              </a:ln>
            </c:spPr>
          </c:marker>
          <c:trendline>
            <c:trendlineType val="power"/>
            <c:dispRSqr val="1"/>
            <c:dispEq val="1"/>
            <c:trendlineLbl>
              <c:layout>
                <c:manualLayout>
                  <c:x val="0.37751118836669401"/>
                  <c:y val="-3.23776246719161E-2"/>
                </c:manualLayout>
              </c:layout>
              <c:numFmt formatCode="General" sourceLinked="0"/>
              <c:txPr>
                <a:bodyPr/>
                <a:lstStyle/>
                <a:p>
                  <a:pPr>
                    <a:defRPr sz="1000" b="0" i="0" u="none" strike="noStrike" baseline="0">
                      <a:solidFill>
                        <a:srgbClr val="000000"/>
                      </a:solidFill>
                      <a:latin typeface="Arial"/>
                      <a:ea typeface="Arial"/>
                      <a:cs typeface="Arial"/>
                    </a:defRPr>
                  </a:pPr>
                  <a:endParaRPr lang="en-US"/>
                </a:p>
              </c:txPr>
            </c:trendlineLbl>
          </c:trendline>
          <c:xVal>
            <c:numRef>
              <c:f>Generators!$T$64:$T$74</c:f>
              <c:numCache>
                <c:formatCode>General</c:formatCode>
                <c:ptCount val="11"/>
                <c:pt idx="0">
                  <c:v>406.63333333333327</c:v>
                </c:pt>
                <c:pt idx="1">
                  <c:v>1182.4000000000001</c:v>
                </c:pt>
                <c:pt idx="2">
                  <c:v>1995.6000000000001</c:v>
                </c:pt>
                <c:pt idx="3">
                  <c:v>3049.0625</c:v>
                </c:pt>
                <c:pt idx="4">
                  <c:v>4157.25</c:v>
                </c:pt>
                <c:pt idx="5">
                  <c:v>5300.8125</c:v>
                </c:pt>
                <c:pt idx="6">
                  <c:v>6071.0588235294117</c:v>
                </c:pt>
                <c:pt idx="7">
                  <c:v>6799.5666666666666</c:v>
                </c:pt>
                <c:pt idx="8">
                  <c:v>7982.4000000000015</c:v>
                </c:pt>
                <c:pt idx="9">
                  <c:v>9176.7444444444445</c:v>
                </c:pt>
                <c:pt idx="10">
                  <c:v>10501.250000000002</c:v>
                </c:pt>
              </c:numCache>
            </c:numRef>
          </c:xVal>
          <c:yVal>
            <c:numRef>
              <c:f>Generators!$U$64:$U$74</c:f>
              <c:numCache>
                <c:formatCode>_(* #,##0_);_(* \(#,##0\);_(* "-"??_);_(@_)</c:formatCode>
                <c:ptCount val="11"/>
                <c:pt idx="0">
                  <c:v>15323.525036214514</c:v>
                </c:pt>
                <c:pt idx="1">
                  <c:v>44557.429304418503</c:v>
                </c:pt>
                <c:pt idx="2">
                  <c:v>75201.96711764003</c:v>
                </c:pt>
                <c:pt idx="3">
                  <c:v>114900.53009853141</c:v>
                </c:pt>
                <c:pt idx="4">
                  <c:v>156661.34385638853</c:v>
                </c:pt>
                <c:pt idx="5">
                  <c:v>199755.22515623132</c:v>
                </c:pt>
                <c:pt idx="6">
                  <c:v>228781.10143130747</c:v>
                </c:pt>
                <c:pt idx="7">
                  <c:v>256234.10948129278</c:v>
                </c:pt>
                <c:pt idx="8">
                  <c:v>300807.86847056012</c:v>
                </c:pt>
                <c:pt idx="9">
                  <c:v>345815.41088299104</c:v>
                </c:pt>
                <c:pt idx="10">
                  <c:v>395727.93004315364</c:v>
                </c:pt>
              </c:numCache>
            </c:numRef>
          </c:yVal>
          <c:smooth val="1"/>
        </c:ser>
        <c:ser>
          <c:idx val="1"/>
          <c:order val="1"/>
          <c:tx>
            <c:strRef>
              <c:f>Generators!$V$63</c:f>
              <c:strCache>
                <c:ptCount val="1"/>
                <c:pt idx="0">
                  <c:v>Variable Density Mass (kg)</c:v>
                </c:pt>
              </c:strCache>
            </c:strRef>
          </c:tx>
          <c:spPr>
            <a:ln>
              <a:noFill/>
            </a:ln>
          </c:spPr>
          <c:marker>
            <c:symbol val="square"/>
            <c:size val="5"/>
            <c:spPr>
              <a:solidFill>
                <a:srgbClr val="C00000">
                  <a:alpha val="50000"/>
                </a:srgbClr>
              </a:solidFill>
              <a:ln>
                <a:noFill/>
              </a:ln>
            </c:spPr>
          </c:marker>
          <c:trendline>
            <c:trendlineType val="power"/>
            <c:dispRSqr val="1"/>
            <c:dispEq val="1"/>
            <c:trendlineLbl>
              <c:layout>
                <c:manualLayout>
                  <c:x val="0.38402417984407899"/>
                  <c:y val="0.40512237532808598"/>
                </c:manualLayout>
              </c:layout>
              <c:numFmt formatCode="General" sourceLinked="0"/>
              <c:txPr>
                <a:bodyPr/>
                <a:lstStyle/>
                <a:p>
                  <a:pPr>
                    <a:defRPr sz="1000" b="0" i="0" u="none" strike="noStrike" baseline="0">
                      <a:solidFill>
                        <a:srgbClr val="000000"/>
                      </a:solidFill>
                      <a:latin typeface="Arial"/>
                      <a:ea typeface="Arial"/>
                      <a:cs typeface="Arial"/>
                    </a:defRPr>
                  </a:pPr>
                  <a:endParaRPr lang="en-US"/>
                </a:p>
              </c:txPr>
            </c:trendlineLbl>
          </c:trendline>
          <c:xVal>
            <c:numRef>
              <c:f>Generators!$T$64:$T$74</c:f>
              <c:numCache>
                <c:formatCode>General</c:formatCode>
                <c:ptCount val="11"/>
                <c:pt idx="0">
                  <c:v>406.63333333333327</c:v>
                </c:pt>
                <c:pt idx="1">
                  <c:v>1182.4000000000001</c:v>
                </c:pt>
                <c:pt idx="2">
                  <c:v>1995.6000000000001</c:v>
                </c:pt>
                <c:pt idx="3">
                  <c:v>3049.0625</c:v>
                </c:pt>
                <c:pt idx="4">
                  <c:v>4157.25</c:v>
                </c:pt>
                <c:pt idx="5">
                  <c:v>5300.8125</c:v>
                </c:pt>
                <c:pt idx="6">
                  <c:v>6071.0588235294117</c:v>
                </c:pt>
                <c:pt idx="7">
                  <c:v>6799.5666666666666</c:v>
                </c:pt>
                <c:pt idx="8">
                  <c:v>7982.4000000000015</c:v>
                </c:pt>
                <c:pt idx="9">
                  <c:v>9176.7444444444445</c:v>
                </c:pt>
                <c:pt idx="10">
                  <c:v>10501.250000000002</c:v>
                </c:pt>
              </c:numCache>
            </c:numRef>
          </c:xVal>
          <c:yVal>
            <c:numRef>
              <c:f>Generators!$V$64:$V$74</c:f>
              <c:numCache>
                <c:formatCode>_(* #,##0_);_(* \(#,##0\);_(* "-"??_);_(@_)</c:formatCode>
                <c:ptCount val="11"/>
                <c:pt idx="0">
                  <c:v>19273.006930557487</c:v>
                </c:pt>
                <c:pt idx="1">
                  <c:v>50714.593141174002</c:v>
                </c:pt>
                <c:pt idx="2">
                  <c:v>81086.487607198302</c:v>
                </c:pt>
                <c:pt idx="3">
                  <c:v>123891.44548998951</c:v>
                </c:pt>
                <c:pt idx="4">
                  <c:v>168920.02435609594</c:v>
                </c:pt>
                <c:pt idx="5">
                  <c:v>215385.98270662045</c:v>
                </c:pt>
                <c:pt idx="6">
                  <c:v>246683.12089431225</c:v>
                </c:pt>
                <c:pt idx="7">
                  <c:v>276284.31461765146</c:v>
                </c:pt>
                <c:pt idx="8">
                  <c:v>324345.95042879321</c:v>
                </c:pt>
                <c:pt idx="9">
                  <c:v>372875.31302308588</c:v>
                </c:pt>
                <c:pt idx="10">
                  <c:v>426693.46461469791</c:v>
                </c:pt>
              </c:numCache>
            </c:numRef>
          </c:yVal>
          <c:smooth val="1"/>
        </c:ser>
        <c:dLbls>
          <c:showLegendKey val="0"/>
          <c:showVal val="0"/>
          <c:showCatName val="0"/>
          <c:showSerName val="0"/>
          <c:showPercent val="0"/>
          <c:showBubbleSize val="0"/>
        </c:dLbls>
        <c:axId val="67806336"/>
        <c:axId val="67808256"/>
      </c:scatterChart>
      <c:valAx>
        <c:axId val="6780633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Torque (kNms)</a:t>
                </a:r>
              </a:p>
            </c:rich>
          </c:tx>
          <c:overlay val="0"/>
          <c:spPr>
            <a:noFill/>
            <a:ln w="25400">
              <a:noFill/>
            </a:ln>
          </c:spPr>
        </c:title>
        <c:numFmt formatCode="General" sourceLinked="1"/>
        <c:majorTickMark val="none"/>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7808256"/>
        <c:crosses val="autoZero"/>
        <c:crossBetween val="midCat"/>
      </c:valAx>
      <c:valAx>
        <c:axId val="67808256"/>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Mass kgs</a:t>
                </a:r>
              </a:p>
            </c:rich>
          </c:tx>
          <c:overlay val="0"/>
          <c:spPr>
            <a:noFill/>
            <a:ln w="25400">
              <a:noFill/>
            </a:ln>
          </c:spPr>
        </c:title>
        <c:numFmt formatCode="_(* #,##0_);_(* \(#,##0\);_(* &quot;-&quot;??_);_(@_)" sourceLinked="1"/>
        <c:majorTickMark val="none"/>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7806336"/>
        <c:crosses val="autoZero"/>
        <c:crossBetween val="midCat"/>
      </c:valAx>
      <c:spPr>
        <a:solidFill>
          <a:srgbClr val="C0C0C0"/>
        </a:solidFill>
        <a:ln w="12700">
          <a:solidFill>
            <a:srgbClr val="808080"/>
          </a:solidFill>
          <a:prstDash val="solid"/>
        </a:ln>
      </c:spPr>
    </c:plotArea>
    <c:legend>
      <c:legendPos val="r"/>
      <c:legendEntry>
        <c:idx val="2"/>
        <c:delete val="1"/>
      </c:legendEntry>
      <c:legendEntry>
        <c:idx val="3"/>
        <c:delete val="1"/>
      </c:legendEntry>
      <c:layout>
        <c:manualLayout>
          <c:xMode val="edge"/>
          <c:yMode val="edge"/>
          <c:x val="0.81321436133804104"/>
          <c:y val="0.25730052493438299"/>
          <c:w val="0.17174809058811399"/>
          <c:h val="0.35993372703412102"/>
        </c:manualLayout>
      </c:layout>
      <c:overlay val="0"/>
      <c:txPr>
        <a:bodyPr/>
        <a:lstStyle/>
        <a:p>
          <a:pPr>
            <a:defRPr sz="5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3" r="0.750000000000003" t="1" header="0.5" footer="0.5"/>
    <c:pageSetup orientation="landscape" horizontalDpi="300" verticalDpi="30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t>Blade Cost Trends</a:t>
            </a:r>
          </a:p>
        </c:rich>
      </c:tx>
      <c:layout>
        <c:manualLayout>
          <c:xMode val="edge"/>
          <c:yMode val="edge"/>
          <c:x val="0.41708569092180198"/>
          <c:y val="2.9363784665579099E-2"/>
        </c:manualLayout>
      </c:layout>
      <c:overlay val="0"/>
      <c:spPr>
        <a:noFill/>
        <a:ln w="25400">
          <a:noFill/>
        </a:ln>
      </c:spPr>
    </c:title>
    <c:autoTitleDeleted val="0"/>
    <c:plotArea>
      <c:layout>
        <c:manualLayout>
          <c:layoutTarget val="inner"/>
          <c:xMode val="edge"/>
          <c:yMode val="edge"/>
          <c:x val="0.153266425674776"/>
          <c:y val="0.128874490908642"/>
          <c:w val="0.79648290063777105"/>
          <c:h val="0.75367107341510298"/>
        </c:manualLayout>
      </c:layout>
      <c:scatterChart>
        <c:scatterStyle val="lineMarker"/>
        <c:varyColors val="0"/>
        <c:ser>
          <c:idx val="1"/>
          <c:order val="0"/>
          <c:tx>
            <c:v>TPI Total Blade Cost</c:v>
          </c:tx>
          <c:spPr>
            <a:ln w="28575">
              <a:noFill/>
            </a:ln>
          </c:spPr>
          <c:marker>
            <c:symbol val="square"/>
            <c:size val="8"/>
            <c:spPr>
              <a:solidFill>
                <a:srgbClr val="FF00FF"/>
              </a:solidFill>
              <a:ln>
                <a:solidFill>
                  <a:srgbClr val="FF00FF"/>
                </a:solidFill>
                <a:prstDash val="solid"/>
              </a:ln>
            </c:spPr>
          </c:marker>
          <c:xVal>
            <c:numRef>
              <c:f>'Blade Mass &amp; Cost'!$A$71:$A$73</c:f>
              <c:numCache>
                <c:formatCode>General</c:formatCode>
                <c:ptCount val="3"/>
                <c:pt idx="0">
                  <c:v>32768</c:v>
                </c:pt>
                <c:pt idx="1">
                  <c:v>140608</c:v>
                </c:pt>
                <c:pt idx="2">
                  <c:v>373248</c:v>
                </c:pt>
              </c:numCache>
            </c:numRef>
          </c:xVal>
          <c:yVal>
            <c:numRef>
              <c:f>'Blade Mass &amp; Cost'!$G$71:$G$73</c:f>
              <c:numCache>
                <c:formatCode>_("$"* #,##0_);_("$"* \(#,##0\);_("$"* "-"??_);_(@_)</c:formatCode>
                <c:ptCount val="3"/>
                <c:pt idx="0">
                  <c:v>37383.10607706794</c:v>
                </c:pt>
                <c:pt idx="1">
                  <c:v>143914.13043478262</c:v>
                </c:pt>
                <c:pt idx="2">
                  <c:v>362754.52946350042</c:v>
                </c:pt>
              </c:numCache>
            </c:numRef>
          </c:yVal>
          <c:smooth val="0"/>
        </c:ser>
        <c:ser>
          <c:idx val="6"/>
          <c:order val="1"/>
          <c:tx>
            <c:v>Baseline Total Blade Cost Curve</c:v>
          </c:tx>
          <c:spPr>
            <a:ln w="38100">
              <a:solidFill>
                <a:srgbClr val="0000FF"/>
              </a:solidFill>
              <a:prstDash val="solid"/>
            </a:ln>
          </c:spPr>
          <c:marker>
            <c:symbol val="none"/>
          </c:marker>
          <c:xVal>
            <c:numRef>
              <c:f>'Blade Mass &amp; Cost'!$A$71:$A$73</c:f>
              <c:numCache>
                <c:formatCode>General</c:formatCode>
                <c:ptCount val="3"/>
                <c:pt idx="0">
                  <c:v>32768</c:v>
                </c:pt>
                <c:pt idx="1">
                  <c:v>140608</c:v>
                </c:pt>
                <c:pt idx="2">
                  <c:v>373248</c:v>
                </c:pt>
              </c:numCache>
            </c:numRef>
          </c:xVal>
          <c:yVal>
            <c:numRef>
              <c:f>'Blade Mass &amp; Cost'!$I$71:$I$73</c:f>
              <c:numCache>
                <c:formatCode>_("$"* #,##0_);_("$"* \(#,##0\);_("$"* "-"??_);_(@_)</c:formatCode>
                <c:ptCount val="3"/>
                <c:pt idx="0">
                  <c:v>39340.235606123468</c:v>
                </c:pt>
                <c:pt idx="1">
                  <c:v>152625.93551660361</c:v>
                </c:pt>
                <c:pt idx="2">
                  <c:v>377489.95316964627</c:v>
                </c:pt>
              </c:numCache>
            </c:numRef>
          </c:yVal>
          <c:smooth val="0"/>
        </c:ser>
        <c:ser>
          <c:idx val="8"/>
          <c:order val="2"/>
          <c:tx>
            <c:v>Advanced Total Blade Cost Curve</c:v>
          </c:tx>
          <c:spPr>
            <a:ln w="38100">
              <a:solidFill>
                <a:srgbClr val="FF0000"/>
              </a:solidFill>
              <a:prstDash val="solid"/>
            </a:ln>
          </c:spPr>
          <c:marker>
            <c:symbol val="none"/>
          </c:marker>
          <c:xVal>
            <c:numRef>
              <c:f>'Blade Mass &amp; Cost'!$M$71:$M$73</c:f>
              <c:numCache>
                <c:formatCode>General</c:formatCode>
                <c:ptCount val="3"/>
                <c:pt idx="0" formatCode="0">
                  <c:v>125000</c:v>
                </c:pt>
                <c:pt idx="1">
                  <c:v>140608</c:v>
                </c:pt>
                <c:pt idx="2">
                  <c:v>373248</c:v>
                </c:pt>
              </c:numCache>
            </c:numRef>
          </c:xVal>
          <c:yVal>
            <c:numRef>
              <c:f>'Blade Mass &amp; Cost'!$O$71:$O$73</c:f>
              <c:numCache>
                <c:formatCode>_("$"* #,##0_);_("$"* \(#,##0\);_("$"* "-"??_);_(@_)</c:formatCode>
                <c:ptCount val="3"/>
                <c:pt idx="0">
                  <c:v>108871.23666344967</c:v>
                </c:pt>
                <c:pt idx="1">
                  <c:v>124642.64549351986</c:v>
                </c:pt>
                <c:pt idx="2">
                  <c:v>349506.66314656241</c:v>
                </c:pt>
              </c:numCache>
            </c:numRef>
          </c:yVal>
          <c:smooth val="0"/>
        </c:ser>
        <c:ser>
          <c:idx val="2"/>
          <c:order val="3"/>
          <c:tx>
            <c:v>TPI Labor Cost</c:v>
          </c:tx>
          <c:spPr>
            <a:ln w="28575">
              <a:noFill/>
            </a:ln>
          </c:spPr>
          <c:marker>
            <c:symbol val="diamond"/>
            <c:size val="8"/>
            <c:spPr>
              <a:solidFill>
                <a:srgbClr val="008080"/>
              </a:solidFill>
              <a:ln>
                <a:solidFill>
                  <a:srgbClr val="008080"/>
                </a:solidFill>
                <a:prstDash val="solid"/>
              </a:ln>
            </c:spPr>
          </c:marker>
          <c:trendline>
            <c:spPr>
              <a:ln w="25400">
                <a:solidFill>
                  <a:srgbClr val="008080"/>
                </a:solidFill>
                <a:prstDash val="lgDash"/>
              </a:ln>
            </c:spPr>
            <c:trendlineType val="power"/>
            <c:dispRSqr val="0"/>
            <c:dispEq val="1"/>
            <c:trendlineLbl>
              <c:layout>
                <c:manualLayout>
                  <c:x val="6.3193333452544895E-2"/>
                  <c:y val="8.7782456061573796E-2"/>
                </c:manualLayout>
              </c:layout>
              <c:tx>
                <c:rich>
                  <a:bodyPr/>
                  <a:lstStyle/>
                  <a:p>
                    <a:pPr>
                      <a:defRPr sz="1025" b="0" i="0" u="none" strike="noStrike" baseline="0">
                        <a:solidFill>
                          <a:srgbClr val="000000"/>
                        </a:solidFill>
                        <a:latin typeface="Arial"/>
                        <a:ea typeface="Arial"/>
                        <a:cs typeface="Arial"/>
                      </a:defRPr>
                    </a:pPr>
                    <a:r>
                      <a:rPr lang="en-US" sz="1100" b="0" i="0" u="none" strike="noStrike" baseline="0">
                        <a:solidFill>
                          <a:srgbClr val="000000"/>
                        </a:solidFill>
                        <a:latin typeface="Arial"/>
                        <a:cs typeface="Arial"/>
                      </a:rPr>
                      <a:t>TPI Labor Cost:</a:t>
                    </a:r>
                  </a:p>
                  <a:p>
                    <a:pPr>
                      <a:defRPr sz="1025" b="0" i="0" u="none" strike="noStrike" baseline="0">
                        <a:solidFill>
                          <a:srgbClr val="000000"/>
                        </a:solidFill>
                        <a:latin typeface="Arial"/>
                        <a:ea typeface="Arial"/>
                        <a:cs typeface="Arial"/>
                      </a:defRPr>
                    </a:pPr>
                    <a:r>
                      <a:rPr lang="en-US" sz="1100" b="0" i="0" u="none" strike="noStrike" baseline="0">
                        <a:solidFill>
                          <a:srgbClr val="000000"/>
                        </a:solidFill>
                        <a:latin typeface="Arial"/>
                        <a:cs typeface="Arial"/>
                      </a:rPr>
                      <a:t>2002$ = 2.7445R</a:t>
                    </a:r>
                    <a:r>
                      <a:rPr lang="en-US" sz="1100" b="0" i="0" u="none" strike="noStrike" baseline="30000">
                        <a:solidFill>
                          <a:srgbClr val="000000"/>
                        </a:solidFill>
                        <a:latin typeface="Arial"/>
                        <a:cs typeface="Arial"/>
                      </a:rPr>
                      <a:t>2.5025</a:t>
                    </a:r>
                  </a:p>
                </c:rich>
              </c:tx>
              <c:numFmt formatCode="General" sourceLinked="0"/>
              <c:spPr>
                <a:solidFill>
                  <a:srgbClr val="FFFFFF"/>
                </a:solidFill>
                <a:ln w="25400">
                  <a:noFill/>
                </a:ln>
              </c:spPr>
            </c:trendlineLbl>
          </c:trendline>
          <c:xVal>
            <c:numRef>
              <c:f>'Blade Mass &amp; Cost'!$A$71:$A$73</c:f>
              <c:numCache>
                <c:formatCode>General</c:formatCode>
                <c:ptCount val="3"/>
                <c:pt idx="0">
                  <c:v>32768</c:v>
                </c:pt>
                <c:pt idx="1">
                  <c:v>140608</c:v>
                </c:pt>
                <c:pt idx="2">
                  <c:v>373248</c:v>
                </c:pt>
              </c:numCache>
            </c:numRef>
          </c:xVal>
          <c:yVal>
            <c:numRef>
              <c:f>'Blade Mass &amp; Cost'!$E$71:$E$73</c:f>
              <c:numCache>
                <c:formatCode>_("$"* #,##0_);_("$"* \(#,##0\);_("$"* "-"??_);_(@_)</c:formatCode>
                <c:ptCount val="3"/>
                <c:pt idx="0">
                  <c:v>14674.836375488918</c:v>
                </c:pt>
                <c:pt idx="1">
                  <c:v>48095.17391304348</c:v>
                </c:pt>
                <c:pt idx="2">
                  <c:v>112104.2612137203</c:v>
                </c:pt>
              </c:numCache>
            </c:numRef>
          </c:yVal>
          <c:smooth val="0"/>
        </c:ser>
        <c:ser>
          <c:idx val="0"/>
          <c:order val="4"/>
          <c:tx>
            <c:v>TPI Baseline Blade Material Cost</c:v>
          </c:tx>
          <c:spPr>
            <a:ln w="28575">
              <a:noFill/>
            </a:ln>
          </c:spPr>
          <c:marker>
            <c:symbol val="diamond"/>
            <c:size val="7"/>
            <c:spPr>
              <a:solidFill>
                <a:srgbClr val="0000FF"/>
              </a:solidFill>
              <a:ln>
                <a:solidFill>
                  <a:srgbClr val="0000FF"/>
                </a:solidFill>
                <a:prstDash val="solid"/>
              </a:ln>
            </c:spPr>
          </c:marker>
          <c:trendline>
            <c:spPr>
              <a:ln w="25400">
                <a:solidFill>
                  <a:srgbClr val="0000FF"/>
                </a:solidFill>
                <a:prstDash val="lgDash"/>
              </a:ln>
            </c:spPr>
            <c:trendlineType val="linear"/>
            <c:dispRSqr val="1"/>
            <c:dispEq val="1"/>
            <c:trendlineLbl>
              <c:layout>
                <c:manualLayout>
                  <c:x val="-2.9830270161092801E-2"/>
                  <c:y val="-2.7668661674388799E-2"/>
                </c:manualLayout>
              </c:layout>
              <c:tx>
                <c:rich>
                  <a:bodyPr/>
                  <a:lstStyle/>
                  <a:p>
                    <a:pPr>
                      <a:defRPr sz="1100" b="0" i="0" u="none" strike="noStrike" baseline="0">
                        <a:solidFill>
                          <a:srgbClr val="000000"/>
                        </a:solidFill>
                        <a:latin typeface="Arial"/>
                        <a:ea typeface="Arial"/>
                        <a:cs typeface="Arial"/>
                      </a:defRPr>
                    </a:pPr>
                    <a:r>
                      <a:t>Baseline Material Cost:
2002$ = 0.4019R^3- 955.24</a:t>
                    </a:r>
                  </a:p>
                </c:rich>
              </c:tx>
              <c:numFmt formatCode="General" sourceLinked="0"/>
              <c:spPr>
                <a:solidFill>
                  <a:srgbClr val="FFFFFF"/>
                </a:solidFill>
                <a:ln w="25400">
                  <a:noFill/>
                </a:ln>
              </c:spPr>
            </c:trendlineLbl>
          </c:trendline>
          <c:xVal>
            <c:numRef>
              <c:f>'Blade Mass &amp; Cost'!$A$71:$A$73</c:f>
              <c:numCache>
                <c:formatCode>General</c:formatCode>
                <c:ptCount val="3"/>
                <c:pt idx="0">
                  <c:v>32768</c:v>
                </c:pt>
                <c:pt idx="1">
                  <c:v>140608</c:v>
                </c:pt>
                <c:pt idx="2">
                  <c:v>373248</c:v>
                </c:pt>
              </c:numCache>
            </c:numRef>
          </c:xVal>
          <c:yVal>
            <c:numRef>
              <c:f>'Blade Mass &amp; Cost'!$D$71:$D$73</c:f>
              <c:numCache>
                <c:formatCode>_("$"* #,##0_);_("$"* \(#,##0\);_("$"* "-"??_);_(@_)</c:formatCode>
                <c:ptCount val="3"/>
                <c:pt idx="0">
                  <c:v>12241</c:v>
                </c:pt>
                <c:pt idx="1">
                  <c:v>55523</c:v>
                </c:pt>
                <c:pt idx="2">
                  <c:v>149079</c:v>
                </c:pt>
              </c:numCache>
            </c:numRef>
          </c:yVal>
          <c:smooth val="0"/>
        </c:ser>
        <c:ser>
          <c:idx val="4"/>
          <c:order val="5"/>
          <c:tx>
            <c:v>TPI Advanced Blade Material Cost</c:v>
          </c:tx>
          <c:spPr>
            <a:ln w="28575">
              <a:noFill/>
            </a:ln>
          </c:spPr>
          <c:marker>
            <c:symbol val="diamond"/>
            <c:size val="8"/>
            <c:spPr>
              <a:solidFill>
                <a:srgbClr val="FF0000"/>
              </a:solidFill>
              <a:ln>
                <a:solidFill>
                  <a:srgbClr val="FF0000"/>
                </a:solidFill>
                <a:prstDash val="solid"/>
              </a:ln>
            </c:spPr>
          </c:marker>
          <c:xVal>
            <c:numRef>
              <c:f>'Blade Mass &amp; Cost'!$Z$69:$Z$72</c:f>
              <c:numCache>
                <c:formatCode>General</c:formatCode>
                <c:ptCount val="4"/>
                <c:pt idx="0">
                  <c:v>140608</c:v>
                </c:pt>
                <c:pt idx="1">
                  <c:v>140608</c:v>
                </c:pt>
                <c:pt idx="2">
                  <c:v>140608</c:v>
                </c:pt>
                <c:pt idx="3">
                  <c:v>140608</c:v>
                </c:pt>
              </c:numCache>
            </c:numRef>
          </c:xVal>
          <c:yVal>
            <c:numRef>
              <c:f>'Blade Mass &amp; Cost'!$W$69:$W$72</c:f>
              <c:numCache>
                <c:formatCode>_("$"* #,##0_);_("$"* \(#,##0\);_("$"* "-"??_);_(@_)</c:formatCode>
                <c:ptCount val="4"/>
                <c:pt idx="0">
                  <c:v>33500.939616000003</c:v>
                </c:pt>
                <c:pt idx="1">
                  <c:v>37257.657301200001</c:v>
                </c:pt>
                <c:pt idx="2">
                  <c:v>35312.539339800001</c:v>
                </c:pt>
                <c:pt idx="3">
                  <c:v>39069.257024999999</c:v>
                </c:pt>
              </c:numCache>
            </c:numRef>
          </c:yVal>
          <c:smooth val="0"/>
        </c:ser>
        <c:ser>
          <c:idx val="5"/>
          <c:order val="6"/>
          <c:tx>
            <c:v>WindPACT Blade Cost 2002 $</c:v>
          </c:tx>
          <c:spPr>
            <a:ln w="28575">
              <a:noFill/>
            </a:ln>
          </c:spPr>
          <c:marker>
            <c:symbol val="square"/>
            <c:size val="8"/>
            <c:spPr>
              <a:solidFill>
                <a:srgbClr val="993300"/>
              </a:solidFill>
              <a:ln>
                <a:solidFill>
                  <a:srgbClr val="993300"/>
                </a:solidFill>
                <a:prstDash val="solid"/>
              </a:ln>
            </c:spPr>
          </c:marker>
          <c:trendline>
            <c:spPr>
              <a:ln w="25400">
                <a:solidFill>
                  <a:srgbClr val="993300"/>
                </a:solidFill>
                <a:prstDash val="lgDash"/>
              </a:ln>
            </c:spPr>
            <c:trendlineType val="power"/>
            <c:dispRSqr val="0"/>
            <c:dispEq val="1"/>
            <c:trendlineLbl>
              <c:layout>
                <c:manualLayout>
                  <c:x val="7.4038895359391496E-2"/>
                  <c:y val="-7.39556316412638E-2"/>
                </c:manualLayout>
              </c:layout>
              <c:tx>
                <c:rich>
                  <a:bodyPr/>
                  <a:lstStyle/>
                  <a:p>
                    <a:pPr>
                      <a:defRPr sz="1025" b="0" i="0" u="none" strike="noStrike" baseline="0">
                        <a:solidFill>
                          <a:srgbClr val="000000"/>
                        </a:solidFill>
                        <a:latin typeface="Arial"/>
                        <a:ea typeface="Arial"/>
                        <a:cs typeface="Arial"/>
                      </a:defRPr>
                    </a:pPr>
                    <a:r>
                      <a:rPr lang="en-US" sz="1100" b="0" i="0" u="none" strike="noStrike" baseline="0">
                        <a:solidFill>
                          <a:srgbClr val="000000"/>
                        </a:solidFill>
                        <a:latin typeface="Arial"/>
                        <a:cs typeface="Arial"/>
                      </a:rPr>
                      <a:t>WindPACT Blade Cost:</a:t>
                    </a:r>
                  </a:p>
                  <a:p>
                    <a:pPr>
                      <a:defRPr sz="1025" b="0" i="0" u="none" strike="noStrike" baseline="0">
                        <a:solidFill>
                          <a:srgbClr val="000000"/>
                        </a:solidFill>
                        <a:latin typeface="Arial"/>
                        <a:ea typeface="Arial"/>
                        <a:cs typeface="Arial"/>
                      </a:defRPr>
                    </a:pPr>
                    <a:r>
                      <a:rPr lang="en-US" sz="1100" b="0" i="0" u="none" strike="noStrike" baseline="0">
                        <a:solidFill>
                          <a:srgbClr val="000000"/>
                        </a:solidFill>
                        <a:latin typeface="Arial"/>
                        <a:cs typeface="Arial"/>
                      </a:rPr>
                      <a:t>2002$ = 3.1225R</a:t>
                    </a:r>
                    <a:r>
                      <a:rPr lang="en-US" sz="1100" b="0" i="0" u="none" strike="noStrike" baseline="30000">
                        <a:solidFill>
                          <a:srgbClr val="000000"/>
                        </a:solidFill>
                        <a:latin typeface="Arial"/>
                        <a:cs typeface="Arial"/>
                      </a:rPr>
                      <a:t>2.879</a:t>
                    </a:r>
                  </a:p>
                </c:rich>
              </c:tx>
              <c:numFmt formatCode="General" sourceLinked="0"/>
              <c:spPr>
                <a:solidFill>
                  <a:srgbClr val="FFFFFF"/>
                </a:solidFill>
                <a:ln w="25400">
                  <a:noFill/>
                </a:ln>
              </c:spPr>
            </c:trendlineLbl>
          </c:trendline>
          <c:xVal>
            <c:numRef>
              <c:f>'Blade Mass &amp; Cost'!$B$81:$B$84</c:f>
              <c:numCache>
                <c:formatCode>General</c:formatCode>
                <c:ptCount val="4"/>
                <c:pt idx="0">
                  <c:v>15625</c:v>
                </c:pt>
                <c:pt idx="1">
                  <c:v>42875</c:v>
                </c:pt>
                <c:pt idx="2">
                  <c:v>121287.375</c:v>
                </c:pt>
                <c:pt idx="3">
                  <c:v>262144</c:v>
                </c:pt>
              </c:numCache>
            </c:numRef>
          </c:xVal>
          <c:yVal>
            <c:numRef>
              <c:f>'Blade Mass &amp; Cost'!$D$81:$D$84</c:f>
              <c:numCache>
                <c:formatCode>_("$"* #,##0_);_("$"* \(#,##0\);_("$"* "-"??_);_(@_)</c:formatCode>
                <c:ptCount val="4"/>
                <c:pt idx="0">
                  <c:v>21358</c:v>
                </c:pt>
                <c:pt idx="1">
                  <c:v>49263.666666666664</c:v>
                </c:pt>
                <c:pt idx="2">
                  <c:v>145821.33333333334</c:v>
                </c:pt>
                <c:pt idx="3">
                  <c:v>301967.66666666669</c:v>
                </c:pt>
              </c:numCache>
            </c:numRef>
          </c:yVal>
          <c:smooth val="0"/>
        </c:ser>
        <c:ser>
          <c:idx val="3"/>
          <c:order val="7"/>
          <c:tx>
            <c:v>Manufacturer quotes - not 2005 $</c:v>
          </c:tx>
          <c:spPr>
            <a:ln w="28575">
              <a:noFill/>
            </a:ln>
          </c:spPr>
          <c:marker>
            <c:symbol val="circle"/>
            <c:size val="8"/>
            <c:spPr>
              <a:solidFill>
                <a:srgbClr val="0000FF"/>
              </a:solidFill>
              <a:ln>
                <a:solidFill>
                  <a:srgbClr val="0000FF"/>
                </a:solidFill>
                <a:prstDash val="solid"/>
              </a:ln>
            </c:spPr>
          </c:marker>
          <c:xVal>
            <c:numRef>
              <c:f>'Blade Mass &amp; Cost'!$B$88:$B$90</c:f>
              <c:numCache>
                <c:formatCode>General</c:formatCode>
                <c:ptCount val="3"/>
                <c:pt idx="0">
                  <c:v>100544.625</c:v>
                </c:pt>
                <c:pt idx="1">
                  <c:v>89614.671875</c:v>
                </c:pt>
                <c:pt idx="2">
                  <c:v>98931.640625</c:v>
                </c:pt>
              </c:numCache>
            </c:numRef>
          </c:xVal>
          <c:yVal>
            <c:numRef>
              <c:f>'Blade Mass &amp; Cost'!$D$88:$D$90</c:f>
              <c:numCache>
                <c:formatCode>_("$"* #,##0_);_("$"* \(#,##0\);_("$"* "-"??_);_(@_)</c:formatCode>
                <c:ptCount val="3"/>
                <c:pt idx="0">
                  <c:v>99900</c:v>
                </c:pt>
                <c:pt idx="1">
                  <c:v>136960</c:v>
                </c:pt>
                <c:pt idx="2">
                  <c:v>130896.66666666667</c:v>
                </c:pt>
              </c:numCache>
            </c:numRef>
          </c:yVal>
          <c:smooth val="0"/>
        </c:ser>
        <c:ser>
          <c:idx val="7"/>
          <c:order val="8"/>
          <c:tx>
            <c:v>Advanced blade material cost</c:v>
          </c:tx>
          <c:spPr>
            <a:ln w="28575">
              <a:noFill/>
            </a:ln>
          </c:spPr>
          <c:marker>
            <c:symbol val="square"/>
            <c:size val="2"/>
            <c:spPr>
              <a:solidFill>
                <a:srgbClr val="FF0000"/>
              </a:solidFill>
              <a:ln>
                <a:solidFill>
                  <a:srgbClr val="FF0000"/>
                </a:solidFill>
                <a:prstDash val="solid"/>
              </a:ln>
            </c:spPr>
          </c:marker>
          <c:trendline>
            <c:spPr>
              <a:ln w="25400">
                <a:solidFill>
                  <a:srgbClr val="FF0000"/>
                </a:solidFill>
                <a:prstDash val="lgDash"/>
              </a:ln>
            </c:spPr>
            <c:trendlineType val="linear"/>
            <c:dispRSqr val="1"/>
            <c:dispEq val="1"/>
            <c:trendlineLbl>
              <c:layout>
                <c:manualLayout>
                  <c:x val="-0.132845408729385"/>
                  <c:y val="0.19292300498159601"/>
                </c:manualLayout>
              </c:layout>
              <c:tx>
                <c:rich>
                  <a:bodyPr/>
                  <a:lstStyle/>
                  <a:p>
                    <a:pPr>
                      <a:defRPr sz="1100" b="0" i="0" u="none" strike="noStrike" baseline="0">
                        <a:solidFill>
                          <a:srgbClr val="000000"/>
                        </a:solidFill>
                        <a:latin typeface="Arial"/>
                        <a:ea typeface="Arial"/>
                        <a:cs typeface="Arial"/>
                      </a:defRPr>
                    </a:pPr>
                    <a:r>
                      <a:t>Advanced Material Cost:
2002$ = 0.4019R^3 - 21051
</a:t>
                    </a:r>
                  </a:p>
                </c:rich>
              </c:tx>
              <c:numFmt formatCode="General" sourceLinked="0"/>
              <c:spPr>
                <a:solidFill>
                  <a:srgbClr val="FFFFFF"/>
                </a:solidFill>
                <a:ln w="25400">
                  <a:noFill/>
                </a:ln>
              </c:spPr>
            </c:trendlineLbl>
          </c:trendline>
          <c:xVal>
            <c:numRef>
              <c:f>'Blade Mass &amp; Cost'!$M$71:$M$73</c:f>
              <c:numCache>
                <c:formatCode>General</c:formatCode>
                <c:ptCount val="3"/>
                <c:pt idx="0" formatCode="0">
                  <c:v>125000</c:v>
                </c:pt>
                <c:pt idx="1">
                  <c:v>140608</c:v>
                </c:pt>
                <c:pt idx="2">
                  <c:v>373248</c:v>
                </c:pt>
              </c:numCache>
            </c:numRef>
          </c:xVal>
          <c:yVal>
            <c:numRef>
              <c:f>'Blade Mass &amp; Cost'!$N$71:$N$73</c:f>
              <c:numCache>
                <c:formatCode>_("$"* #,##0.00_);_("$"* \(#,##0.00\);_("$"* "-"??_);_(@_)</c:formatCode>
                <c:ptCount val="3"/>
                <c:pt idx="0">
                  <c:v>29191.151583413506</c:v>
                </c:pt>
                <c:pt idx="1">
                  <c:v>35464.59334031833</c:v>
                </c:pt>
                <c:pt idx="2">
                  <c:v>128971.35207470701</c:v>
                </c:pt>
              </c:numCache>
            </c:numRef>
          </c:yVal>
          <c:smooth val="0"/>
        </c:ser>
        <c:ser>
          <c:idx val="9"/>
          <c:order val="9"/>
          <c:tx>
            <c:v>Current Design</c:v>
          </c:tx>
          <c:spPr>
            <a:ln w="28575">
              <a:noFill/>
            </a:ln>
          </c:spPr>
          <c:marker>
            <c:symbol val="circle"/>
            <c:size val="10"/>
            <c:spPr>
              <a:solidFill>
                <a:srgbClr val="00FF00"/>
              </a:solidFill>
              <a:ln>
                <a:solidFill>
                  <a:srgbClr val="00FF00"/>
                </a:solidFill>
                <a:prstDash val="solid"/>
              </a:ln>
            </c:spPr>
          </c:marker>
          <c:xVal>
            <c:numRef>
              <c:f>'Blade Mass &amp; Cost'!$E$7</c:f>
              <c:numCache>
                <c:formatCode>General</c:formatCode>
                <c:ptCount val="1"/>
                <c:pt idx="0">
                  <c:v>113731.65112500002</c:v>
                </c:pt>
              </c:numCache>
            </c:numRef>
          </c:xVal>
          <c:yVal>
            <c:numRef>
              <c:f>'Blade Mass &amp; Cost'!$F$7</c:f>
              <c:numCache>
                <c:formatCode>_("$"* #,##0_);_("$"* \(#,##0\);_("$"* "-"??_);_(@_)</c:formatCode>
                <c:ptCount val="1"/>
                <c:pt idx="0">
                  <c:v>107944.1451486295</c:v>
                </c:pt>
              </c:numCache>
            </c:numRef>
          </c:yVal>
          <c:smooth val="0"/>
        </c:ser>
        <c:dLbls>
          <c:showLegendKey val="0"/>
          <c:showVal val="0"/>
          <c:showCatName val="0"/>
          <c:showSerName val="0"/>
          <c:showPercent val="0"/>
          <c:showBubbleSize val="0"/>
        </c:dLbls>
        <c:axId val="135665536"/>
        <c:axId val="135676288"/>
      </c:scatterChart>
      <c:valAx>
        <c:axId val="135665536"/>
        <c:scaling>
          <c:orientation val="minMax"/>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t>Rotor Radius^3 (m^3)</a:t>
                </a:r>
              </a:p>
            </c:rich>
          </c:tx>
          <c:layout>
            <c:manualLayout>
              <c:xMode val="edge"/>
              <c:yMode val="edge"/>
              <c:x val="0.44472388187657402"/>
              <c:y val="0.939641794367877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35676288"/>
        <c:crosses val="autoZero"/>
        <c:crossBetween val="midCat"/>
      </c:valAx>
      <c:valAx>
        <c:axId val="135676288"/>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t>Cost ($)</a:t>
                </a:r>
              </a:p>
            </c:rich>
          </c:tx>
          <c:layout>
            <c:manualLayout>
              <c:xMode val="edge"/>
              <c:yMode val="edge"/>
              <c:x val="1.13065326633167E-2"/>
              <c:y val="0.45350768348083698"/>
            </c:manualLayout>
          </c:layout>
          <c:overlay val="0"/>
          <c:spPr>
            <a:noFill/>
            <a:ln w="25400">
              <a:noFill/>
            </a:ln>
          </c:spPr>
        </c:title>
        <c:numFmt formatCode="_(&quot;$&quot;* #,##0_);_(&quot;$&quot;* \(#,##0\);_(&quot;$&quot;* &quot;-&quot;??_);_(@_)"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135665536"/>
        <c:crosses val="autoZero"/>
        <c:crossBetween val="midCat"/>
      </c:valAx>
      <c:spPr>
        <a:noFill/>
        <a:ln w="25400">
          <a:noFill/>
        </a:ln>
      </c:spPr>
    </c:plotArea>
    <c:legend>
      <c:legendPos val="r"/>
      <c:legendEntry>
        <c:idx val="8"/>
        <c:delete val="1"/>
      </c:legendEntry>
      <c:legendEntry>
        <c:idx val="10"/>
        <c:delete val="1"/>
      </c:legendEntry>
      <c:legendEntry>
        <c:idx val="11"/>
        <c:delete val="1"/>
      </c:legendEntry>
      <c:legendEntry>
        <c:idx val="12"/>
        <c:delete val="1"/>
      </c:legendEntry>
      <c:legendEntry>
        <c:idx val="13"/>
        <c:delete val="1"/>
      </c:legendEntry>
      <c:layout>
        <c:manualLayout>
          <c:xMode val="edge"/>
          <c:yMode val="edge"/>
          <c:wMode val="edge"/>
          <c:hMode val="edge"/>
          <c:x val="0.157035307772459"/>
          <c:y val="0.119086631299962"/>
          <c:w val="0.47989989316662202"/>
          <c:h val="0.44371992652631198"/>
        </c:manualLayout>
      </c:layout>
      <c:overlay val="0"/>
      <c:spPr>
        <a:solidFill>
          <a:srgbClr val="FFFFFF"/>
        </a:solidFill>
        <a:ln w="3175">
          <a:solidFill>
            <a:srgbClr val="000000"/>
          </a:solidFill>
          <a:prstDash val="solid"/>
        </a:ln>
      </c:spPr>
      <c:txPr>
        <a:bodyPr/>
        <a:lstStyle/>
        <a:p>
          <a:pPr>
            <a:defRPr sz="56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orientation="landscape"/>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Diameter vs. Density</a:t>
            </a:r>
          </a:p>
        </c:rich>
      </c:tx>
      <c:overlay val="0"/>
    </c:title>
    <c:autoTitleDeleted val="0"/>
    <c:plotArea>
      <c:layout/>
      <c:scatterChart>
        <c:scatterStyle val="lineMarker"/>
        <c:varyColors val="0"/>
        <c:ser>
          <c:idx val="0"/>
          <c:order val="0"/>
          <c:tx>
            <c:strRef>
              <c:f>Generators!$X$66</c:f>
              <c:strCache>
                <c:ptCount val="1"/>
                <c:pt idx="0">
                  <c:v>GE Protected Data</c:v>
                </c:pt>
              </c:strCache>
            </c:strRef>
          </c:tx>
          <c:spPr>
            <a:ln w="28575">
              <a:noFill/>
            </a:ln>
          </c:spPr>
          <c:trendline>
            <c:trendlineType val="power"/>
            <c:forward val="10"/>
            <c:backward val="1"/>
            <c:dispRSqr val="1"/>
            <c:dispEq val="1"/>
            <c:trendlineLbl>
              <c:layout>
                <c:manualLayout>
                  <c:x val="0.34830232088609703"/>
                  <c:y val="-0.34022583786363297"/>
                </c:manualLayout>
              </c:layout>
              <c:numFmt formatCode="General" sourceLinked="0"/>
              <c:txPr>
                <a:bodyPr/>
                <a:lstStyle/>
                <a:p>
                  <a:pPr>
                    <a:defRPr sz="1000" b="0" i="0" u="none" strike="noStrike" baseline="0">
                      <a:solidFill>
                        <a:srgbClr val="000000"/>
                      </a:solidFill>
                      <a:latin typeface="Calibri"/>
                      <a:ea typeface="Calibri"/>
                      <a:cs typeface="Calibri"/>
                    </a:defRPr>
                  </a:pPr>
                  <a:endParaRPr lang="en-US"/>
                </a:p>
              </c:txPr>
            </c:trendlineLbl>
          </c:trendline>
          <c:xVal>
            <c:numRef>
              <c:f>Generators!$Z$69:$Z$73</c:f>
              <c:numCache>
                <c:formatCode>General</c:formatCode>
                <c:ptCount val="5"/>
                <c:pt idx="0">
                  <c:v>4.3</c:v>
                </c:pt>
                <c:pt idx="1">
                  <c:v>4.5999999999999996</c:v>
                </c:pt>
                <c:pt idx="2">
                  <c:v>5.2</c:v>
                </c:pt>
                <c:pt idx="3">
                  <c:v>5.8</c:v>
                </c:pt>
                <c:pt idx="4">
                  <c:v>6.2</c:v>
                </c:pt>
              </c:numCache>
            </c:numRef>
          </c:xVal>
          <c:yVal>
            <c:numRef>
              <c:f>Generators!$AC$69:$AC$73</c:f>
              <c:numCache>
                <c:formatCode>0.0</c:formatCode>
                <c:ptCount val="5"/>
                <c:pt idx="0">
                  <c:v>3443.0490663471141</c:v>
                </c:pt>
                <c:pt idx="1">
                  <c:v>3189.8410258243089</c:v>
                </c:pt>
                <c:pt idx="2">
                  <c:v>2996.4620808049153</c:v>
                </c:pt>
                <c:pt idx="3">
                  <c:v>2727.0069495291555</c:v>
                </c:pt>
                <c:pt idx="4">
                  <c:v>2589.5989226947304</c:v>
                </c:pt>
              </c:numCache>
            </c:numRef>
          </c:yVal>
          <c:smooth val="0"/>
        </c:ser>
        <c:ser>
          <c:idx val="1"/>
          <c:order val="1"/>
          <c:tx>
            <c:strRef>
              <c:f>Generators!$X$74</c:f>
              <c:strCache>
                <c:ptCount val="1"/>
                <c:pt idx="0">
                  <c:v>GEC WindPACT Data</c:v>
                </c:pt>
              </c:strCache>
            </c:strRef>
          </c:tx>
          <c:spPr>
            <a:ln w="28575">
              <a:noFill/>
            </a:ln>
          </c:spPr>
          <c:trendline>
            <c:trendlineType val="poly"/>
            <c:order val="2"/>
            <c:dispRSqr val="1"/>
            <c:dispEq val="1"/>
            <c:trendlineLbl>
              <c:layout>
                <c:manualLayout>
                  <c:x val="0.64143770043055903"/>
                  <c:y val="0.363281678242309"/>
                </c:manualLayout>
              </c:layout>
              <c:numFmt formatCode="General" sourceLinked="0"/>
              <c:txPr>
                <a:bodyPr/>
                <a:lstStyle/>
                <a:p>
                  <a:pPr>
                    <a:defRPr sz="1000" b="0" i="0" u="none" strike="noStrike" baseline="0">
                      <a:solidFill>
                        <a:srgbClr val="000000"/>
                      </a:solidFill>
                      <a:latin typeface="Calibri"/>
                      <a:ea typeface="Calibri"/>
                      <a:cs typeface="Calibri"/>
                    </a:defRPr>
                  </a:pPr>
                  <a:endParaRPr lang="en-US"/>
                </a:p>
              </c:txPr>
            </c:trendlineLbl>
          </c:trendline>
          <c:xVal>
            <c:numRef>
              <c:f>Generators!$Z$74:$Z$85</c:f>
              <c:numCache>
                <c:formatCode>0.0</c:formatCode>
                <c:ptCount val="12"/>
                <c:pt idx="0">
                  <c:v>3.1943000000000001</c:v>
                </c:pt>
                <c:pt idx="1">
                  <c:v>3.5764</c:v>
                </c:pt>
                <c:pt idx="2">
                  <c:v>3.9586000000000001</c:v>
                </c:pt>
                <c:pt idx="3">
                  <c:v>4.4171000000000005</c:v>
                </c:pt>
                <c:pt idx="4">
                  <c:v>4.7993000000000006</c:v>
                </c:pt>
                <c:pt idx="5">
                  <c:v>5.1814</c:v>
                </c:pt>
                <c:pt idx="6">
                  <c:v>5.5636000000000001</c:v>
                </c:pt>
                <c:pt idx="7">
                  <c:v>6.0221</c:v>
                </c:pt>
                <c:pt idx="8">
                  <c:v>6.4043000000000001</c:v>
                </c:pt>
                <c:pt idx="9">
                  <c:v>6.7863999999999995</c:v>
                </c:pt>
                <c:pt idx="10">
                  <c:v>7.1686000000000005</c:v>
                </c:pt>
                <c:pt idx="11">
                  <c:v>7.6271000000000004</c:v>
                </c:pt>
              </c:numCache>
            </c:numRef>
          </c:xVal>
          <c:yVal>
            <c:numRef>
              <c:f>Generators!$AC$74:$AC$85</c:f>
              <c:numCache>
                <c:formatCode>0.0</c:formatCode>
                <c:ptCount val="12"/>
                <c:pt idx="0">
                  <c:v>3256.0061084259924</c:v>
                </c:pt>
                <c:pt idx="1">
                  <c:v>2950.0649056042084</c:v>
                </c:pt>
                <c:pt idx="2">
                  <c:v>2798.0065177535075</c:v>
                </c:pt>
                <c:pt idx="3">
                  <c:v>2758.5097616025027</c:v>
                </c:pt>
                <c:pt idx="4">
                  <c:v>2803.2720439325785</c:v>
                </c:pt>
                <c:pt idx="5">
                  <c:v>2898.0752160776974</c:v>
                </c:pt>
                <c:pt idx="6">
                  <c:v>3031.4574778841484</c:v>
                </c:pt>
                <c:pt idx="7">
                  <c:v>3232.5585688994106</c:v>
                </c:pt>
                <c:pt idx="8">
                  <c:v>3429.3819870131538</c:v>
                </c:pt>
                <c:pt idx="9">
                  <c:v>3648.6891930379975</c:v>
                </c:pt>
                <c:pt idx="10">
                  <c:v>3890.4847382379162</c:v>
                </c:pt>
                <c:pt idx="11">
                  <c:v>4206.0188319281187</c:v>
                </c:pt>
              </c:numCache>
            </c:numRef>
          </c:yVal>
          <c:smooth val="0"/>
        </c:ser>
        <c:dLbls>
          <c:showLegendKey val="0"/>
          <c:showVal val="0"/>
          <c:showCatName val="0"/>
          <c:showSerName val="0"/>
          <c:showPercent val="0"/>
          <c:showBubbleSize val="0"/>
        </c:dLbls>
        <c:axId val="68504192"/>
        <c:axId val="68518656"/>
      </c:scatterChart>
      <c:valAx>
        <c:axId val="68504192"/>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Diameter (m)</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518656"/>
        <c:crosses val="autoZero"/>
        <c:crossBetween val="midCat"/>
      </c:valAx>
      <c:valAx>
        <c:axId val="68518656"/>
        <c:scaling>
          <c:orientation val="minMax"/>
          <c:min val="0"/>
        </c:scaling>
        <c:delete val="0"/>
        <c:axPos val="l"/>
        <c:majorGridlines/>
        <c:title>
          <c:tx>
            <c:rich>
              <a:bodyPr/>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Calibri"/>
                  </a:rPr>
                  <a:t>Density (kg/m</a:t>
                </a:r>
                <a:r>
                  <a:rPr lang="en-US" sz="1000" b="1" i="0" u="none" strike="noStrike" baseline="30000">
                    <a:solidFill>
                      <a:srgbClr val="000000"/>
                    </a:solidFill>
                    <a:latin typeface="Calibri"/>
                  </a:rPr>
                  <a:t>3</a:t>
                </a:r>
                <a:r>
                  <a:rPr lang="en-US" sz="1000" b="1" i="0" u="none" strike="noStrike" baseline="0">
                    <a:solidFill>
                      <a:srgbClr val="000000"/>
                    </a:solidFill>
                    <a:latin typeface="Calibri"/>
                  </a:rPr>
                  <a:t>)</a:t>
                </a:r>
              </a:p>
            </c:rich>
          </c:tx>
          <c:overlay val="0"/>
        </c:title>
        <c:numFmt formatCode="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504192"/>
        <c:crosses val="autoZero"/>
        <c:crossBetween val="midCat"/>
      </c:valAx>
    </c:plotArea>
    <c:legend>
      <c:legendPos val="r"/>
      <c:legendEntry>
        <c:idx val="2"/>
        <c:delete val="1"/>
      </c:legendEntry>
      <c:legendEntry>
        <c:idx val="3"/>
        <c:delete val="1"/>
      </c:legendEntry>
      <c:layout>
        <c:manualLayout>
          <c:xMode val="edge"/>
          <c:yMode val="edge"/>
          <c:x val="0.74009655043119904"/>
          <c:y val="0.38994138017760299"/>
          <c:w val="0.238436445444319"/>
          <c:h val="0.118479366983304"/>
        </c:manualLayout>
      </c:layout>
      <c:overlay val="0"/>
      <c:txPr>
        <a:bodyPr/>
        <a:lstStyle/>
        <a:p>
          <a:pPr>
            <a:defRPr sz="59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95" r="0.70000000000000095" t="0.750000000000002"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Bearing Mass vs Diameter from Avon</a:t>
            </a:r>
          </a:p>
        </c:rich>
      </c:tx>
      <c:layout>
        <c:manualLayout>
          <c:xMode val="edge"/>
          <c:yMode val="edge"/>
          <c:x val="0.124010831099938"/>
          <c:y val="3.7414965986394703E-2"/>
        </c:manualLayout>
      </c:layout>
      <c:overlay val="0"/>
      <c:spPr>
        <a:noFill/>
        <a:ln w="25400">
          <a:noFill/>
        </a:ln>
      </c:spPr>
    </c:title>
    <c:autoTitleDeleted val="0"/>
    <c:plotArea>
      <c:layout>
        <c:manualLayout>
          <c:layoutTarget val="inner"/>
          <c:xMode val="edge"/>
          <c:yMode val="edge"/>
          <c:x val="0.208443540314176"/>
          <c:y val="0.22449054159539"/>
          <c:w val="0.72295607653271099"/>
          <c:h val="0.54081812293434695"/>
        </c:manualLayout>
      </c:layout>
      <c:scatterChart>
        <c:scatterStyle val="smoothMarker"/>
        <c:varyColors val="0"/>
        <c:ser>
          <c:idx val="0"/>
          <c:order val="0"/>
          <c:tx>
            <c:v>Baseline Bearing Mass</c:v>
          </c:tx>
          <c:spPr>
            <a:ln w="12700">
              <a:solidFill>
                <a:srgbClr val="000080"/>
              </a:solidFill>
              <a:prstDash val="solid"/>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power"/>
            <c:dispRSqr val="1"/>
            <c:dispEq val="1"/>
            <c:trendlineLbl>
              <c:layout>
                <c:manualLayout>
                  <c:x val="-5.9806768300065698E-2"/>
                  <c:y val="-0.123145917893492"/>
                </c:manualLayout>
              </c:layout>
              <c:numFmt formatCode="General"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trendlineLbl>
          </c:trendline>
          <c:xVal>
            <c:numRef>
              <c:f>'Yaw Drive &amp; Bearing'!$A$28:$A$31</c:f>
              <c:numCache>
                <c:formatCode>General</c:formatCode>
                <c:ptCount val="4"/>
                <c:pt idx="0">
                  <c:v>46.6</c:v>
                </c:pt>
                <c:pt idx="1">
                  <c:v>66</c:v>
                </c:pt>
                <c:pt idx="2">
                  <c:v>93</c:v>
                </c:pt>
                <c:pt idx="3">
                  <c:v>120</c:v>
                </c:pt>
              </c:numCache>
            </c:numRef>
          </c:xVal>
          <c:yVal>
            <c:numRef>
              <c:f>'Yaw Drive &amp; Bearing'!$B$28:$B$31</c:f>
              <c:numCache>
                <c:formatCode>General</c:formatCode>
                <c:ptCount val="4"/>
                <c:pt idx="0">
                  <c:v>355</c:v>
                </c:pt>
                <c:pt idx="1">
                  <c:v>770</c:v>
                </c:pt>
                <c:pt idx="2">
                  <c:v>4000</c:v>
                </c:pt>
                <c:pt idx="3">
                  <c:v>6800</c:v>
                </c:pt>
              </c:numCache>
            </c:numRef>
          </c:yVal>
          <c:smooth val="1"/>
        </c:ser>
        <c:ser>
          <c:idx val="1"/>
          <c:order val="1"/>
          <c:tx>
            <c:v>Current Design</c:v>
          </c:tx>
          <c:spPr>
            <a:ln w="12700">
              <a:solidFill>
                <a:srgbClr val="FF00FF"/>
              </a:solidFill>
              <a:prstDash val="solid"/>
            </a:ln>
          </c:spPr>
          <c:marker>
            <c:symbol val="circle"/>
            <c:size val="8"/>
            <c:spPr>
              <a:solidFill>
                <a:srgbClr val="00FF00"/>
              </a:solidFill>
              <a:ln>
                <a:solidFill>
                  <a:srgbClr val="00FF00"/>
                </a:solidFill>
                <a:prstDash val="solid"/>
              </a:ln>
            </c:spPr>
          </c:marker>
          <c:xVal>
            <c:numRef>
              <c:f>'Yaw Drive &amp; Bearing'!$A$33</c:f>
              <c:numCache>
                <c:formatCode>General</c:formatCode>
                <c:ptCount val="1"/>
                <c:pt idx="0">
                  <c:v>96.9</c:v>
                </c:pt>
              </c:numCache>
            </c:numRef>
          </c:xVal>
          <c:yVal>
            <c:numRef>
              <c:f>'Yaw Drive &amp; Bearing'!$B$33</c:f>
              <c:numCache>
                <c:formatCode>0</c:formatCode>
                <c:ptCount val="1"/>
                <c:pt idx="0">
                  <c:v>3442.8611385029044</c:v>
                </c:pt>
              </c:numCache>
            </c:numRef>
          </c:yVal>
          <c:smooth val="1"/>
        </c:ser>
        <c:dLbls>
          <c:showLegendKey val="0"/>
          <c:showVal val="0"/>
          <c:showCatName val="0"/>
          <c:showSerName val="0"/>
          <c:showPercent val="0"/>
          <c:showBubbleSize val="0"/>
        </c:dLbls>
        <c:axId val="68210688"/>
        <c:axId val="68212992"/>
      </c:scatterChart>
      <c:valAx>
        <c:axId val="68210688"/>
        <c:scaling>
          <c:orientation val="minMax"/>
        </c:scaling>
        <c:delete val="0"/>
        <c:axPos val="b"/>
        <c:title>
          <c:tx>
            <c:rich>
              <a:bodyPr/>
              <a:lstStyle/>
              <a:p>
                <a:pPr>
                  <a:defRPr sz="1000" b="1" i="0" u="none" strike="noStrike" baseline="0">
                    <a:solidFill>
                      <a:srgbClr val="000000"/>
                    </a:solidFill>
                    <a:latin typeface="Arial"/>
                    <a:ea typeface="Arial"/>
                    <a:cs typeface="Arial"/>
                  </a:defRPr>
                </a:pPr>
                <a:r>
                  <a:t>Rotor Diameter</a:t>
                </a:r>
              </a:p>
            </c:rich>
          </c:tx>
          <c:layout>
            <c:manualLayout>
              <c:xMode val="edge"/>
              <c:yMode val="edge"/>
              <c:x val="0.43799527697560398"/>
              <c:y val="0.8707511561054920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8212992"/>
        <c:crosses val="autoZero"/>
        <c:crossBetween val="midCat"/>
      </c:valAx>
      <c:valAx>
        <c:axId val="682129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t>Yaw Bearing Mass</a:t>
                </a:r>
              </a:p>
            </c:rich>
          </c:tx>
          <c:layout>
            <c:manualLayout>
              <c:xMode val="edge"/>
              <c:yMode val="edge"/>
              <c:x val="4.2216358839050103E-2"/>
              <c:y val="0.289116717553162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8210688"/>
        <c:crosses val="autoZero"/>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525" b="1" i="0" u="none" strike="noStrike" baseline="0">
                <a:solidFill>
                  <a:srgbClr val="000000"/>
                </a:solidFill>
                <a:latin typeface="Arial"/>
                <a:ea typeface="Arial"/>
                <a:cs typeface="Arial"/>
              </a:defRPr>
            </a:pPr>
            <a:r>
              <a:t>Bearing Cost vs Rotor Diameter from Avon</a:t>
            </a:r>
          </a:p>
        </c:rich>
      </c:tx>
      <c:layout>
        <c:manualLayout>
          <c:xMode val="edge"/>
          <c:yMode val="edge"/>
          <c:x val="0.12761528239932399"/>
          <c:y val="4.1095890410958902E-2"/>
        </c:manualLayout>
      </c:layout>
      <c:overlay val="0"/>
      <c:spPr>
        <a:noFill/>
        <a:ln w="25400">
          <a:noFill/>
        </a:ln>
      </c:spPr>
    </c:title>
    <c:autoTitleDeleted val="0"/>
    <c:plotArea>
      <c:layout>
        <c:manualLayout>
          <c:layoutTarget val="inner"/>
          <c:xMode val="edge"/>
          <c:yMode val="edge"/>
          <c:x val="0.24267807216559101"/>
          <c:y val="0.35616497913932099"/>
          <c:w val="0.53974950533381705"/>
          <c:h val="0.35274031587836402"/>
        </c:manualLayout>
      </c:layout>
      <c:scatterChart>
        <c:scatterStyle val="smoothMarker"/>
        <c:varyColors val="0"/>
        <c:ser>
          <c:idx val="1"/>
          <c:order val="0"/>
          <c:tx>
            <c:v>Baseline Bearing Cost</c:v>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25400">
                <a:solidFill>
                  <a:srgbClr val="000000"/>
                </a:solidFill>
                <a:prstDash val="solid"/>
              </a:ln>
            </c:spPr>
            <c:trendlineType val="power"/>
            <c:dispRSqr val="1"/>
            <c:dispEq val="1"/>
            <c:trendlineLbl>
              <c:layout>
                <c:manualLayout>
                  <c:x val="3.1934536114381399E-3"/>
                  <c:y val="-0.14726059791791801"/>
                </c:manualLayout>
              </c:layout>
              <c:numFmt formatCode="General" sourceLinked="0"/>
              <c:spPr>
                <a:noFill/>
                <a:ln w="25400">
                  <a:noFill/>
                </a:ln>
              </c:spPr>
              <c:txPr>
                <a:bodyPr/>
                <a:lstStyle/>
                <a:p>
                  <a:pPr>
                    <a:defRPr sz="1450" b="0" i="0" u="none" strike="noStrike" baseline="0">
                      <a:solidFill>
                        <a:srgbClr val="000000"/>
                      </a:solidFill>
                      <a:latin typeface="Arial"/>
                      <a:ea typeface="Arial"/>
                      <a:cs typeface="Arial"/>
                    </a:defRPr>
                  </a:pPr>
                  <a:endParaRPr lang="en-US"/>
                </a:p>
              </c:txPr>
            </c:trendlineLbl>
          </c:trendline>
          <c:xVal>
            <c:numRef>
              <c:f>'Yaw Drive &amp; Bearing'!$A$28:$A$31</c:f>
              <c:numCache>
                <c:formatCode>General</c:formatCode>
                <c:ptCount val="4"/>
                <c:pt idx="0">
                  <c:v>46.6</c:v>
                </c:pt>
                <c:pt idx="1">
                  <c:v>66</c:v>
                </c:pt>
                <c:pt idx="2">
                  <c:v>93</c:v>
                </c:pt>
                <c:pt idx="3">
                  <c:v>120</c:v>
                </c:pt>
              </c:numCache>
            </c:numRef>
          </c:xVal>
          <c:yVal>
            <c:numRef>
              <c:f>'Yaw Drive &amp; Bearing'!$C$28:$C$31</c:f>
              <c:numCache>
                <c:formatCode>General</c:formatCode>
                <c:ptCount val="4"/>
                <c:pt idx="0">
                  <c:v>3331</c:v>
                </c:pt>
                <c:pt idx="1">
                  <c:v>6374</c:v>
                </c:pt>
                <c:pt idx="2">
                  <c:v>29105</c:v>
                </c:pt>
                <c:pt idx="3">
                  <c:v>46000</c:v>
                </c:pt>
              </c:numCache>
            </c:numRef>
          </c:yVal>
          <c:smooth val="1"/>
        </c:ser>
        <c:ser>
          <c:idx val="0"/>
          <c:order val="1"/>
          <c:tx>
            <c:v>Current Design</c:v>
          </c:tx>
          <c:spPr>
            <a:ln w="12700">
              <a:solidFill>
                <a:srgbClr val="000080"/>
              </a:solidFill>
              <a:prstDash val="solid"/>
            </a:ln>
          </c:spPr>
          <c:marker>
            <c:symbol val="circle"/>
            <c:size val="8"/>
            <c:spPr>
              <a:solidFill>
                <a:srgbClr val="00FF00"/>
              </a:solidFill>
              <a:ln>
                <a:solidFill>
                  <a:srgbClr val="00FF00"/>
                </a:solidFill>
                <a:prstDash val="solid"/>
              </a:ln>
            </c:spPr>
          </c:marker>
          <c:xVal>
            <c:numRef>
              <c:f>'Yaw Drive &amp; Bearing'!$A$33</c:f>
              <c:numCache>
                <c:formatCode>General</c:formatCode>
                <c:ptCount val="1"/>
                <c:pt idx="0">
                  <c:v>96.9</c:v>
                </c:pt>
              </c:numCache>
            </c:numRef>
          </c:xVal>
          <c:yVal>
            <c:numRef>
              <c:f>'Yaw Drive &amp; Bearing'!$C$33</c:f>
              <c:numCache>
                <c:formatCode>"$"#,##0</c:formatCode>
                <c:ptCount val="1"/>
                <c:pt idx="0">
                  <c:v>26125.672369264026</c:v>
                </c:pt>
              </c:numCache>
            </c:numRef>
          </c:yVal>
          <c:smooth val="1"/>
        </c:ser>
        <c:dLbls>
          <c:showLegendKey val="0"/>
          <c:showVal val="0"/>
          <c:showCatName val="0"/>
          <c:showSerName val="0"/>
          <c:showPercent val="0"/>
          <c:showBubbleSize val="0"/>
        </c:dLbls>
        <c:axId val="68099456"/>
        <c:axId val="68126592"/>
      </c:scatterChart>
      <c:valAx>
        <c:axId val="68099456"/>
        <c:scaling>
          <c:orientation val="minMax"/>
        </c:scaling>
        <c:delete val="0"/>
        <c:axPos val="b"/>
        <c:title>
          <c:tx>
            <c:rich>
              <a:bodyPr/>
              <a:lstStyle/>
              <a:p>
                <a:pPr>
                  <a:defRPr sz="1450" b="1" i="0" u="none" strike="noStrike" baseline="0">
                    <a:solidFill>
                      <a:srgbClr val="000000"/>
                    </a:solidFill>
                    <a:latin typeface="Arial"/>
                    <a:ea typeface="Arial"/>
                    <a:cs typeface="Arial"/>
                  </a:defRPr>
                </a:pPr>
                <a:r>
                  <a:t>Rotor Diameter (meters)</a:t>
                </a:r>
              </a:p>
            </c:rich>
          </c:tx>
          <c:layout>
            <c:manualLayout>
              <c:xMode val="edge"/>
              <c:yMode val="edge"/>
              <c:x val="0.27615084725288203"/>
              <c:y val="0.859590479272283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50" b="0" i="0" u="none" strike="noStrike" baseline="0">
                <a:solidFill>
                  <a:srgbClr val="000000"/>
                </a:solidFill>
                <a:latin typeface="Arial"/>
                <a:ea typeface="Arial"/>
                <a:cs typeface="Arial"/>
              </a:defRPr>
            </a:pPr>
            <a:endParaRPr lang="en-US"/>
          </a:p>
        </c:txPr>
        <c:crossAx val="68126592"/>
        <c:crosses val="autoZero"/>
        <c:crossBetween val="midCat"/>
      </c:valAx>
      <c:valAx>
        <c:axId val="68126592"/>
        <c:scaling>
          <c:orientation val="minMax"/>
        </c:scaling>
        <c:delete val="0"/>
        <c:axPos val="l"/>
        <c:majorGridlines>
          <c:spPr>
            <a:ln w="3175">
              <a:solidFill>
                <a:srgbClr val="000000"/>
              </a:solidFill>
              <a:prstDash val="solid"/>
            </a:ln>
          </c:spPr>
        </c:majorGridlines>
        <c:title>
          <c:tx>
            <c:rich>
              <a:bodyPr/>
              <a:lstStyle/>
              <a:p>
                <a:pPr>
                  <a:defRPr sz="1450" b="1" i="0" u="none" strike="noStrike" baseline="0">
                    <a:solidFill>
                      <a:srgbClr val="000000"/>
                    </a:solidFill>
                    <a:latin typeface="Arial"/>
                    <a:ea typeface="Arial"/>
                    <a:cs typeface="Arial"/>
                  </a:defRPr>
                </a:pPr>
                <a:r>
                  <a:t>Cost in $</a:t>
                </a:r>
              </a:p>
            </c:rich>
          </c:tx>
          <c:layout>
            <c:manualLayout>
              <c:xMode val="edge"/>
              <c:yMode val="edge"/>
              <c:x val="2.30125523012552E-2"/>
              <c:y val="0.383562362923815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50" b="0" i="0" u="none" strike="noStrike" baseline="0">
                <a:solidFill>
                  <a:srgbClr val="000000"/>
                </a:solidFill>
                <a:latin typeface="Arial"/>
                <a:ea typeface="Arial"/>
                <a:cs typeface="Arial"/>
              </a:defRPr>
            </a:pPr>
            <a:endParaRPr lang="en-US"/>
          </a:p>
        </c:txPr>
        <c:crossAx val="68099456"/>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Mainframe Cost vs Rotor Diameter For Type 1 Drive</a:t>
            </a:r>
          </a:p>
        </c:rich>
      </c:tx>
      <c:layout>
        <c:manualLayout>
          <c:xMode val="edge"/>
          <c:yMode val="edge"/>
          <c:x val="0.151300484602545"/>
          <c:y val="4.0816326530612498E-2"/>
        </c:manualLayout>
      </c:layout>
      <c:overlay val="0"/>
      <c:spPr>
        <a:noFill/>
        <a:ln w="25400">
          <a:noFill/>
        </a:ln>
      </c:spPr>
    </c:title>
    <c:autoTitleDeleted val="0"/>
    <c:plotArea>
      <c:layout>
        <c:manualLayout>
          <c:layoutTarget val="inner"/>
          <c:xMode val="edge"/>
          <c:yMode val="edge"/>
          <c:x val="0.25059159507885198"/>
          <c:y val="0.35102040816326702"/>
          <c:w val="0.68321670733762296"/>
          <c:h val="0.33061224489796098"/>
        </c:manualLayout>
      </c:layout>
      <c:scatterChart>
        <c:scatterStyle val="lineMarker"/>
        <c:varyColors val="0"/>
        <c:ser>
          <c:idx val="2"/>
          <c:order val="0"/>
          <c:trendline>
            <c:spPr>
              <a:ln w="25400">
                <a:solidFill>
                  <a:srgbClr val="000000"/>
                </a:solidFill>
                <a:prstDash val="solid"/>
              </a:ln>
            </c:spPr>
            <c:trendlineType val="power"/>
            <c:dispRSqr val="0"/>
            <c:dispEq val="1"/>
            <c:trendlineLbl>
              <c:layout>
                <c:manualLayout>
                  <c:x val="-0.13965396119116399"/>
                  <c:y val="-0.15102040816326601"/>
                </c:manualLayout>
              </c:layout>
              <c:numFmt formatCode="General" sourceLinked="0"/>
              <c:spPr>
                <a:noFill/>
                <a:ln w="25400">
                  <a:noFill/>
                </a:ln>
              </c:spPr>
              <c:txPr>
                <a:bodyPr/>
                <a:lstStyle/>
                <a:p>
                  <a:pPr>
                    <a:defRPr sz="1125" b="0" i="0" u="none" strike="noStrike" baseline="0">
                      <a:solidFill>
                        <a:srgbClr val="000000"/>
                      </a:solidFill>
                      <a:latin typeface="Arial"/>
                      <a:ea typeface="Arial"/>
                      <a:cs typeface="Arial"/>
                    </a:defRPr>
                  </a:pPr>
                  <a:endParaRPr lang="en-US"/>
                </a:p>
              </c:txPr>
            </c:trendlineLbl>
          </c:trendline>
          <c:xVal>
            <c:numRef>
              <c:f>Mainframe!$A$43:$A$52</c:f>
              <c:numCache>
                <c:formatCode>General</c:formatCode>
                <c:ptCount val="10"/>
                <c:pt idx="0">
                  <c:v>50</c:v>
                </c:pt>
                <c:pt idx="1">
                  <c:v>50</c:v>
                </c:pt>
                <c:pt idx="2">
                  <c:v>70</c:v>
                </c:pt>
                <c:pt idx="3">
                  <c:v>70</c:v>
                </c:pt>
                <c:pt idx="4">
                  <c:v>70</c:v>
                </c:pt>
                <c:pt idx="5">
                  <c:v>93</c:v>
                </c:pt>
                <c:pt idx="6">
                  <c:v>99</c:v>
                </c:pt>
                <c:pt idx="7">
                  <c:v>99</c:v>
                </c:pt>
                <c:pt idx="8">
                  <c:v>99</c:v>
                </c:pt>
                <c:pt idx="9">
                  <c:v>128</c:v>
                </c:pt>
              </c:numCache>
            </c:numRef>
          </c:xVal>
          <c:yVal>
            <c:numRef>
              <c:f>Mainframe!$B$43:$B$52</c:f>
              <c:numCache>
                <c:formatCode>General</c:formatCode>
                <c:ptCount val="10"/>
                <c:pt idx="1">
                  <c:v>19778</c:v>
                </c:pt>
                <c:pt idx="3">
                  <c:v>34100</c:v>
                </c:pt>
                <c:pt idx="4">
                  <c:v>41976</c:v>
                </c:pt>
                <c:pt idx="7">
                  <c:v>68541</c:v>
                </c:pt>
                <c:pt idx="8">
                  <c:v>81845</c:v>
                </c:pt>
              </c:numCache>
            </c:numRef>
          </c:yVal>
          <c:smooth val="0"/>
        </c:ser>
        <c:dLbls>
          <c:showLegendKey val="0"/>
          <c:showVal val="0"/>
          <c:showCatName val="0"/>
          <c:showSerName val="0"/>
          <c:showPercent val="0"/>
          <c:showBubbleSize val="0"/>
        </c:dLbls>
        <c:axId val="68451712"/>
        <c:axId val="68457984"/>
      </c:scatterChart>
      <c:valAx>
        <c:axId val="68451712"/>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Rotor Diameter</a:t>
                </a:r>
              </a:p>
            </c:rich>
          </c:tx>
          <c:layout>
            <c:manualLayout>
              <c:xMode val="edge"/>
              <c:yMode val="edge"/>
              <c:x val="0.45862983439126798"/>
              <c:y val="0.8244897959183670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8457984"/>
        <c:crosses val="autoZero"/>
        <c:crossBetween val="midCat"/>
      </c:valAx>
      <c:valAx>
        <c:axId val="68457984"/>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Cost in Dollars</a:t>
                </a:r>
              </a:p>
            </c:rich>
          </c:tx>
          <c:layout>
            <c:manualLayout>
              <c:xMode val="edge"/>
              <c:yMode val="edge"/>
              <c:x val="3.7825059101654797E-2"/>
              <c:y val="0.2938775510204100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8451712"/>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orientation="landscape" horizontalDpi="300" verticalDpi="300"/>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Cost vs Rotor Diameter Type (2) Drive Train Design</a:t>
            </a:r>
          </a:p>
        </c:rich>
      </c:tx>
      <c:layout>
        <c:manualLayout>
          <c:xMode val="edge"/>
          <c:yMode val="edge"/>
          <c:x val="0.15727725798980999"/>
          <c:y val="3.7036894778396598E-2"/>
        </c:manualLayout>
      </c:layout>
      <c:overlay val="0"/>
      <c:spPr>
        <a:noFill/>
        <a:ln w="25400">
          <a:noFill/>
        </a:ln>
      </c:spPr>
    </c:title>
    <c:autoTitleDeleted val="0"/>
    <c:plotArea>
      <c:layout>
        <c:manualLayout>
          <c:layoutTarget val="inner"/>
          <c:xMode val="edge"/>
          <c:yMode val="edge"/>
          <c:x val="0.23004747571769599"/>
          <c:y val="0.32222338767139602"/>
          <c:w val="0.70422696648273897"/>
          <c:h val="0.38889029546547998"/>
        </c:manualLayout>
      </c:layout>
      <c:scatterChart>
        <c:scatterStyle val="lineMarker"/>
        <c:varyColors val="0"/>
        <c:ser>
          <c:idx val="4"/>
          <c:order val="0"/>
          <c:trendline>
            <c:spPr>
              <a:ln w="25400">
                <a:solidFill>
                  <a:srgbClr val="000000"/>
                </a:solidFill>
                <a:prstDash val="solid"/>
              </a:ln>
            </c:spPr>
            <c:trendlineType val="power"/>
            <c:dispRSqr val="0"/>
            <c:dispEq val="1"/>
            <c:trendlineLbl>
              <c:layout>
                <c:manualLayout>
                  <c:x val="4.8215147277650597E-2"/>
                  <c:y val="-0.18423949953737201"/>
                </c:manualLayout>
              </c:layout>
              <c:numFmt formatCode="General" sourceLinked="0"/>
              <c:spPr>
                <a:noFill/>
                <a:ln w="25400">
                  <a:noFill/>
                </a:ln>
              </c:spPr>
              <c:txPr>
                <a:bodyPr/>
                <a:lstStyle/>
                <a:p>
                  <a:pPr>
                    <a:defRPr sz="1125" b="0" i="0" u="none" strike="noStrike" baseline="0">
                      <a:solidFill>
                        <a:srgbClr val="000000"/>
                      </a:solidFill>
                      <a:latin typeface="Arial"/>
                      <a:ea typeface="Arial"/>
                      <a:cs typeface="Arial"/>
                    </a:defRPr>
                  </a:pPr>
                  <a:endParaRPr lang="en-US"/>
                </a:p>
              </c:txPr>
            </c:trendlineLbl>
          </c:trendline>
          <c:xVal>
            <c:numRef>
              <c:f>Mainframe!$A$43:$A$50</c:f>
              <c:numCache>
                <c:formatCode>General</c:formatCode>
                <c:ptCount val="8"/>
                <c:pt idx="0">
                  <c:v>50</c:v>
                </c:pt>
                <c:pt idx="1">
                  <c:v>50</c:v>
                </c:pt>
                <c:pt idx="2">
                  <c:v>70</c:v>
                </c:pt>
                <c:pt idx="3">
                  <c:v>70</c:v>
                </c:pt>
                <c:pt idx="4">
                  <c:v>70</c:v>
                </c:pt>
                <c:pt idx="5">
                  <c:v>93</c:v>
                </c:pt>
                <c:pt idx="6">
                  <c:v>99</c:v>
                </c:pt>
                <c:pt idx="7">
                  <c:v>99</c:v>
                </c:pt>
              </c:numCache>
            </c:numRef>
          </c:xVal>
          <c:yVal>
            <c:numRef>
              <c:f>Mainframe!$D$43:$D$50</c:f>
              <c:numCache>
                <c:formatCode>General</c:formatCode>
                <c:ptCount val="8"/>
                <c:pt idx="0">
                  <c:v>22024</c:v>
                </c:pt>
                <c:pt idx="2">
                  <c:v>26018</c:v>
                </c:pt>
                <c:pt idx="3">
                  <c:v>24788</c:v>
                </c:pt>
                <c:pt idx="6">
                  <c:v>37252</c:v>
                </c:pt>
                <c:pt idx="7">
                  <c:v>49996</c:v>
                </c:pt>
              </c:numCache>
            </c:numRef>
          </c:yVal>
          <c:smooth val="0"/>
        </c:ser>
        <c:dLbls>
          <c:showLegendKey val="0"/>
          <c:showVal val="0"/>
          <c:showCatName val="0"/>
          <c:showSerName val="0"/>
          <c:showPercent val="0"/>
          <c:showBubbleSize val="0"/>
        </c:dLbls>
        <c:axId val="68749568"/>
        <c:axId val="68755840"/>
      </c:scatterChart>
      <c:valAx>
        <c:axId val="68749568"/>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Rotor Diameter</a:t>
                </a:r>
              </a:p>
            </c:rich>
          </c:tx>
          <c:layout>
            <c:manualLayout>
              <c:xMode val="edge"/>
              <c:yMode val="edge"/>
              <c:x val="0.45070520302609202"/>
              <c:y val="0.84074387043083498"/>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8755840"/>
        <c:crosses val="autoZero"/>
        <c:crossBetween val="midCat"/>
      </c:valAx>
      <c:valAx>
        <c:axId val="68755840"/>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Cost $ 2002</a:t>
                </a:r>
              </a:p>
            </c:rich>
          </c:tx>
          <c:layout>
            <c:manualLayout>
              <c:xMode val="edge"/>
              <c:yMode val="edge"/>
              <c:x val="3.7558622819206397E-2"/>
              <c:y val="0.359260397328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8749568"/>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Mainframe Cost vs Rotor Diameter Type 3 Drive Train</a:t>
            </a:r>
          </a:p>
        </c:rich>
      </c:tx>
      <c:layout>
        <c:manualLayout>
          <c:xMode val="edge"/>
          <c:yMode val="edge"/>
          <c:x val="0.124413419953712"/>
          <c:y val="3.4810162899677997E-2"/>
        </c:manualLayout>
      </c:layout>
      <c:overlay val="0"/>
      <c:spPr>
        <a:noFill/>
        <a:ln w="25400">
          <a:noFill/>
        </a:ln>
      </c:spPr>
    </c:title>
    <c:autoTitleDeleted val="0"/>
    <c:plotArea>
      <c:layout>
        <c:manualLayout>
          <c:layoutTarget val="inner"/>
          <c:xMode val="edge"/>
          <c:yMode val="edge"/>
          <c:x val="0.23004747571769599"/>
          <c:y val="0.28164600481792201"/>
          <c:w val="0.70422696648273897"/>
          <c:h val="0.47151971593112701"/>
        </c:manualLayout>
      </c:layout>
      <c:scatterChart>
        <c:scatterStyle val="lineMarker"/>
        <c:varyColors val="0"/>
        <c:ser>
          <c:idx val="5"/>
          <c:order val="0"/>
          <c:trendline>
            <c:spPr>
              <a:ln w="25400">
                <a:solidFill>
                  <a:srgbClr val="000000"/>
                </a:solidFill>
                <a:prstDash val="solid"/>
              </a:ln>
            </c:spPr>
            <c:trendlineType val="power"/>
            <c:dispRSqr val="0"/>
            <c:dispEq val="1"/>
            <c:trendlineLbl>
              <c:layout>
                <c:manualLayout>
                  <c:x val="0.13976465292040699"/>
                  <c:y val="-0.103743323237449"/>
                </c:manualLayout>
              </c:layout>
              <c:numFmt formatCode="General" sourceLinked="0"/>
              <c:spPr>
                <a:noFill/>
                <a:ln w="25400">
                  <a:noFill/>
                </a:ln>
              </c:spPr>
              <c:txPr>
                <a:bodyPr/>
                <a:lstStyle/>
                <a:p>
                  <a:pPr>
                    <a:defRPr sz="1125" b="0" i="0" u="none" strike="noStrike" baseline="0">
                      <a:solidFill>
                        <a:srgbClr val="000000"/>
                      </a:solidFill>
                      <a:latin typeface="Arial"/>
                      <a:ea typeface="Arial"/>
                      <a:cs typeface="Arial"/>
                    </a:defRPr>
                  </a:pPr>
                  <a:endParaRPr lang="en-US"/>
                </a:p>
              </c:txPr>
            </c:trendlineLbl>
          </c:trendline>
          <c:xVal>
            <c:numRef>
              <c:f>Mainframe!$A$43:$A$49</c:f>
              <c:numCache>
                <c:formatCode>General</c:formatCode>
                <c:ptCount val="7"/>
                <c:pt idx="0">
                  <c:v>50</c:v>
                </c:pt>
                <c:pt idx="1">
                  <c:v>50</c:v>
                </c:pt>
                <c:pt idx="2">
                  <c:v>70</c:v>
                </c:pt>
                <c:pt idx="3">
                  <c:v>70</c:v>
                </c:pt>
                <c:pt idx="4">
                  <c:v>70</c:v>
                </c:pt>
                <c:pt idx="5">
                  <c:v>93</c:v>
                </c:pt>
                <c:pt idx="6">
                  <c:v>99</c:v>
                </c:pt>
              </c:numCache>
            </c:numRef>
          </c:xVal>
          <c:yVal>
            <c:numRef>
              <c:f>Mainframe!$E$43:$E$49</c:f>
              <c:numCache>
                <c:formatCode>General</c:formatCode>
                <c:ptCount val="7"/>
                <c:pt idx="0">
                  <c:v>13262</c:v>
                </c:pt>
                <c:pt idx="2">
                  <c:v>18671</c:v>
                </c:pt>
                <c:pt idx="5" formatCode="0">
                  <c:v>39120.476408612005</c:v>
                </c:pt>
                <c:pt idx="6">
                  <c:v>37831</c:v>
                </c:pt>
              </c:numCache>
            </c:numRef>
          </c:yVal>
          <c:smooth val="0"/>
        </c:ser>
        <c:dLbls>
          <c:showLegendKey val="0"/>
          <c:showVal val="0"/>
          <c:showCatName val="0"/>
          <c:showSerName val="0"/>
          <c:showPercent val="0"/>
          <c:showBubbleSize val="0"/>
        </c:dLbls>
        <c:axId val="68797568"/>
        <c:axId val="68799488"/>
      </c:scatterChart>
      <c:valAx>
        <c:axId val="68797568"/>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Rotor Diameter mts</a:t>
                </a:r>
              </a:p>
            </c:rich>
          </c:tx>
          <c:layout>
            <c:manualLayout>
              <c:xMode val="edge"/>
              <c:yMode val="edge"/>
              <c:x val="0.41784131593480001"/>
              <c:y val="0.8639255315757620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8799488"/>
        <c:crosses val="autoZero"/>
        <c:crossBetween val="midCat"/>
      </c:valAx>
      <c:valAx>
        <c:axId val="68799488"/>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Cost in $2002</a:t>
                </a:r>
              </a:p>
            </c:rich>
          </c:tx>
          <c:layout>
            <c:manualLayout>
              <c:xMode val="edge"/>
              <c:yMode val="edge"/>
              <c:x val="3.7558744873202897E-2"/>
              <c:y val="0.3607599859734150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8797568"/>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Mainframe Cost vs Rotor Diameter Type 4 Design</a:t>
            </a:r>
          </a:p>
        </c:rich>
      </c:tx>
      <c:layout>
        <c:manualLayout>
          <c:xMode val="edge"/>
          <c:yMode val="edge"/>
          <c:x val="0.12441340126601901"/>
          <c:y val="3.3950613316192597E-2"/>
        </c:manualLayout>
      </c:layout>
      <c:overlay val="0"/>
      <c:spPr>
        <a:noFill/>
        <a:ln w="25400">
          <a:noFill/>
        </a:ln>
      </c:spPr>
    </c:title>
    <c:autoTitleDeleted val="0"/>
    <c:plotArea>
      <c:layout>
        <c:manualLayout>
          <c:layoutTarget val="inner"/>
          <c:xMode val="edge"/>
          <c:yMode val="edge"/>
          <c:x val="0.23004747571769599"/>
          <c:y val="0.27777861502524498"/>
          <c:w val="0.70422696648273897"/>
          <c:h val="0.48148293271042297"/>
        </c:manualLayout>
      </c:layout>
      <c:scatterChart>
        <c:scatterStyle val="lineMarker"/>
        <c:varyColors val="0"/>
        <c:ser>
          <c:idx val="7"/>
          <c:order val="0"/>
          <c:trendline>
            <c:spPr>
              <a:ln w="25400">
                <a:solidFill>
                  <a:srgbClr val="000000"/>
                </a:solidFill>
                <a:prstDash val="solid"/>
              </a:ln>
            </c:spPr>
            <c:trendlineType val="power"/>
            <c:dispRSqr val="0"/>
            <c:dispEq val="1"/>
            <c:trendlineLbl>
              <c:layout>
                <c:manualLayout>
                  <c:x val="3.6196400222329103E-2"/>
                  <c:y val="-0.120370793608853"/>
                </c:manualLayout>
              </c:layout>
              <c:numFmt formatCode="General" sourceLinked="0"/>
              <c:spPr>
                <a:noFill/>
                <a:ln w="25400">
                  <a:noFill/>
                </a:ln>
              </c:spPr>
              <c:txPr>
                <a:bodyPr/>
                <a:lstStyle/>
                <a:p>
                  <a:pPr>
                    <a:defRPr sz="1125" b="0" i="0" u="none" strike="noStrike" baseline="0">
                      <a:solidFill>
                        <a:srgbClr val="000000"/>
                      </a:solidFill>
                      <a:latin typeface="Arial"/>
                      <a:ea typeface="Arial"/>
                      <a:cs typeface="Arial"/>
                    </a:defRPr>
                  </a:pPr>
                  <a:endParaRPr lang="en-US"/>
                </a:p>
              </c:txPr>
            </c:trendlineLbl>
          </c:trendline>
          <c:xVal>
            <c:numRef>
              <c:f>Mainframe!$A$43:$A$49</c:f>
              <c:numCache>
                <c:formatCode>General</c:formatCode>
                <c:ptCount val="7"/>
                <c:pt idx="0">
                  <c:v>50</c:v>
                </c:pt>
                <c:pt idx="1">
                  <c:v>50</c:v>
                </c:pt>
                <c:pt idx="2">
                  <c:v>70</c:v>
                </c:pt>
                <c:pt idx="3">
                  <c:v>70</c:v>
                </c:pt>
                <c:pt idx="4">
                  <c:v>70</c:v>
                </c:pt>
                <c:pt idx="5">
                  <c:v>93</c:v>
                </c:pt>
                <c:pt idx="6">
                  <c:v>99</c:v>
                </c:pt>
              </c:numCache>
            </c:numRef>
          </c:xVal>
          <c:yVal>
            <c:numRef>
              <c:f>Mainframe!$G$43:$G$49</c:f>
              <c:numCache>
                <c:formatCode>General</c:formatCode>
                <c:ptCount val="7"/>
                <c:pt idx="3">
                  <c:v>23215</c:v>
                </c:pt>
                <c:pt idx="6">
                  <c:v>31169</c:v>
                </c:pt>
              </c:numCache>
            </c:numRef>
          </c:yVal>
          <c:smooth val="0"/>
        </c:ser>
        <c:dLbls>
          <c:showLegendKey val="0"/>
          <c:showVal val="0"/>
          <c:showCatName val="0"/>
          <c:showSerName val="0"/>
          <c:showPercent val="0"/>
          <c:showBubbleSize val="0"/>
        </c:dLbls>
        <c:axId val="68648960"/>
        <c:axId val="68650880"/>
      </c:scatterChart>
      <c:valAx>
        <c:axId val="6864896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Rotor Diameter mts</a:t>
                </a:r>
              </a:p>
            </c:rich>
          </c:tx>
          <c:layout>
            <c:manualLayout>
              <c:xMode val="edge"/>
              <c:yMode val="edge"/>
              <c:x val="0.41784134630230002"/>
              <c:y val="0.867286732015640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8650880"/>
        <c:crosses val="autoZero"/>
        <c:crossBetween val="midCat"/>
      </c:valAx>
      <c:valAx>
        <c:axId val="68650880"/>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Cost in $2002</a:t>
                </a:r>
              </a:p>
            </c:rich>
          </c:tx>
          <c:layout>
            <c:manualLayout>
              <c:xMode val="edge"/>
              <c:yMode val="edge"/>
              <c:x val="3.7558622819206397E-2"/>
              <c:y val="0.3672848036852560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864896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425" b="1" i="0" u="none" strike="noStrike" baseline="0">
                <a:solidFill>
                  <a:srgbClr val="000000"/>
                </a:solidFill>
                <a:latin typeface="Arial"/>
                <a:ea typeface="Arial"/>
                <a:cs typeface="Arial"/>
              </a:defRPr>
            </a:pPr>
            <a:r>
              <a:t>Nacelle Mass vs Rating from WindPACT Rotor Study</a:t>
            </a:r>
          </a:p>
        </c:rich>
      </c:tx>
      <c:overlay val="0"/>
      <c:spPr>
        <a:noFill/>
        <a:ln w="25400">
          <a:noFill/>
        </a:ln>
      </c:spPr>
    </c:title>
    <c:autoTitleDeleted val="0"/>
    <c:plotArea>
      <c:layout/>
      <c:scatterChart>
        <c:scatterStyle val="smoothMarker"/>
        <c:varyColors val="0"/>
        <c:ser>
          <c:idx val="3"/>
          <c:order val="0"/>
          <c:spPr>
            <a:ln w="12700">
              <a:solidFill>
                <a:srgbClr val="00FFFF"/>
              </a:solidFill>
              <a:prstDash val="solid"/>
            </a:ln>
          </c:spPr>
          <c:marker>
            <c:symbol val="x"/>
            <c:size val="5"/>
            <c:spPr>
              <a:noFill/>
              <a:ln>
                <a:solidFill>
                  <a:srgbClr val="00FFFF"/>
                </a:solidFill>
                <a:prstDash val="solid"/>
              </a:ln>
            </c:spPr>
          </c:marker>
          <c:trendline>
            <c:spPr>
              <a:ln w="25400">
                <a:solidFill>
                  <a:srgbClr val="000000"/>
                </a:solidFill>
                <a:prstDash val="solid"/>
              </a:ln>
            </c:spPr>
            <c:trendlineType val="linear"/>
            <c:dispRSqr val="0"/>
            <c:dispEq val="1"/>
            <c:trendlineLbl>
              <c:numFmt formatCode="General" sourceLinked="0"/>
              <c:spPr>
                <a:noFill/>
                <a:ln w="25400">
                  <a:noFill/>
                </a:ln>
              </c:spPr>
              <c:txPr>
                <a:bodyPr/>
                <a:lstStyle/>
                <a:p>
                  <a:pPr>
                    <a:defRPr sz="350" b="0" i="0" u="none" strike="noStrike" baseline="0">
                      <a:solidFill>
                        <a:srgbClr val="000000"/>
                      </a:solidFill>
                      <a:latin typeface="Arial"/>
                      <a:ea typeface="Arial"/>
                      <a:cs typeface="Arial"/>
                    </a:defRPr>
                  </a:pPr>
                  <a:endParaRPr lang="en-US"/>
                </a:p>
              </c:txPr>
            </c:trendlineLbl>
          </c:trendline>
          <c:xVal>
            <c:numRef>
              <c:f>'Nacelle Cover'!#REF!</c:f>
              <c:numCache>
                <c:formatCode>General</c:formatCode>
                <c:ptCount val="1"/>
                <c:pt idx="0">
                  <c:v>1</c:v>
                </c:pt>
              </c:numCache>
            </c:numRef>
          </c:xVal>
          <c:yVal>
            <c:numRef>
              <c:f>'Nacelle Cover'!#REF!</c:f>
              <c:numCache>
                <c:formatCode>General</c:formatCode>
                <c:ptCount val="1"/>
                <c:pt idx="0">
                  <c:v>1</c:v>
                </c:pt>
              </c:numCache>
            </c:numRef>
          </c:yVal>
          <c:smooth val="1"/>
        </c:ser>
        <c:dLbls>
          <c:showLegendKey val="0"/>
          <c:showVal val="0"/>
          <c:showCatName val="0"/>
          <c:showSerName val="0"/>
          <c:showPercent val="0"/>
          <c:showBubbleSize val="0"/>
        </c:dLbls>
        <c:axId val="69029248"/>
        <c:axId val="69031424"/>
      </c:scatterChart>
      <c:valAx>
        <c:axId val="69029248"/>
        <c:scaling>
          <c:orientation val="minMax"/>
        </c:scaling>
        <c:delete val="0"/>
        <c:axPos val="b"/>
        <c:title>
          <c:tx>
            <c:rich>
              <a:bodyPr/>
              <a:lstStyle/>
              <a:p>
                <a:pPr>
                  <a:defRPr sz="350" b="1" i="0" u="none" strike="noStrike" baseline="0">
                    <a:solidFill>
                      <a:srgbClr val="000000"/>
                    </a:solidFill>
                    <a:latin typeface="Arial"/>
                    <a:ea typeface="Arial"/>
                    <a:cs typeface="Arial"/>
                  </a:defRPr>
                </a:pPr>
                <a:r>
                  <a:t>Machine Rating kWs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350" b="0" i="0" u="none" strike="noStrike" baseline="0">
                <a:solidFill>
                  <a:srgbClr val="000000"/>
                </a:solidFill>
                <a:latin typeface="Arial"/>
                <a:ea typeface="Arial"/>
                <a:cs typeface="Arial"/>
              </a:defRPr>
            </a:pPr>
            <a:endParaRPr lang="en-US"/>
          </a:p>
        </c:txPr>
        <c:crossAx val="69031424"/>
        <c:crosses val="autoZero"/>
        <c:crossBetween val="midCat"/>
      </c:valAx>
      <c:valAx>
        <c:axId val="69031424"/>
        <c:scaling>
          <c:orientation val="minMax"/>
        </c:scaling>
        <c:delete val="0"/>
        <c:axPos val="l"/>
        <c:majorGridlines>
          <c:spPr>
            <a:ln w="3175">
              <a:solidFill>
                <a:srgbClr val="000000"/>
              </a:solidFill>
              <a:prstDash val="solid"/>
            </a:ln>
          </c:spPr>
        </c:majorGridlines>
        <c:title>
          <c:tx>
            <c:rich>
              <a:bodyPr/>
              <a:lstStyle/>
              <a:p>
                <a:pPr>
                  <a:defRPr sz="350" b="1" i="0" u="none" strike="noStrike" baseline="0">
                    <a:solidFill>
                      <a:srgbClr val="000000"/>
                    </a:solidFill>
                    <a:latin typeface="Arial"/>
                    <a:ea typeface="Arial"/>
                    <a:cs typeface="Arial"/>
                  </a:defRPr>
                </a:pPr>
                <a:r>
                  <a:t>Nacelle Mass kgs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350" b="0" i="0" u="none" strike="noStrike" baseline="0">
                <a:solidFill>
                  <a:srgbClr val="000000"/>
                </a:solidFill>
                <a:latin typeface="Arial"/>
                <a:ea typeface="Arial"/>
                <a:cs typeface="Arial"/>
              </a:defRPr>
            </a:pPr>
            <a:endParaRPr lang="en-US"/>
          </a:p>
        </c:txPr>
        <c:crossAx val="69029248"/>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425" b="1" i="0" u="none" strike="noStrike" baseline="0">
                <a:solidFill>
                  <a:srgbClr val="000000"/>
                </a:solidFill>
                <a:latin typeface="Arial"/>
                <a:ea typeface="Arial"/>
                <a:cs typeface="Arial"/>
              </a:defRPr>
            </a:pPr>
            <a:r>
              <a:t>Nacelle Mass vs Rating as a Power Law</a:t>
            </a:r>
          </a:p>
        </c:rich>
      </c:tx>
      <c:overlay val="0"/>
      <c:spPr>
        <a:noFill/>
        <a:ln w="25400">
          <a:noFill/>
        </a:ln>
      </c:spPr>
    </c:title>
    <c:autoTitleDeleted val="0"/>
    <c:plotArea>
      <c:layout/>
      <c:scatterChart>
        <c:scatterStyle val="smoothMarker"/>
        <c:varyColors val="0"/>
        <c:ser>
          <c:idx val="3"/>
          <c:order val="0"/>
          <c:spPr>
            <a:ln w="12700">
              <a:solidFill>
                <a:srgbClr val="00FFFF"/>
              </a:solidFill>
              <a:prstDash val="solid"/>
            </a:ln>
          </c:spPr>
          <c:marker>
            <c:symbol val="x"/>
            <c:size val="5"/>
            <c:spPr>
              <a:noFill/>
              <a:ln>
                <a:solidFill>
                  <a:srgbClr val="00FFFF"/>
                </a:solidFill>
                <a:prstDash val="solid"/>
              </a:ln>
            </c:spPr>
          </c:marker>
          <c:trendline>
            <c:spPr>
              <a:ln w="25400">
                <a:solidFill>
                  <a:srgbClr val="000000"/>
                </a:solidFill>
                <a:prstDash val="solid"/>
              </a:ln>
            </c:spPr>
            <c:trendlineType val="power"/>
            <c:dispRSqr val="0"/>
            <c:dispEq val="1"/>
            <c:trendlineLbl>
              <c:numFmt formatCode="General" sourceLinked="0"/>
              <c:spPr>
                <a:noFill/>
                <a:ln w="25400">
                  <a:noFill/>
                </a:ln>
              </c:spPr>
              <c:txPr>
                <a:bodyPr/>
                <a:lstStyle/>
                <a:p>
                  <a:pPr>
                    <a:defRPr sz="350" b="0" i="0" u="none" strike="noStrike" baseline="0">
                      <a:solidFill>
                        <a:srgbClr val="000000"/>
                      </a:solidFill>
                      <a:latin typeface="Arial"/>
                      <a:ea typeface="Arial"/>
                      <a:cs typeface="Arial"/>
                    </a:defRPr>
                  </a:pPr>
                  <a:endParaRPr lang="en-US"/>
                </a:p>
              </c:txPr>
            </c:trendlineLbl>
          </c:trendline>
          <c:xVal>
            <c:numRef>
              <c:f>'Nacelle Cover'!#REF!</c:f>
              <c:numCache>
                <c:formatCode>General</c:formatCode>
                <c:ptCount val="1"/>
                <c:pt idx="0">
                  <c:v>1</c:v>
                </c:pt>
              </c:numCache>
            </c:numRef>
          </c:xVal>
          <c:yVal>
            <c:numRef>
              <c:f>'Nacelle Cover'!#REF!</c:f>
              <c:numCache>
                <c:formatCode>General</c:formatCode>
                <c:ptCount val="1"/>
                <c:pt idx="0">
                  <c:v>1</c:v>
                </c:pt>
              </c:numCache>
            </c:numRef>
          </c:yVal>
          <c:smooth val="1"/>
        </c:ser>
        <c:dLbls>
          <c:showLegendKey val="0"/>
          <c:showVal val="0"/>
          <c:showCatName val="0"/>
          <c:showSerName val="0"/>
          <c:showPercent val="0"/>
          <c:showBubbleSize val="0"/>
        </c:dLbls>
        <c:axId val="69052672"/>
        <c:axId val="69214592"/>
      </c:scatterChart>
      <c:valAx>
        <c:axId val="69052672"/>
        <c:scaling>
          <c:orientation val="minMax"/>
        </c:scaling>
        <c:delete val="0"/>
        <c:axPos val="b"/>
        <c:title>
          <c:tx>
            <c:rich>
              <a:bodyPr/>
              <a:lstStyle/>
              <a:p>
                <a:pPr>
                  <a:defRPr sz="350" b="1" i="0" u="none" strike="noStrike" baseline="0">
                    <a:solidFill>
                      <a:srgbClr val="000000"/>
                    </a:solidFill>
                    <a:latin typeface="Arial"/>
                    <a:ea typeface="Arial"/>
                    <a:cs typeface="Arial"/>
                  </a:defRPr>
                </a:pPr>
                <a:r>
                  <a:t>Machine Rating kWs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350" b="0" i="0" u="none" strike="noStrike" baseline="0">
                <a:solidFill>
                  <a:srgbClr val="000000"/>
                </a:solidFill>
                <a:latin typeface="Arial"/>
                <a:ea typeface="Arial"/>
                <a:cs typeface="Arial"/>
              </a:defRPr>
            </a:pPr>
            <a:endParaRPr lang="en-US"/>
          </a:p>
        </c:txPr>
        <c:crossAx val="69214592"/>
        <c:crosses val="autoZero"/>
        <c:crossBetween val="midCat"/>
      </c:valAx>
      <c:valAx>
        <c:axId val="69214592"/>
        <c:scaling>
          <c:orientation val="minMax"/>
        </c:scaling>
        <c:delete val="0"/>
        <c:axPos val="l"/>
        <c:majorGridlines>
          <c:spPr>
            <a:ln w="3175">
              <a:solidFill>
                <a:srgbClr val="000000"/>
              </a:solidFill>
              <a:prstDash val="solid"/>
            </a:ln>
          </c:spPr>
        </c:majorGridlines>
        <c:title>
          <c:tx>
            <c:rich>
              <a:bodyPr/>
              <a:lstStyle/>
              <a:p>
                <a:pPr>
                  <a:defRPr sz="350" b="1" i="0" u="none" strike="noStrike" baseline="0">
                    <a:solidFill>
                      <a:srgbClr val="000000"/>
                    </a:solidFill>
                    <a:latin typeface="Arial"/>
                    <a:ea typeface="Arial"/>
                    <a:cs typeface="Arial"/>
                  </a:defRPr>
                </a:pPr>
                <a:r>
                  <a:t>Nacelle Mass kgs</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350" b="0" i="0" u="none" strike="noStrike" baseline="0">
                <a:solidFill>
                  <a:srgbClr val="000000"/>
                </a:solidFill>
                <a:latin typeface="Arial"/>
                <a:ea typeface="Arial"/>
                <a:cs typeface="Arial"/>
              </a:defRPr>
            </a:pPr>
            <a:endParaRPr lang="en-US"/>
          </a:p>
        </c:txPr>
        <c:crossAx val="69052672"/>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Nacelle Cost vs Machine Rating - All Design Types</a:t>
            </a:r>
          </a:p>
        </c:rich>
      </c:tx>
      <c:layout>
        <c:manualLayout>
          <c:xMode val="edge"/>
          <c:yMode val="edge"/>
          <c:x val="0.13456492080970101"/>
          <c:y val="3.8461538461538498E-2"/>
        </c:manualLayout>
      </c:layout>
      <c:overlay val="0"/>
      <c:spPr>
        <a:noFill/>
        <a:ln w="25400">
          <a:noFill/>
        </a:ln>
      </c:spPr>
    </c:title>
    <c:autoTitleDeleted val="0"/>
    <c:plotArea>
      <c:layout>
        <c:manualLayout>
          <c:layoutTarget val="inner"/>
          <c:xMode val="edge"/>
          <c:yMode val="edge"/>
          <c:x val="0.25593700519588602"/>
          <c:y val="0.30419632354322101"/>
          <c:w val="0.66490850834395199"/>
          <c:h val="0.45454623058182397"/>
        </c:manualLayout>
      </c:layout>
      <c:scatterChart>
        <c:scatterStyle val="lineMarker"/>
        <c:varyColors val="0"/>
        <c:ser>
          <c:idx val="0"/>
          <c:order val="0"/>
          <c:tx>
            <c:v>Baseline Cost Data</c:v>
          </c:tx>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0"/>
            <c:dispEq val="1"/>
            <c:trendlineLbl>
              <c:layout>
                <c:manualLayout>
                  <c:x val="0.17488093855959899"/>
                  <c:y val="-0.26889710205066297"/>
                </c:manualLayout>
              </c:layout>
              <c:numFmt formatCode="General"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trendlineLbl>
          </c:trendline>
          <c:xVal>
            <c:numRef>
              <c:f>'Nacelle Cover'!$B$20:$B$31</c:f>
              <c:numCache>
                <c:formatCode>General</c:formatCode>
                <c:ptCount val="12"/>
                <c:pt idx="0">
                  <c:v>750</c:v>
                </c:pt>
                <c:pt idx="1">
                  <c:v>750</c:v>
                </c:pt>
                <c:pt idx="2">
                  <c:v>1500</c:v>
                </c:pt>
                <c:pt idx="3">
                  <c:v>1500</c:v>
                </c:pt>
                <c:pt idx="4">
                  <c:v>1500</c:v>
                </c:pt>
                <c:pt idx="5">
                  <c:v>1500</c:v>
                </c:pt>
                <c:pt idx="6">
                  <c:v>2500</c:v>
                </c:pt>
                <c:pt idx="7">
                  <c:v>3000</c:v>
                </c:pt>
                <c:pt idx="8">
                  <c:v>3000</c:v>
                </c:pt>
                <c:pt idx="9">
                  <c:v>3000</c:v>
                </c:pt>
                <c:pt idx="10">
                  <c:v>3000</c:v>
                </c:pt>
                <c:pt idx="11">
                  <c:v>3000</c:v>
                </c:pt>
              </c:numCache>
            </c:numRef>
          </c:xVal>
          <c:yVal>
            <c:numRef>
              <c:f>'Nacelle Cover'!$C$20:$C$31</c:f>
              <c:numCache>
                <c:formatCode>"$"#,##0</c:formatCode>
                <c:ptCount val="12"/>
                <c:pt idx="0">
                  <c:v>15000</c:v>
                </c:pt>
                <c:pt idx="1">
                  <c:v>7846.8</c:v>
                </c:pt>
                <c:pt idx="2">
                  <c:v>33000</c:v>
                </c:pt>
                <c:pt idx="3">
                  <c:v>20640</c:v>
                </c:pt>
                <c:pt idx="4">
                  <c:v>17400</c:v>
                </c:pt>
                <c:pt idx="5">
                  <c:v>17403.8</c:v>
                </c:pt>
                <c:pt idx="6">
                  <c:v>30943.585625376432</c:v>
                </c:pt>
                <c:pt idx="7">
                  <c:v>63000</c:v>
                </c:pt>
                <c:pt idx="8">
                  <c:v>40000</c:v>
                </c:pt>
                <c:pt idx="9">
                  <c:v>35000</c:v>
                </c:pt>
                <c:pt idx="10">
                  <c:v>30000</c:v>
                </c:pt>
                <c:pt idx="11">
                  <c:v>24395.5</c:v>
                </c:pt>
              </c:numCache>
            </c:numRef>
          </c:yVal>
          <c:smooth val="0"/>
        </c:ser>
        <c:ser>
          <c:idx val="1"/>
          <c:order val="1"/>
          <c:tx>
            <c:v>Current Design</c:v>
          </c:tx>
          <c:spPr>
            <a:ln w="28575">
              <a:noFill/>
            </a:ln>
          </c:spPr>
          <c:marker>
            <c:symbol val="circle"/>
            <c:size val="8"/>
            <c:spPr>
              <a:solidFill>
                <a:srgbClr val="00FF00"/>
              </a:solidFill>
              <a:ln>
                <a:solidFill>
                  <a:srgbClr val="00FF00"/>
                </a:solidFill>
                <a:prstDash val="solid"/>
              </a:ln>
            </c:spPr>
          </c:marker>
          <c:xVal>
            <c:numRef>
              <c:f>'Nacelle Cover'!$B$33</c:f>
              <c:numCache>
                <c:formatCode>General</c:formatCode>
                <c:ptCount val="1"/>
                <c:pt idx="0">
                  <c:v>1910</c:v>
                </c:pt>
              </c:numCache>
            </c:numRef>
          </c:xVal>
          <c:yVal>
            <c:numRef>
              <c:f>'Nacelle Cover'!$C$33</c:f>
              <c:numCache>
                <c:formatCode>"$"#,##0</c:formatCode>
                <c:ptCount val="1"/>
                <c:pt idx="0">
                  <c:v>25885.370000000003</c:v>
                </c:pt>
              </c:numCache>
            </c:numRef>
          </c:yVal>
          <c:smooth val="0"/>
        </c:ser>
        <c:dLbls>
          <c:showLegendKey val="0"/>
          <c:showVal val="0"/>
          <c:showCatName val="0"/>
          <c:showSerName val="0"/>
          <c:showPercent val="0"/>
          <c:showBubbleSize val="0"/>
        </c:dLbls>
        <c:axId val="69260800"/>
        <c:axId val="69795840"/>
      </c:scatterChart>
      <c:valAx>
        <c:axId val="69260800"/>
        <c:scaling>
          <c:orientation val="minMax"/>
        </c:scaling>
        <c:delete val="0"/>
        <c:axPos val="b"/>
        <c:title>
          <c:tx>
            <c:rich>
              <a:bodyPr/>
              <a:lstStyle/>
              <a:p>
                <a:pPr>
                  <a:defRPr sz="1000" b="1" i="0" u="none" strike="noStrike" baseline="0">
                    <a:solidFill>
                      <a:srgbClr val="000000"/>
                    </a:solidFill>
                    <a:latin typeface="Arial"/>
                    <a:ea typeface="Arial"/>
                    <a:cs typeface="Arial"/>
                  </a:defRPr>
                </a:pPr>
                <a:r>
                  <a:t>Machine Rating in kWs</a:t>
                </a:r>
              </a:p>
            </c:rich>
          </c:tx>
          <c:layout>
            <c:manualLayout>
              <c:xMode val="edge"/>
              <c:yMode val="edge"/>
              <c:x val="0.39314039570911302"/>
              <c:y val="0.867134335480793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9795840"/>
        <c:crosses val="autoZero"/>
        <c:crossBetween val="midCat"/>
      </c:valAx>
      <c:valAx>
        <c:axId val="69795840"/>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t>Cost in $</a:t>
                </a:r>
              </a:p>
            </c:rich>
          </c:tx>
          <c:layout>
            <c:manualLayout>
              <c:xMode val="edge"/>
              <c:yMode val="edge"/>
              <c:x val="4.2216358839050103E-2"/>
              <c:y val="0.43007066424389501"/>
            </c:manualLayout>
          </c:layout>
          <c:overlay val="0"/>
          <c:spPr>
            <a:noFill/>
            <a:ln w="25400">
              <a:noFill/>
            </a:ln>
          </c:spPr>
        </c:title>
        <c:numFmt formatCode="&quot;$&quot;#,##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926080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300" b="1" i="0" u="none" strike="noStrike" baseline="0">
                <a:solidFill>
                  <a:srgbClr val="000000"/>
                </a:solidFill>
                <a:latin typeface="Arial"/>
                <a:ea typeface="Arial"/>
                <a:cs typeface="Arial"/>
              </a:defRPr>
            </a:pPr>
            <a:r>
              <a:rPr lang="en-US"/>
              <a:t>Blade Mass Trends</a:t>
            </a:r>
          </a:p>
        </c:rich>
      </c:tx>
      <c:layout>
        <c:manualLayout>
          <c:xMode val="edge"/>
          <c:yMode val="edge"/>
          <c:x val="0.32684165961049999"/>
          <c:y val="6.0240963855422002E-3"/>
        </c:manualLayout>
      </c:layout>
      <c:overlay val="0"/>
      <c:spPr>
        <a:noFill/>
        <a:ln w="25400">
          <a:noFill/>
        </a:ln>
      </c:spPr>
    </c:title>
    <c:autoTitleDeleted val="0"/>
    <c:plotArea>
      <c:layout>
        <c:manualLayout>
          <c:layoutTarget val="inner"/>
          <c:xMode val="edge"/>
          <c:yMode val="edge"/>
          <c:x val="0.100197572678521"/>
          <c:y val="0.121686746987953"/>
          <c:w val="0.82387806943268505"/>
          <c:h val="0.78072289156626495"/>
        </c:manualLayout>
      </c:layout>
      <c:scatterChart>
        <c:scatterStyle val="lineMarker"/>
        <c:varyColors val="0"/>
        <c:ser>
          <c:idx val="0"/>
          <c:order val="0"/>
          <c:tx>
            <c:v>WindPACT - Static load design</c:v>
          </c:tx>
          <c:spPr>
            <a:ln w="28575">
              <a:noFill/>
            </a:ln>
          </c:spPr>
          <c:marker>
            <c:symbol val="diamond"/>
            <c:size val="8"/>
            <c:spPr>
              <a:noFill/>
              <a:ln>
                <a:solidFill>
                  <a:srgbClr val="000080"/>
                </a:solidFill>
                <a:prstDash val="solid"/>
              </a:ln>
            </c:spPr>
          </c:marker>
          <c:trendline>
            <c:spPr>
              <a:ln w="25400">
                <a:solidFill>
                  <a:srgbClr val="000000"/>
                </a:solidFill>
                <a:prstDash val="lgDash"/>
              </a:ln>
            </c:spPr>
            <c:trendlineType val="linear"/>
            <c:dispRSqr val="1"/>
            <c:dispEq val="1"/>
            <c:trendlineLbl>
              <c:layout>
                <c:manualLayout>
                  <c:x val="0.28612533086200798"/>
                  <c:y val="-8.9089966163868606E-2"/>
                </c:manualLayout>
              </c:layout>
              <c:tx>
                <c:rich>
                  <a:bodyPr/>
                  <a:lstStyle/>
                  <a:p>
                    <a:pPr>
                      <a:defRPr sz="3175" b="0" i="0" u="none" strike="noStrike" baseline="0">
                        <a:solidFill>
                          <a:srgbClr val="000000"/>
                        </a:solidFill>
                        <a:latin typeface="Arial"/>
                        <a:ea typeface="Arial"/>
                        <a:cs typeface="Arial"/>
                      </a:defRPr>
                    </a:pPr>
                    <a:r>
                      <a:rPr lang="en-US" sz="1200" b="0" i="0" u="none" strike="noStrike" baseline="0">
                        <a:solidFill>
                          <a:srgbClr val="000000"/>
                        </a:solidFill>
                        <a:latin typeface="Arial"/>
                        <a:cs typeface="Arial"/>
                      </a:rPr>
                      <a:t>WindPACT - Static load design:</a:t>
                    </a:r>
                  </a:p>
                  <a:p>
                    <a:pPr>
                      <a:defRPr sz="3175" b="0" i="0" u="none" strike="noStrike" baseline="0">
                        <a:solidFill>
                          <a:srgbClr val="000000"/>
                        </a:solidFill>
                        <a:latin typeface="Arial"/>
                        <a:ea typeface="Arial"/>
                        <a:cs typeface="Arial"/>
                      </a:defRPr>
                    </a:pPr>
                    <a:r>
                      <a:rPr lang="en-US" sz="1200" b="0" i="0" u="none" strike="noStrike" baseline="0">
                        <a:solidFill>
                          <a:srgbClr val="000000"/>
                        </a:solidFill>
                        <a:latin typeface="Arial"/>
                        <a:cs typeface="Arial"/>
                      </a:rPr>
                      <a:t>y = 0.1194x + 398.22</a:t>
                    </a:r>
                  </a:p>
                  <a:p>
                    <a:pPr>
                      <a:defRPr sz="3175" b="0" i="0" u="none" strike="noStrike" baseline="0">
                        <a:solidFill>
                          <a:srgbClr val="000000"/>
                        </a:solidFill>
                        <a:latin typeface="Arial"/>
                        <a:ea typeface="Arial"/>
                        <a:cs typeface="Arial"/>
                      </a:defRPr>
                    </a:pPr>
                    <a:r>
                      <a:rPr lang="en-US" sz="1200" b="0" i="0" u="none" strike="noStrike" baseline="0">
                        <a:solidFill>
                          <a:srgbClr val="000000"/>
                        </a:solidFill>
                        <a:latin typeface="Arial"/>
                        <a:cs typeface="Arial"/>
                      </a:rPr>
                      <a:t>R</a:t>
                    </a:r>
                    <a:r>
                      <a:rPr lang="en-US" sz="1200" b="0" i="0" u="none" strike="noStrike" baseline="30000">
                        <a:solidFill>
                          <a:srgbClr val="000000"/>
                        </a:solidFill>
                        <a:latin typeface="Arial"/>
                        <a:cs typeface="Arial"/>
                      </a:rPr>
                      <a:t>2</a:t>
                    </a:r>
                    <a:r>
                      <a:rPr lang="en-US" sz="1200" b="0" i="0" u="none" strike="noStrike" baseline="0">
                        <a:solidFill>
                          <a:srgbClr val="000000"/>
                        </a:solidFill>
                        <a:latin typeface="Arial"/>
                        <a:cs typeface="Arial"/>
                      </a:rPr>
                      <a:t> = 0.9998</a:t>
                    </a:r>
                  </a:p>
                </c:rich>
              </c:tx>
              <c:numFmt formatCode="General" sourceLinked="0"/>
              <c:spPr>
                <a:solidFill>
                  <a:srgbClr val="FFFFFF"/>
                </a:solidFill>
                <a:ln w="25400">
                  <a:noFill/>
                </a:ln>
              </c:spPr>
            </c:trendlineLbl>
          </c:trendline>
          <c:xVal>
            <c:numRef>
              <c:f>'Blade Mass &amp; Cost'!$Z$27:$Z$33</c:f>
              <c:numCache>
                <c:formatCode>0</c:formatCode>
                <c:ptCount val="7"/>
                <c:pt idx="0">
                  <c:v>12649.337</c:v>
                </c:pt>
                <c:pt idx="1">
                  <c:v>35611.288999999997</c:v>
                </c:pt>
                <c:pt idx="2">
                  <c:v>54872</c:v>
                </c:pt>
                <c:pt idx="3">
                  <c:v>67917.311999999991</c:v>
                </c:pt>
                <c:pt idx="4">
                  <c:v>101194.696</c:v>
                </c:pt>
                <c:pt idx="5">
                  <c:v>155720.87199999997</c:v>
                </c:pt>
                <c:pt idx="6">
                  <c:v>218167.20800000004</c:v>
                </c:pt>
              </c:numCache>
            </c:numRef>
          </c:xVal>
          <c:yVal>
            <c:numRef>
              <c:f>'Blade Mass &amp; Cost'!$T$27:$T$33</c:f>
              <c:numCache>
                <c:formatCode>General</c:formatCode>
                <c:ptCount val="7"/>
                <c:pt idx="0">
                  <c:v>1851</c:v>
                </c:pt>
                <c:pt idx="1">
                  <c:v>5017</c:v>
                </c:pt>
                <c:pt idx="2">
                  <c:v>7597</c:v>
                </c:pt>
                <c:pt idx="3">
                  <c:v>9284</c:v>
                </c:pt>
                <c:pt idx="4">
                  <c:v>13629</c:v>
                </c:pt>
                <c:pt idx="5">
                  <c:v>20685</c:v>
                </c:pt>
                <c:pt idx="6">
                  <c:v>28626</c:v>
                </c:pt>
              </c:numCache>
            </c:numRef>
          </c:yVal>
          <c:smooth val="0"/>
        </c:ser>
        <c:ser>
          <c:idx val="12"/>
          <c:order val="1"/>
          <c:tx>
            <c:v>TPI - baseline design</c:v>
          </c:tx>
          <c:spPr>
            <a:ln w="28575">
              <a:noFill/>
            </a:ln>
          </c:spPr>
          <c:marker>
            <c:symbol val="circle"/>
            <c:size val="8"/>
            <c:spPr>
              <a:noFill/>
              <a:ln>
                <a:solidFill>
                  <a:srgbClr val="008000"/>
                </a:solidFill>
                <a:prstDash val="solid"/>
              </a:ln>
            </c:spPr>
          </c:marker>
          <c:xVal>
            <c:numRef>
              <c:f>'Blade Mass &amp; Cost'!$A$64:$A$65</c:f>
              <c:numCache>
                <c:formatCode>General</c:formatCode>
                <c:ptCount val="2"/>
                <c:pt idx="0">
                  <c:v>32768</c:v>
                </c:pt>
                <c:pt idx="1">
                  <c:v>140608</c:v>
                </c:pt>
              </c:numCache>
            </c:numRef>
          </c:xVal>
          <c:yVal>
            <c:numRef>
              <c:f>'Blade Mass &amp; Cost'!$I$57:$I$58</c:f>
              <c:numCache>
                <c:formatCode>0</c:formatCode>
                <c:ptCount val="2"/>
                <c:pt idx="0">
                  <c:v>4108</c:v>
                </c:pt>
                <c:pt idx="1">
                  <c:v>18856</c:v>
                </c:pt>
              </c:numCache>
            </c:numRef>
          </c:yVal>
          <c:smooth val="0"/>
        </c:ser>
        <c:ser>
          <c:idx val="5"/>
          <c:order val="2"/>
          <c:tx>
            <c:v>WindPACT - Baseline design</c:v>
          </c:tx>
          <c:spPr>
            <a:ln w="28575">
              <a:noFill/>
            </a:ln>
          </c:spPr>
          <c:marker>
            <c:symbol val="diamond"/>
            <c:size val="8"/>
            <c:spPr>
              <a:noFill/>
              <a:ln>
                <a:solidFill>
                  <a:srgbClr val="0000FF"/>
                </a:solidFill>
                <a:prstDash val="solid"/>
              </a:ln>
            </c:spPr>
          </c:marker>
          <c:trendline>
            <c:spPr>
              <a:ln w="25400">
                <a:solidFill>
                  <a:srgbClr val="000000"/>
                </a:solidFill>
                <a:prstDash val="lgDash"/>
              </a:ln>
            </c:spPr>
            <c:trendlineType val="linear"/>
            <c:dispRSqr val="1"/>
            <c:dispEq val="1"/>
            <c:trendlineLbl>
              <c:layout>
                <c:manualLayout>
                  <c:x val="0.16925751342894199"/>
                  <c:y val="0.124919204376562"/>
                </c:manualLayout>
              </c:layout>
              <c:tx>
                <c:rich>
                  <a:bodyPr/>
                  <a:lstStyle/>
                  <a:p>
                    <a:pPr>
                      <a:defRPr sz="3175" b="0" i="0" u="none" strike="noStrike" baseline="0">
                        <a:solidFill>
                          <a:srgbClr val="000000"/>
                        </a:solidFill>
                        <a:latin typeface="Arial"/>
                        <a:ea typeface="Arial"/>
                        <a:cs typeface="Arial"/>
                      </a:defRPr>
                    </a:pPr>
                    <a:r>
                      <a:rPr lang="en-US" sz="1200" b="0" i="0" u="none" strike="noStrike" baseline="0">
                        <a:solidFill>
                          <a:srgbClr val="000000"/>
                        </a:solidFill>
                        <a:latin typeface="Arial"/>
                        <a:cs typeface="Arial"/>
                      </a:rPr>
                      <a:t>WindPACT Baseline:</a:t>
                    </a:r>
                  </a:p>
                  <a:p>
                    <a:pPr>
                      <a:defRPr sz="3175" b="0" i="0" u="none" strike="noStrike" baseline="0">
                        <a:solidFill>
                          <a:srgbClr val="000000"/>
                        </a:solidFill>
                        <a:latin typeface="Arial"/>
                        <a:ea typeface="Arial"/>
                        <a:cs typeface="Arial"/>
                      </a:defRPr>
                    </a:pPr>
                    <a:r>
                      <a:rPr lang="en-US" sz="1200" b="0" i="0" u="none" strike="noStrike" baseline="0">
                        <a:solidFill>
                          <a:srgbClr val="000000"/>
                        </a:solidFill>
                        <a:latin typeface="Arial"/>
                        <a:cs typeface="Arial"/>
                      </a:rPr>
                      <a:t>y = 0.1039x + 74.513</a:t>
                    </a:r>
                  </a:p>
                  <a:p>
                    <a:pPr>
                      <a:defRPr sz="3175" b="0" i="0" u="none" strike="noStrike" baseline="0">
                        <a:solidFill>
                          <a:srgbClr val="000000"/>
                        </a:solidFill>
                        <a:latin typeface="Arial"/>
                        <a:ea typeface="Arial"/>
                        <a:cs typeface="Arial"/>
                      </a:defRPr>
                    </a:pPr>
                    <a:r>
                      <a:rPr lang="en-US" sz="1200" b="0" i="0" u="none" strike="noStrike" baseline="0">
                        <a:solidFill>
                          <a:srgbClr val="000000"/>
                        </a:solidFill>
                        <a:latin typeface="Arial"/>
                        <a:cs typeface="Arial"/>
                      </a:rPr>
                      <a:t>R</a:t>
                    </a:r>
                    <a:r>
                      <a:rPr lang="en-US" sz="1200" b="0" i="0" u="none" strike="noStrike" baseline="30000">
                        <a:solidFill>
                          <a:srgbClr val="000000"/>
                        </a:solidFill>
                        <a:latin typeface="Arial"/>
                        <a:cs typeface="Arial"/>
                      </a:rPr>
                      <a:t>2</a:t>
                    </a:r>
                    <a:r>
                      <a:rPr lang="en-US" sz="1200" b="0" i="0" u="none" strike="noStrike" baseline="0">
                        <a:solidFill>
                          <a:srgbClr val="000000"/>
                        </a:solidFill>
                        <a:latin typeface="Arial"/>
                        <a:cs typeface="Arial"/>
                      </a:rPr>
                      <a:t> = 0.9996</a:t>
                    </a:r>
                  </a:p>
                </c:rich>
              </c:tx>
              <c:numFmt formatCode="General" sourceLinked="0"/>
              <c:spPr>
                <a:solidFill>
                  <a:srgbClr val="FFFFFF"/>
                </a:solidFill>
                <a:ln w="25400">
                  <a:noFill/>
                </a:ln>
              </c:spPr>
            </c:trendlineLbl>
          </c:trendline>
          <c:xVal>
            <c:numRef>
              <c:f>'Blade Mass &amp; Cost'!$AA$80:$AA$83</c:f>
              <c:numCache>
                <c:formatCode>General</c:formatCode>
                <c:ptCount val="4"/>
                <c:pt idx="0">
                  <c:v>15625</c:v>
                </c:pt>
                <c:pt idx="1">
                  <c:v>42875</c:v>
                </c:pt>
                <c:pt idx="2">
                  <c:v>121287.375</c:v>
                </c:pt>
                <c:pt idx="3">
                  <c:v>262144</c:v>
                </c:pt>
              </c:numCache>
            </c:numRef>
          </c:xVal>
          <c:yVal>
            <c:numRef>
              <c:f>'Blade Mass &amp; Cost'!$T$80:$T$83</c:f>
              <c:numCache>
                <c:formatCode>General</c:formatCode>
                <c:ptCount val="4"/>
                <c:pt idx="0">
                  <c:v>1818</c:v>
                </c:pt>
                <c:pt idx="1">
                  <c:v>4230</c:v>
                </c:pt>
                <c:pt idx="2">
                  <c:v>12936</c:v>
                </c:pt>
                <c:pt idx="3">
                  <c:v>27239</c:v>
                </c:pt>
              </c:numCache>
            </c:numRef>
          </c:yVal>
          <c:smooth val="0"/>
        </c:ser>
        <c:ser>
          <c:idx val="6"/>
          <c:order val="3"/>
          <c:tx>
            <c:v>WindPACT - Final design</c:v>
          </c:tx>
          <c:spPr>
            <a:ln w="28575">
              <a:noFill/>
            </a:ln>
          </c:spPr>
          <c:marker>
            <c:symbol val="diamond"/>
            <c:size val="8"/>
            <c:spPr>
              <a:noFill/>
              <a:ln>
                <a:solidFill>
                  <a:srgbClr val="FF0000"/>
                </a:solidFill>
                <a:prstDash val="solid"/>
              </a:ln>
            </c:spPr>
          </c:marker>
          <c:trendline>
            <c:spPr>
              <a:ln w="25400">
                <a:solidFill>
                  <a:srgbClr val="000000"/>
                </a:solidFill>
                <a:prstDash val="lgDash"/>
              </a:ln>
            </c:spPr>
            <c:trendlineType val="linear"/>
            <c:forward val="150000"/>
            <c:dispRSqr val="1"/>
            <c:dispEq val="1"/>
            <c:trendlineLbl>
              <c:layout>
                <c:manualLayout>
                  <c:x val="-8.5879442885050603E-2"/>
                  <c:y val="0.21373961989691101"/>
                </c:manualLayout>
              </c:layout>
              <c:tx>
                <c:rich>
                  <a:bodyPr/>
                  <a:lstStyle/>
                  <a:p>
                    <a:pPr>
                      <a:defRPr sz="3175" b="0" i="0" u="none" strike="noStrike" baseline="0">
                        <a:solidFill>
                          <a:srgbClr val="000000"/>
                        </a:solidFill>
                        <a:latin typeface="Arial"/>
                        <a:ea typeface="Arial"/>
                        <a:cs typeface="Arial"/>
                      </a:defRPr>
                    </a:pPr>
                    <a:r>
                      <a:rPr lang="en-US" sz="1200" b="0" i="0" u="none" strike="noStrike" baseline="0">
                        <a:solidFill>
                          <a:srgbClr val="000000"/>
                        </a:solidFill>
                        <a:latin typeface="Arial"/>
                        <a:cs typeface="Arial"/>
                      </a:rPr>
                      <a:t>WindPACT Final design:</a:t>
                    </a:r>
                  </a:p>
                  <a:p>
                    <a:pPr>
                      <a:defRPr sz="3175" b="0" i="0" u="none" strike="noStrike" baseline="0">
                        <a:solidFill>
                          <a:srgbClr val="000000"/>
                        </a:solidFill>
                        <a:latin typeface="Arial"/>
                        <a:ea typeface="Arial"/>
                        <a:cs typeface="Arial"/>
                      </a:defRPr>
                    </a:pPr>
                    <a:r>
                      <a:rPr lang="en-US" sz="1200" b="0" i="0" u="none" strike="noStrike" baseline="0">
                        <a:solidFill>
                          <a:srgbClr val="000000"/>
                        </a:solidFill>
                        <a:latin typeface="Arial"/>
                        <a:cs typeface="Arial"/>
                      </a:rPr>
                      <a:t>y = 0.0428x + 303.21</a:t>
                    </a:r>
                  </a:p>
                  <a:p>
                    <a:pPr>
                      <a:defRPr sz="3175" b="0" i="0" u="none" strike="noStrike" baseline="0">
                        <a:solidFill>
                          <a:srgbClr val="000000"/>
                        </a:solidFill>
                        <a:latin typeface="Arial"/>
                        <a:ea typeface="Arial"/>
                        <a:cs typeface="Arial"/>
                      </a:defRPr>
                    </a:pPr>
                    <a:r>
                      <a:rPr lang="en-US" sz="1200" b="0" i="0" u="none" strike="noStrike" baseline="0">
                        <a:solidFill>
                          <a:srgbClr val="000000"/>
                        </a:solidFill>
                        <a:latin typeface="Arial"/>
                        <a:cs typeface="Arial"/>
                      </a:rPr>
                      <a:t>R</a:t>
                    </a:r>
                    <a:r>
                      <a:rPr lang="en-US" sz="1200" b="0" i="0" u="none" strike="noStrike" baseline="30000">
                        <a:solidFill>
                          <a:srgbClr val="000000"/>
                        </a:solidFill>
                        <a:latin typeface="Arial"/>
                        <a:cs typeface="Arial"/>
                      </a:rPr>
                      <a:t>2</a:t>
                    </a:r>
                    <a:r>
                      <a:rPr lang="en-US" sz="1200" b="0" i="0" u="none" strike="noStrike" baseline="0">
                        <a:solidFill>
                          <a:srgbClr val="000000"/>
                        </a:solidFill>
                        <a:latin typeface="Arial"/>
                        <a:cs typeface="Arial"/>
                      </a:rPr>
                      <a:t> = 0.9971</a:t>
                    </a:r>
                  </a:p>
                </c:rich>
              </c:tx>
              <c:numFmt formatCode="General" sourceLinked="0"/>
              <c:spPr>
                <a:solidFill>
                  <a:srgbClr val="FFFFFF"/>
                </a:solidFill>
                <a:ln w="25400">
                  <a:noFill/>
                </a:ln>
              </c:spPr>
            </c:trendlineLbl>
          </c:trendline>
          <c:xVal>
            <c:numRef>
              <c:f>'Blade Mass &amp; Cost'!$AA$80:$AA$82</c:f>
              <c:numCache>
                <c:formatCode>General</c:formatCode>
                <c:ptCount val="3"/>
                <c:pt idx="0">
                  <c:v>15625</c:v>
                </c:pt>
                <c:pt idx="1">
                  <c:v>42875</c:v>
                </c:pt>
                <c:pt idx="2">
                  <c:v>121287.375</c:v>
                </c:pt>
              </c:numCache>
            </c:numRef>
          </c:xVal>
          <c:yVal>
            <c:numRef>
              <c:f>'Blade Mass &amp; Cost'!$W$80:$W$82</c:f>
              <c:numCache>
                <c:formatCode>General</c:formatCode>
                <c:ptCount val="3"/>
                <c:pt idx="0">
                  <c:v>868</c:v>
                </c:pt>
                <c:pt idx="1">
                  <c:v>2281</c:v>
                </c:pt>
                <c:pt idx="2">
                  <c:v>5463</c:v>
                </c:pt>
              </c:numCache>
            </c:numRef>
          </c:yVal>
          <c:smooth val="0"/>
        </c:ser>
        <c:ser>
          <c:idx val="2"/>
          <c:order val="4"/>
          <c:tx>
            <c:v>LM Glasfiber Blades</c:v>
          </c:tx>
          <c:spPr>
            <a:ln w="28575">
              <a:noFill/>
            </a:ln>
          </c:spPr>
          <c:marker>
            <c:symbol val="square"/>
            <c:size val="6"/>
            <c:spPr>
              <a:solidFill>
                <a:srgbClr val="FF00FF"/>
              </a:solidFill>
              <a:ln>
                <a:solidFill>
                  <a:srgbClr val="FF00FF"/>
                </a:solidFill>
                <a:prstDash val="solid"/>
              </a:ln>
            </c:spPr>
          </c:marker>
          <c:xVal>
            <c:numRef>
              <c:f>'Blade Mass &amp; Cost'!$T$58:$T$63</c:f>
              <c:numCache>
                <c:formatCode>General</c:formatCode>
                <c:ptCount val="6"/>
                <c:pt idx="0">
                  <c:v>64000</c:v>
                </c:pt>
                <c:pt idx="1">
                  <c:v>91125</c:v>
                </c:pt>
                <c:pt idx="2">
                  <c:v>97336</c:v>
                </c:pt>
                <c:pt idx="3">
                  <c:v>125000</c:v>
                </c:pt>
                <c:pt idx="4">
                  <c:v>170031.46399999998</c:v>
                </c:pt>
                <c:pt idx="5">
                  <c:v>251837.30587499996</c:v>
                </c:pt>
              </c:numCache>
            </c:numRef>
          </c:xVal>
          <c:yVal>
            <c:numRef>
              <c:f>'Blade Mass &amp; Cost'!$V$58:$V$63</c:f>
              <c:numCache>
                <c:formatCode>General</c:formatCode>
                <c:ptCount val="6"/>
                <c:pt idx="0">
                  <c:v>8700</c:v>
                </c:pt>
                <c:pt idx="1">
                  <c:v>10400</c:v>
                </c:pt>
                <c:pt idx="2">
                  <c:v>9980</c:v>
                </c:pt>
                <c:pt idx="3">
                  <c:v>9796</c:v>
                </c:pt>
                <c:pt idx="4">
                  <c:v>12840</c:v>
                </c:pt>
                <c:pt idx="5">
                  <c:v>17700</c:v>
                </c:pt>
              </c:numCache>
            </c:numRef>
          </c:yVal>
          <c:smooth val="0"/>
        </c:ser>
        <c:ser>
          <c:idx val="8"/>
          <c:order val="5"/>
          <c:tx>
            <c:v>Offshore 5 MW Turbines</c:v>
          </c:tx>
          <c:spPr>
            <a:ln w="28575">
              <a:noFill/>
            </a:ln>
          </c:spPr>
          <c:marker>
            <c:symbol val="square"/>
            <c:size val="6"/>
            <c:spPr>
              <a:solidFill>
                <a:srgbClr val="FFCC00"/>
              </a:solidFill>
              <a:ln>
                <a:solidFill>
                  <a:srgbClr val="FFCC00"/>
                </a:solidFill>
                <a:prstDash val="solid"/>
              </a:ln>
            </c:spPr>
          </c:marker>
          <c:xVal>
            <c:numRef>
              <c:f>'Blade Mass &amp; Cost'!$Y$97:$Y$98</c:f>
              <c:numCache>
                <c:formatCode>General</c:formatCode>
                <c:ptCount val="2"/>
                <c:pt idx="0">
                  <c:v>195112</c:v>
                </c:pt>
                <c:pt idx="1">
                  <c:v>250047</c:v>
                </c:pt>
              </c:numCache>
            </c:numRef>
          </c:xVal>
          <c:yVal>
            <c:numRef>
              <c:f>'Blade Mass &amp; Cost'!$U$97:$U$98</c:f>
              <c:numCache>
                <c:formatCode>#,##0.000</c:formatCode>
                <c:ptCount val="2"/>
                <c:pt idx="0">
                  <c:v>16500</c:v>
                </c:pt>
                <c:pt idx="1">
                  <c:v>17740</c:v>
                </c:pt>
              </c:numCache>
            </c:numRef>
          </c:yVal>
          <c:smooth val="0"/>
        </c:ser>
        <c:ser>
          <c:idx val="9"/>
          <c:order val="6"/>
          <c:tx>
            <c:v>Gamesa</c:v>
          </c:tx>
          <c:spPr>
            <a:ln w="28575">
              <a:noFill/>
            </a:ln>
          </c:spPr>
          <c:marker>
            <c:symbol val="square"/>
            <c:size val="8"/>
            <c:spPr>
              <a:solidFill>
                <a:srgbClr val="FF6600"/>
              </a:solidFill>
              <a:ln>
                <a:solidFill>
                  <a:srgbClr val="FF6600"/>
                </a:solidFill>
                <a:prstDash val="solid"/>
              </a:ln>
            </c:spPr>
          </c:marker>
          <c:xVal>
            <c:numRef>
              <c:f>'Blade Mass &amp; Cost'!$Y$103:$Y$108</c:f>
              <c:numCache>
                <c:formatCode>General</c:formatCode>
                <c:ptCount val="6"/>
                <c:pt idx="0">
                  <c:v>16194.277000000002</c:v>
                </c:pt>
                <c:pt idx="1">
                  <c:v>22665.187000000002</c:v>
                </c:pt>
                <c:pt idx="2">
                  <c:v>59319</c:v>
                </c:pt>
                <c:pt idx="3">
                  <c:v>66430.125</c:v>
                </c:pt>
                <c:pt idx="4">
                  <c:v>76765.625</c:v>
                </c:pt>
                <c:pt idx="5">
                  <c:v>85184</c:v>
                </c:pt>
              </c:numCache>
            </c:numRef>
          </c:xVal>
          <c:yVal>
            <c:numRef>
              <c:f>'Blade Mass &amp; Cost'!$U$103:$U$108</c:f>
              <c:numCache>
                <c:formatCode>#,##0.000</c:formatCode>
                <c:ptCount val="6"/>
                <c:pt idx="0">
                  <c:v>1900</c:v>
                </c:pt>
                <c:pt idx="1">
                  <c:v>2400</c:v>
                </c:pt>
                <c:pt idx="2">
                  <c:v>6500</c:v>
                </c:pt>
                <c:pt idx="3">
                  <c:v>7300</c:v>
                </c:pt>
                <c:pt idx="4">
                  <c:v>6150</c:v>
                </c:pt>
                <c:pt idx="5">
                  <c:v>5800</c:v>
                </c:pt>
              </c:numCache>
            </c:numRef>
          </c:yVal>
          <c:smooth val="0"/>
        </c:ser>
        <c:ser>
          <c:idx val="4"/>
          <c:order val="7"/>
          <c:tx>
            <c:v>Clipper 2.5 MW Turbine</c:v>
          </c:tx>
          <c:spPr>
            <a:ln w="28575">
              <a:noFill/>
            </a:ln>
          </c:spPr>
          <c:marker>
            <c:symbol val="square"/>
            <c:size val="6"/>
            <c:spPr>
              <a:solidFill>
                <a:srgbClr val="CC99FF"/>
              </a:solidFill>
              <a:ln>
                <a:solidFill>
                  <a:srgbClr val="CC99FF"/>
                </a:solidFill>
                <a:prstDash val="solid"/>
              </a:ln>
            </c:spPr>
          </c:marker>
          <c:xVal>
            <c:numRef>
              <c:f>'Blade Mass &amp; Cost'!$X$88</c:f>
              <c:numCache>
                <c:formatCode>General</c:formatCode>
                <c:ptCount val="1"/>
                <c:pt idx="0">
                  <c:v>100544.625</c:v>
                </c:pt>
              </c:numCache>
            </c:numRef>
          </c:xVal>
          <c:yVal>
            <c:numRef>
              <c:f>'Blade Mass &amp; Cost'!$U$88</c:f>
              <c:numCache>
                <c:formatCode>General</c:formatCode>
                <c:ptCount val="1"/>
                <c:pt idx="0">
                  <c:v>10000</c:v>
                </c:pt>
              </c:numCache>
            </c:numRef>
          </c:yVal>
          <c:smooth val="0"/>
        </c:ser>
        <c:ser>
          <c:idx val="1"/>
          <c:order val="8"/>
          <c:tx>
            <c:v>WindPACT - Commercial Data</c:v>
          </c:tx>
          <c:spPr>
            <a:ln w="28575">
              <a:noFill/>
            </a:ln>
          </c:spPr>
          <c:marker>
            <c:symbol val="square"/>
            <c:size val="6"/>
            <c:spPr>
              <a:solidFill>
                <a:srgbClr val="C0C0C0"/>
              </a:solidFill>
              <a:ln>
                <a:solidFill>
                  <a:srgbClr val="C0C0C0"/>
                </a:solidFill>
                <a:prstDash val="solid"/>
              </a:ln>
            </c:spPr>
          </c:marker>
          <c:xVal>
            <c:numRef>
              <c:f>'Blade Mass &amp; Cost'!$V$38:$V$53</c:f>
              <c:numCache>
                <c:formatCode>0</c:formatCode>
                <c:ptCount val="16"/>
                <c:pt idx="0">
                  <c:v>10801.574573552994</c:v>
                </c:pt>
                <c:pt idx="1">
                  <c:v>11591.631433153521</c:v>
                </c:pt>
                <c:pt idx="2">
                  <c:v>12589.428196530111</c:v>
                </c:pt>
                <c:pt idx="3">
                  <c:v>12977.875</c:v>
                </c:pt>
                <c:pt idx="4">
                  <c:v>14753.564076395978</c:v>
                </c:pt>
                <c:pt idx="5">
                  <c:v>15625</c:v>
                </c:pt>
                <c:pt idx="6">
                  <c:v>16326.01953637557</c:v>
                </c:pt>
                <c:pt idx="7">
                  <c:v>16326.01953637557</c:v>
                </c:pt>
                <c:pt idx="8">
                  <c:v>20737.228167371344</c:v>
                </c:pt>
                <c:pt idx="9">
                  <c:v>35937</c:v>
                </c:pt>
                <c:pt idx="10">
                  <c:v>42875</c:v>
                </c:pt>
                <c:pt idx="11">
                  <c:v>42875</c:v>
                </c:pt>
                <c:pt idx="12">
                  <c:v>45038.019536375548</c:v>
                </c:pt>
                <c:pt idx="13">
                  <c:v>45842.251057005393</c:v>
                </c:pt>
                <c:pt idx="14">
                  <c:v>60527.910190989947</c:v>
                </c:pt>
                <c:pt idx="15">
                  <c:v>68127.799387665815</c:v>
                </c:pt>
              </c:numCache>
            </c:numRef>
          </c:xVal>
          <c:yVal>
            <c:numRef>
              <c:f>'Blade Mass &amp; Cost'!$T$38:$T$53</c:f>
              <c:numCache>
                <c:formatCode>General</c:formatCode>
                <c:ptCount val="16"/>
                <c:pt idx="0">
                  <c:v>2100</c:v>
                </c:pt>
                <c:pt idx="1">
                  <c:v>2650</c:v>
                </c:pt>
                <c:pt idx="2">
                  <c:v>1600</c:v>
                </c:pt>
                <c:pt idx="3">
                  <c:v>1450</c:v>
                </c:pt>
                <c:pt idx="4">
                  <c:v>2800</c:v>
                </c:pt>
                <c:pt idx="5">
                  <c:v>3540</c:v>
                </c:pt>
                <c:pt idx="6">
                  <c:v>2400</c:v>
                </c:pt>
                <c:pt idx="7">
                  <c:v>2600</c:v>
                </c:pt>
                <c:pt idx="8">
                  <c:v>4000</c:v>
                </c:pt>
                <c:pt idx="9">
                  <c:v>3850</c:v>
                </c:pt>
                <c:pt idx="10">
                  <c:v>5600</c:v>
                </c:pt>
                <c:pt idx="11">
                  <c:v>6800</c:v>
                </c:pt>
                <c:pt idx="12">
                  <c:v>7800</c:v>
                </c:pt>
                <c:pt idx="13">
                  <c:v>5600</c:v>
                </c:pt>
                <c:pt idx="14">
                  <c:v>6035</c:v>
                </c:pt>
                <c:pt idx="15">
                  <c:v>8500</c:v>
                </c:pt>
              </c:numCache>
            </c:numRef>
          </c:yVal>
          <c:smooth val="0"/>
        </c:ser>
        <c:ser>
          <c:idx val="3"/>
          <c:order val="9"/>
          <c:tx>
            <c:v>TPI Innovative Concept Blades</c:v>
          </c:tx>
          <c:spPr>
            <a:ln w="28575">
              <a:noFill/>
            </a:ln>
          </c:spPr>
          <c:marker>
            <c:symbol val="triangle"/>
            <c:size val="8"/>
            <c:spPr>
              <a:noFill/>
              <a:ln>
                <a:solidFill>
                  <a:srgbClr val="000000"/>
                </a:solidFill>
                <a:prstDash val="solid"/>
              </a:ln>
            </c:spPr>
          </c:marker>
          <c:xVal>
            <c:numRef>
              <c:f>'Blade Mass &amp; Cost'!$Z$69:$Z$72</c:f>
              <c:numCache>
                <c:formatCode>General</c:formatCode>
                <c:ptCount val="4"/>
                <c:pt idx="0">
                  <c:v>140608</c:v>
                </c:pt>
                <c:pt idx="1">
                  <c:v>140608</c:v>
                </c:pt>
                <c:pt idx="2">
                  <c:v>140608</c:v>
                </c:pt>
                <c:pt idx="3">
                  <c:v>140608</c:v>
                </c:pt>
              </c:numCache>
            </c:numRef>
          </c:xVal>
          <c:yVal>
            <c:numRef>
              <c:f>'Blade Mass &amp; Cost'!$U$69:$U$72</c:f>
              <c:numCache>
                <c:formatCode>General</c:formatCode>
                <c:ptCount val="4"/>
                <c:pt idx="0">
                  <c:v>9082.636363636364</c:v>
                </c:pt>
                <c:pt idx="1">
                  <c:v>8203.636363636364</c:v>
                </c:pt>
                <c:pt idx="2">
                  <c:v>10307.181818181818</c:v>
                </c:pt>
                <c:pt idx="3">
                  <c:v>9428.2727272727279</c:v>
                </c:pt>
              </c:numCache>
            </c:numRef>
          </c:yVal>
          <c:smooth val="0"/>
        </c:ser>
        <c:ser>
          <c:idx val="7"/>
          <c:order val="10"/>
          <c:tx>
            <c:v>Offshore 5 MW models</c:v>
          </c:tx>
          <c:spPr>
            <a:ln w="28575">
              <a:noFill/>
            </a:ln>
          </c:spPr>
          <c:marker>
            <c:symbol val="triangle"/>
            <c:size val="8"/>
            <c:spPr>
              <a:noFill/>
              <a:ln>
                <a:solidFill>
                  <a:srgbClr val="FF6600"/>
                </a:solidFill>
                <a:prstDash val="solid"/>
              </a:ln>
            </c:spPr>
          </c:marker>
          <c:xVal>
            <c:numRef>
              <c:f>'Blade Mass &amp; Cost'!$Y$93:$Y$96</c:f>
              <c:numCache>
                <c:formatCode>General</c:formatCode>
                <c:ptCount val="4"/>
                <c:pt idx="0">
                  <c:v>216000</c:v>
                </c:pt>
                <c:pt idx="1">
                  <c:v>262144</c:v>
                </c:pt>
                <c:pt idx="2">
                  <c:v>205379</c:v>
                </c:pt>
                <c:pt idx="3">
                  <c:v>268336.125</c:v>
                </c:pt>
              </c:numCache>
            </c:numRef>
          </c:xVal>
          <c:yVal>
            <c:numRef>
              <c:f>'Blade Mass &amp; Cost'!$U$93:$U$96</c:f>
              <c:numCache>
                <c:formatCode>#,##0.000</c:formatCode>
                <c:ptCount val="4"/>
                <c:pt idx="0">
                  <c:v>21170</c:v>
                </c:pt>
                <c:pt idx="1">
                  <c:v>27812</c:v>
                </c:pt>
                <c:pt idx="2">
                  <c:v>13813</c:v>
                </c:pt>
                <c:pt idx="3">
                  <c:v>17905</c:v>
                </c:pt>
              </c:numCache>
            </c:numRef>
          </c:yVal>
          <c:smooth val="0"/>
        </c:ser>
        <c:ser>
          <c:idx val="13"/>
          <c:order val="11"/>
          <c:spPr>
            <a:ln w="28575">
              <a:noFill/>
            </a:ln>
          </c:spPr>
          <c:marker>
            <c:symbol val="star"/>
            <c:size val="2"/>
            <c:spPr>
              <a:noFill/>
              <a:ln>
                <a:solidFill>
                  <a:srgbClr val="FF99CC"/>
                </a:solidFill>
                <a:prstDash val="solid"/>
              </a:ln>
            </c:spPr>
          </c:marker>
          <c:trendline>
            <c:spPr>
              <a:ln w="25400">
                <a:solidFill>
                  <a:srgbClr val="000000"/>
                </a:solidFill>
                <a:prstDash val="lgDash"/>
              </a:ln>
            </c:spPr>
            <c:trendlineType val="linear"/>
            <c:dispRSqr val="1"/>
            <c:dispEq val="1"/>
            <c:trendlineLbl>
              <c:layout>
                <c:manualLayout>
                  <c:x val="0.20577907863125899"/>
                  <c:y val="6.10360813332071E-2"/>
                </c:manualLayout>
              </c:layout>
              <c:tx>
                <c:rich>
                  <a:bodyPr/>
                  <a:lstStyle/>
                  <a:p>
                    <a:pPr>
                      <a:defRPr sz="3175" b="0" i="0" u="none" strike="noStrike" baseline="0">
                        <a:solidFill>
                          <a:srgbClr val="000000"/>
                        </a:solidFill>
                        <a:latin typeface="Arial"/>
                        <a:ea typeface="Arial"/>
                        <a:cs typeface="Arial"/>
                      </a:defRPr>
                    </a:pPr>
                    <a:r>
                      <a:rPr lang="en-US" sz="1200" b="0" i="0" u="none" strike="noStrike" baseline="0">
                        <a:solidFill>
                          <a:srgbClr val="000000"/>
                        </a:solidFill>
                        <a:latin typeface="Arial"/>
                        <a:cs typeface="Arial"/>
                      </a:rPr>
                      <a:t>LM Advanced Design</a:t>
                    </a:r>
                  </a:p>
                  <a:p>
                    <a:pPr>
                      <a:defRPr sz="3175" b="0" i="0" u="none" strike="noStrike" baseline="0">
                        <a:solidFill>
                          <a:srgbClr val="000000"/>
                        </a:solidFill>
                        <a:latin typeface="Arial"/>
                        <a:ea typeface="Arial"/>
                        <a:cs typeface="Arial"/>
                      </a:defRPr>
                    </a:pPr>
                    <a:r>
                      <a:rPr lang="en-US" sz="1200" b="0" i="0" u="none" strike="noStrike" baseline="0">
                        <a:solidFill>
                          <a:srgbClr val="000000"/>
                        </a:solidFill>
                        <a:latin typeface="Arial"/>
                        <a:cs typeface="Arial"/>
                      </a:rPr>
                      <a:t>y = 0.062x + 2150</a:t>
                    </a:r>
                  </a:p>
                  <a:p>
                    <a:pPr>
                      <a:defRPr sz="3175" b="0" i="0" u="none" strike="noStrike" baseline="0">
                        <a:solidFill>
                          <a:srgbClr val="000000"/>
                        </a:solidFill>
                        <a:latin typeface="Arial"/>
                        <a:ea typeface="Arial"/>
                        <a:cs typeface="Arial"/>
                      </a:defRPr>
                    </a:pPr>
                    <a:r>
                      <a:rPr lang="en-US" sz="1200" b="0" i="0" u="none" strike="noStrike" baseline="0">
                        <a:solidFill>
                          <a:srgbClr val="000000"/>
                        </a:solidFill>
                        <a:latin typeface="Arial"/>
                        <a:cs typeface="Arial"/>
                      </a:rPr>
                      <a:t>R</a:t>
                    </a:r>
                    <a:r>
                      <a:rPr lang="en-US" sz="1200" b="0" i="0" u="none" strike="noStrike" baseline="30000">
                        <a:solidFill>
                          <a:srgbClr val="000000"/>
                        </a:solidFill>
                        <a:latin typeface="Arial"/>
                        <a:cs typeface="Arial"/>
                      </a:rPr>
                      <a:t>2</a:t>
                    </a:r>
                    <a:r>
                      <a:rPr lang="en-US" sz="1200" b="0" i="0" u="none" strike="noStrike" baseline="0">
                        <a:solidFill>
                          <a:srgbClr val="000000"/>
                        </a:solidFill>
                        <a:latin typeface="Arial"/>
                        <a:cs typeface="Arial"/>
                      </a:rPr>
                      <a:t> = 0.9988</a:t>
                    </a:r>
                  </a:p>
                </c:rich>
              </c:tx>
              <c:numFmt formatCode="General" sourceLinked="0"/>
              <c:spPr>
                <a:solidFill>
                  <a:srgbClr val="FFFFFF"/>
                </a:solidFill>
                <a:ln w="25400">
                  <a:noFill/>
                </a:ln>
              </c:spPr>
            </c:trendlineLbl>
          </c:trendline>
          <c:xVal>
            <c:numRef>
              <c:f>'Blade Mass &amp; Cost'!$T$61:$T$63</c:f>
              <c:numCache>
                <c:formatCode>General</c:formatCode>
                <c:ptCount val="3"/>
                <c:pt idx="0">
                  <c:v>125000</c:v>
                </c:pt>
                <c:pt idx="1">
                  <c:v>170031.46399999998</c:v>
                </c:pt>
                <c:pt idx="2">
                  <c:v>251837.30587499996</c:v>
                </c:pt>
              </c:numCache>
            </c:numRef>
          </c:xVal>
          <c:yVal>
            <c:numRef>
              <c:f>'Blade Mass &amp; Cost'!$V$61:$V$63</c:f>
              <c:numCache>
                <c:formatCode>General</c:formatCode>
                <c:ptCount val="3"/>
                <c:pt idx="0">
                  <c:v>9796</c:v>
                </c:pt>
                <c:pt idx="1">
                  <c:v>12840</c:v>
                </c:pt>
                <c:pt idx="2">
                  <c:v>17700</c:v>
                </c:pt>
              </c:numCache>
            </c:numRef>
          </c:yVal>
          <c:smooth val="0"/>
        </c:ser>
        <c:ser>
          <c:idx val="14"/>
          <c:order val="12"/>
          <c:tx>
            <c:v>5 MW</c:v>
          </c:tx>
          <c:spPr>
            <a:ln w="28575">
              <a:noFill/>
            </a:ln>
          </c:spPr>
          <c:marker>
            <c:symbol val="circle"/>
            <c:size val="10"/>
            <c:spPr>
              <a:solidFill>
                <a:srgbClr val="00FF00"/>
              </a:solidFill>
              <a:ln>
                <a:solidFill>
                  <a:srgbClr val="00FF00"/>
                </a:solidFill>
                <a:prstDash val="solid"/>
              </a:ln>
            </c:spPr>
          </c:marker>
          <c:xVal>
            <c:numRef>
              <c:f>'Blade Mass &amp; Cost'!$AM$96</c:f>
              <c:numCache>
                <c:formatCode>General</c:formatCode>
                <c:ptCount val="1"/>
                <c:pt idx="0">
                  <c:v>250047</c:v>
                </c:pt>
              </c:numCache>
            </c:numRef>
          </c:xVal>
          <c:yVal>
            <c:numRef>
              <c:f>'Blade Mass &amp; Cost'!$AP$96</c:f>
              <c:numCache>
                <c:formatCode>General</c:formatCode>
                <c:ptCount val="1"/>
                <c:pt idx="0">
                  <c:v>17650.669999999998</c:v>
                </c:pt>
              </c:numCache>
            </c:numRef>
          </c:yVal>
          <c:smooth val="0"/>
        </c:ser>
        <c:ser>
          <c:idx val="10"/>
          <c:order val="13"/>
          <c:tx>
            <c:v>10 MW</c:v>
          </c:tx>
          <c:spPr>
            <a:ln w="28575">
              <a:noFill/>
            </a:ln>
          </c:spPr>
          <c:marker>
            <c:symbol val="triangle"/>
            <c:size val="10"/>
            <c:spPr>
              <a:solidFill>
                <a:srgbClr val="14FC1F"/>
              </a:solidFill>
              <a:ln>
                <a:noFill/>
              </a:ln>
            </c:spPr>
          </c:marker>
          <c:xVal>
            <c:numRef>
              <c:f>'Blade Mass &amp; Cost'!$AM$98</c:f>
              <c:numCache>
                <c:formatCode>General</c:formatCode>
                <c:ptCount val="1"/>
                <c:pt idx="0">
                  <c:v>413493.625</c:v>
                </c:pt>
              </c:numCache>
            </c:numRef>
          </c:xVal>
          <c:yVal>
            <c:numRef>
              <c:f>'Blade Mass &amp; Cost'!$AP$98</c:f>
              <c:numCache>
                <c:formatCode>General</c:formatCode>
                <c:ptCount val="1"/>
                <c:pt idx="0">
                  <c:v>26976.47</c:v>
                </c:pt>
              </c:numCache>
            </c:numRef>
          </c:yVal>
          <c:smooth val="0"/>
        </c:ser>
        <c:dLbls>
          <c:showLegendKey val="0"/>
          <c:showVal val="0"/>
          <c:showCatName val="0"/>
          <c:showSerName val="0"/>
          <c:showPercent val="0"/>
          <c:showBubbleSize val="0"/>
        </c:dLbls>
        <c:axId val="135808896"/>
        <c:axId val="135823744"/>
      </c:scatterChart>
      <c:valAx>
        <c:axId val="135808896"/>
        <c:scaling>
          <c:orientation val="minMax"/>
        </c:scaling>
        <c:delete val="0"/>
        <c:axPos val="b"/>
        <c:majorGridlines>
          <c:spPr>
            <a:ln w="3175">
              <a:solidFill>
                <a:srgbClr val="000000"/>
              </a:solidFill>
              <a:prstDash val="sysDash"/>
            </a:ln>
          </c:spPr>
        </c:majorGridlines>
        <c:title>
          <c:tx>
            <c:rich>
              <a:bodyPr/>
              <a:lstStyle/>
              <a:p>
                <a:pPr>
                  <a:defRPr sz="1400" b="1" i="0" u="none" strike="noStrike" baseline="0">
                    <a:solidFill>
                      <a:srgbClr val="000000"/>
                    </a:solidFill>
                    <a:latin typeface="Arial"/>
                    <a:ea typeface="Arial"/>
                    <a:cs typeface="Arial"/>
                  </a:defRPr>
                </a:pPr>
                <a:r>
                  <a:rPr lang="en-US"/>
                  <a:t>Rotor Radius^3 (m^3)</a:t>
                </a:r>
              </a:p>
            </c:rich>
          </c:tx>
          <c:layout>
            <c:manualLayout>
              <c:xMode val="edge"/>
              <c:yMode val="edge"/>
              <c:x val="0.38780694326841902"/>
              <c:y val="0.94819277108433697"/>
            </c:manualLayout>
          </c:layout>
          <c:overlay val="0"/>
          <c:spPr>
            <a:noFill/>
            <a:ln w="25400">
              <a:noFill/>
            </a:ln>
          </c:spPr>
        </c:title>
        <c:numFmt formatCode="0" sourceLinked="0"/>
        <c:majorTickMark val="cross"/>
        <c:minorTickMark val="in"/>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n-US"/>
          </a:p>
        </c:txPr>
        <c:crossAx val="135823744"/>
        <c:crossesAt val="0"/>
        <c:crossBetween val="midCat"/>
      </c:valAx>
      <c:valAx>
        <c:axId val="135823744"/>
        <c:scaling>
          <c:orientation val="minMax"/>
          <c:min val="0"/>
        </c:scaling>
        <c:delete val="0"/>
        <c:axPos val="l"/>
        <c:majorGridlines>
          <c:spPr>
            <a:ln w="3175">
              <a:solidFill>
                <a:srgbClr val="000000"/>
              </a:solidFill>
              <a:prstDash val="sysDash"/>
            </a:ln>
          </c:spPr>
        </c:majorGridlines>
        <c:title>
          <c:tx>
            <c:rich>
              <a:bodyPr/>
              <a:lstStyle/>
              <a:p>
                <a:pPr>
                  <a:defRPr sz="1400" b="1" i="0" u="none" strike="noStrike" baseline="0">
                    <a:solidFill>
                      <a:srgbClr val="000000"/>
                    </a:solidFill>
                    <a:latin typeface="Arial"/>
                    <a:ea typeface="Arial"/>
                    <a:cs typeface="Arial"/>
                  </a:defRPr>
                </a:pPr>
                <a:r>
                  <a:rPr lang="en-US"/>
                  <a:t>Total Mass (kg)</a:t>
                </a:r>
              </a:p>
            </c:rich>
          </c:tx>
          <c:layout>
            <c:manualLayout>
              <c:xMode val="edge"/>
              <c:yMode val="edge"/>
              <c:x val="6.7739204064352397E-3"/>
              <c:y val="0.42289156626506202"/>
            </c:manualLayout>
          </c:layout>
          <c:overlay val="0"/>
          <c:spPr>
            <a:noFill/>
            <a:ln w="25400">
              <a:noFill/>
            </a:ln>
          </c:spPr>
        </c:title>
        <c:numFmt formatCode="0" sourceLinked="0"/>
        <c:majorTickMark val="cross"/>
        <c:minorTickMark val="in"/>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n-US"/>
          </a:p>
        </c:txPr>
        <c:crossAx val="135808896"/>
        <c:crossesAt val="20"/>
        <c:crossBetween val="midCat"/>
      </c:valAx>
      <c:spPr>
        <a:noFill/>
        <a:ln w="12700">
          <a:solidFill>
            <a:srgbClr val="000000"/>
          </a:solidFill>
          <a:prstDash val="solid"/>
        </a:ln>
      </c:spPr>
    </c:plotArea>
    <c:legend>
      <c:legendPos val="r"/>
      <c:legendEntry>
        <c:idx val="11"/>
        <c:delete val="1"/>
      </c:legendEntry>
      <c:legendEntry>
        <c:idx val="14"/>
        <c:delete val="1"/>
      </c:legendEntry>
      <c:legendEntry>
        <c:idx val="15"/>
        <c:delete val="1"/>
      </c:legendEntry>
      <c:legendEntry>
        <c:idx val="16"/>
        <c:delete val="1"/>
      </c:legendEntry>
      <c:legendEntry>
        <c:idx val="17"/>
        <c:delete val="1"/>
      </c:legendEntry>
      <c:layout>
        <c:manualLayout>
          <c:xMode val="edge"/>
          <c:yMode val="edge"/>
          <c:x val="0.106971493084956"/>
          <c:y val="0.131325301204819"/>
          <c:w val="0.18979502668009099"/>
          <c:h val="0.379391329095912"/>
        </c:manualLayout>
      </c:layout>
      <c:overlay val="0"/>
      <c:spPr>
        <a:solidFill>
          <a:srgbClr val="FFFFFF"/>
        </a:solidFill>
        <a:ln w="3175">
          <a:solidFill>
            <a:srgbClr val="000000"/>
          </a:solidFill>
          <a:prstDash val="solid"/>
        </a:ln>
      </c:spPr>
      <c:txPr>
        <a:bodyPr/>
        <a:lstStyle/>
        <a:p>
          <a:pPr>
            <a:defRPr sz="65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31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orientation="landscape"/>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75" b="1" i="0" u="none" strike="noStrike" baseline="0">
                <a:solidFill>
                  <a:srgbClr val="000000"/>
                </a:solidFill>
                <a:latin typeface="Arial"/>
                <a:ea typeface="Arial"/>
                <a:cs typeface="Arial"/>
              </a:defRPr>
            </a:pPr>
            <a:r>
              <a:t>Tower Mass Trends</a:t>
            </a:r>
          </a:p>
        </c:rich>
      </c:tx>
      <c:layout>
        <c:manualLayout>
          <c:xMode val="edge"/>
          <c:yMode val="edge"/>
          <c:x val="0.368301265648523"/>
          <c:y val="2.5136612021858001E-2"/>
        </c:manualLayout>
      </c:layout>
      <c:overlay val="0"/>
      <c:spPr>
        <a:noFill/>
        <a:ln w="25400">
          <a:noFill/>
        </a:ln>
      </c:spPr>
    </c:title>
    <c:autoTitleDeleted val="0"/>
    <c:plotArea>
      <c:layout>
        <c:manualLayout>
          <c:layoutTarget val="inner"/>
          <c:xMode val="edge"/>
          <c:yMode val="edge"/>
          <c:x val="0.131128921354383"/>
          <c:y val="0.119125810200873"/>
          <c:w val="0.825542078787592"/>
          <c:h val="0.79344346977829305"/>
        </c:manualLayout>
      </c:layout>
      <c:scatterChart>
        <c:scatterStyle val="lineMarker"/>
        <c:varyColors val="0"/>
        <c:ser>
          <c:idx val="0"/>
          <c:order val="0"/>
          <c:tx>
            <c:v>WindPACT - Static load design</c:v>
          </c:tx>
          <c:spPr>
            <a:ln w="28575">
              <a:noFill/>
            </a:ln>
          </c:spPr>
          <c:marker>
            <c:symbol val="diamond"/>
            <c:size val="7"/>
            <c:spPr>
              <a:noFill/>
              <a:ln>
                <a:solidFill>
                  <a:srgbClr val="000080"/>
                </a:solidFill>
                <a:prstDash val="solid"/>
              </a:ln>
            </c:spPr>
          </c:marker>
          <c:trendline>
            <c:spPr>
              <a:ln w="12700">
                <a:solidFill>
                  <a:srgbClr val="000000"/>
                </a:solidFill>
                <a:prstDash val="lgDash"/>
              </a:ln>
            </c:spPr>
            <c:trendlineType val="linear"/>
            <c:dispRSqr val="1"/>
            <c:dispEq val="1"/>
            <c:trendlineLbl>
              <c:layout>
                <c:manualLayout>
                  <c:x val="-0.2042566337026"/>
                  <c:y val="4.2623018042844497E-2"/>
                </c:manualLayout>
              </c:layout>
              <c:tx>
                <c:rich>
                  <a:bodyPr/>
                  <a:lstStyle/>
                  <a:p>
                    <a:pPr>
                      <a:defRPr sz="1200" b="0" i="0" u="none" strike="noStrike" baseline="0">
                        <a:solidFill>
                          <a:srgbClr val="000000"/>
                        </a:solidFill>
                        <a:latin typeface="Arial"/>
                        <a:ea typeface="Arial"/>
                        <a:cs typeface="Arial"/>
                      </a:defRPr>
                    </a:pPr>
                    <a:r>
                      <a:rPr lang="en-US" sz="1200" b="0" i="0" u="none" strike="noStrike" baseline="0">
                        <a:solidFill>
                          <a:srgbClr val="000000"/>
                        </a:solidFill>
                        <a:latin typeface="Arial"/>
                        <a:cs typeface="Arial"/>
                      </a:rPr>
                      <a:t>WindPACT Static load design:</a:t>
                    </a:r>
                  </a:p>
                  <a:p>
                    <a:pPr>
                      <a:defRPr sz="1200" b="0" i="0" u="none" strike="noStrike" baseline="0">
                        <a:solidFill>
                          <a:srgbClr val="000000"/>
                        </a:solidFill>
                        <a:latin typeface="Arial"/>
                        <a:ea typeface="Arial"/>
                        <a:cs typeface="Arial"/>
                      </a:defRPr>
                    </a:pPr>
                    <a:r>
                      <a:rPr lang="en-US" sz="1200" b="0" i="0" u="none" strike="noStrike" baseline="0">
                        <a:solidFill>
                          <a:srgbClr val="000000"/>
                        </a:solidFill>
                        <a:latin typeface="Arial"/>
                        <a:cs typeface="Arial"/>
                      </a:rPr>
                      <a:t>y = 0.4649x + 324.33</a:t>
                    </a:r>
                  </a:p>
                  <a:p>
                    <a:pPr>
                      <a:defRPr sz="1200" b="0" i="0" u="none" strike="noStrike" baseline="0">
                        <a:solidFill>
                          <a:srgbClr val="000000"/>
                        </a:solidFill>
                        <a:latin typeface="Arial"/>
                        <a:ea typeface="Arial"/>
                        <a:cs typeface="Arial"/>
                      </a:defRPr>
                    </a:pPr>
                    <a:r>
                      <a:rPr lang="en-US" sz="1200" b="0" i="0" u="none" strike="noStrike" baseline="0">
                        <a:solidFill>
                          <a:srgbClr val="000000"/>
                        </a:solidFill>
                        <a:latin typeface="Arial"/>
                        <a:cs typeface="Arial"/>
                      </a:rPr>
                      <a:t>R</a:t>
                    </a:r>
                    <a:r>
                      <a:rPr lang="en-US" sz="1200" b="0" i="0" u="none" strike="noStrike" baseline="30000">
                        <a:solidFill>
                          <a:srgbClr val="000000"/>
                        </a:solidFill>
                        <a:latin typeface="Arial"/>
                        <a:cs typeface="Arial"/>
                      </a:rPr>
                      <a:t>2</a:t>
                    </a:r>
                    <a:r>
                      <a:rPr lang="en-US" sz="1200" b="0" i="0" u="none" strike="noStrike" baseline="0">
                        <a:solidFill>
                          <a:srgbClr val="000000"/>
                        </a:solidFill>
                        <a:latin typeface="Arial"/>
                        <a:cs typeface="Arial"/>
                      </a:rPr>
                      <a:t> = 1</a:t>
                    </a:r>
                  </a:p>
                </c:rich>
              </c:tx>
              <c:numFmt formatCode="General" sourceLinked="0"/>
              <c:spPr>
                <a:noFill/>
                <a:ln w="25400">
                  <a:noFill/>
                </a:ln>
              </c:spPr>
            </c:trendlineLbl>
          </c:trendline>
          <c:xVal>
            <c:numRef>
              <c:f>Tower!$D$35:$D$52</c:f>
              <c:numCache>
                <c:formatCode>General</c:formatCode>
                <c:ptCount val="18"/>
                <c:pt idx="0">
                  <c:v>8168.1408993334626</c:v>
                </c:pt>
                <c:pt idx="1">
                  <c:v>27567.475535250433</c:v>
                </c:pt>
                <c:pt idx="2">
                  <c:v>65345.127194667701</c:v>
                </c:pt>
                <c:pt idx="3">
                  <c:v>127627.20155208535</c:v>
                </c:pt>
                <c:pt idx="4">
                  <c:v>220539.80428200346</c:v>
                </c:pt>
                <c:pt idx="5">
                  <c:v>293538.47949934663</c:v>
                </c:pt>
                <c:pt idx="6">
                  <c:v>350209.04105892219</c:v>
                </c:pt>
                <c:pt idx="7">
                  <c:v>522761.01755734161</c:v>
                </c:pt>
                <c:pt idx="8">
                  <c:v>627032.44122539531</c:v>
                </c:pt>
                <c:pt idx="9">
                  <c:v>744321.83945176168</c:v>
                </c:pt>
                <c:pt idx="10">
                  <c:v>1021017.6124166828</c:v>
                </c:pt>
                <c:pt idx="11">
                  <c:v>1358974.442126605</c:v>
                </c:pt>
                <c:pt idx="12">
                  <c:v>1764318.4342560277</c:v>
                </c:pt>
                <c:pt idx="13">
                  <c:v>2243175.694479452</c:v>
                </c:pt>
                <c:pt idx="14">
                  <c:v>2801672.3284713775</c:v>
                </c:pt>
                <c:pt idx="15">
                  <c:v>3445934.4419063046</c:v>
                </c:pt>
                <c:pt idx="16">
                  <c:v>4182088.1404587328</c:v>
                </c:pt>
                <c:pt idx="17">
                  <c:v>5016259.5298031624</c:v>
                </c:pt>
              </c:numCache>
            </c:numRef>
          </c:xVal>
          <c:yVal>
            <c:numRef>
              <c:f>Tower!$G$35:$G$52</c:f>
              <c:numCache>
                <c:formatCode>General</c:formatCode>
                <c:ptCount val="18"/>
                <c:pt idx="0">
                  <c:v>3816</c:v>
                </c:pt>
                <c:pt idx="1">
                  <c:v>12866</c:v>
                </c:pt>
                <c:pt idx="2">
                  <c:v>30479</c:v>
                </c:pt>
                <c:pt idx="3">
                  <c:v>59499</c:v>
                </c:pt>
                <c:pt idx="4">
                  <c:v>102772</c:v>
                </c:pt>
                <c:pt idx="5">
                  <c:v>136760</c:v>
                </c:pt>
                <c:pt idx="6">
                  <c:v>163141</c:v>
                </c:pt>
                <c:pt idx="7">
                  <c:v>243450</c:v>
                </c:pt>
                <c:pt idx="8">
                  <c:v>291970</c:v>
                </c:pt>
                <c:pt idx="9">
                  <c:v>346540</c:v>
                </c:pt>
                <c:pt idx="10">
                  <c:v>475252</c:v>
                </c:pt>
                <c:pt idx="11">
                  <c:v>632425</c:v>
                </c:pt>
                <c:pt idx="12">
                  <c:v>820900</c:v>
                </c:pt>
                <c:pt idx="13">
                  <c:v>1043515</c:v>
                </c:pt>
                <c:pt idx="14">
                  <c:v>1303109</c:v>
                </c:pt>
                <c:pt idx="15">
                  <c:v>1602520</c:v>
                </c:pt>
                <c:pt idx="16">
                  <c:v>1944585</c:v>
                </c:pt>
                <c:pt idx="17">
                  <c:v>2332141</c:v>
                </c:pt>
              </c:numCache>
            </c:numRef>
          </c:yVal>
          <c:smooth val="0"/>
        </c:ser>
        <c:ser>
          <c:idx val="5"/>
          <c:order val="1"/>
          <c:tx>
            <c:v>WindPACT - Baseline design</c:v>
          </c:tx>
          <c:spPr>
            <a:ln w="28575">
              <a:noFill/>
            </a:ln>
          </c:spPr>
          <c:marker>
            <c:symbol val="diamond"/>
            <c:size val="7"/>
            <c:spPr>
              <a:noFill/>
              <a:ln>
                <a:solidFill>
                  <a:srgbClr val="0000FF"/>
                </a:solidFill>
                <a:prstDash val="solid"/>
              </a:ln>
            </c:spPr>
          </c:marker>
          <c:trendline>
            <c:spPr>
              <a:ln w="12700">
                <a:solidFill>
                  <a:srgbClr val="000000"/>
                </a:solidFill>
                <a:prstDash val="lgDash"/>
              </a:ln>
            </c:spPr>
            <c:trendlineType val="linear"/>
            <c:dispRSqr val="1"/>
            <c:dispEq val="1"/>
            <c:trendlineLbl>
              <c:layout>
                <c:manualLayout>
                  <c:x val="-3.24663956002482E-2"/>
                  <c:y val="0.25683089693615802"/>
                </c:manualLayout>
              </c:layout>
              <c:tx>
                <c:rich>
                  <a:bodyPr/>
                  <a:lstStyle/>
                  <a:p>
                    <a:pPr>
                      <a:defRPr sz="1200" b="0" i="0" u="none" strike="noStrike" baseline="0">
                        <a:solidFill>
                          <a:srgbClr val="000000"/>
                        </a:solidFill>
                        <a:latin typeface="Arial"/>
                        <a:ea typeface="Arial"/>
                        <a:cs typeface="Arial"/>
                      </a:defRPr>
                    </a:pPr>
                    <a:r>
                      <a:rPr lang="en-US" sz="1200" b="0" i="0" u="none" strike="noStrike" baseline="0">
                        <a:solidFill>
                          <a:srgbClr val="000000"/>
                        </a:solidFill>
                        <a:latin typeface="Arial"/>
                        <a:cs typeface="Arial"/>
                      </a:rPr>
                      <a:t>WindPACT Baseline design:</a:t>
                    </a:r>
                  </a:p>
                  <a:p>
                    <a:pPr>
                      <a:defRPr sz="1200" b="0" i="0" u="none" strike="noStrike" baseline="0">
                        <a:solidFill>
                          <a:srgbClr val="000000"/>
                        </a:solidFill>
                        <a:latin typeface="Arial"/>
                        <a:ea typeface="Arial"/>
                        <a:cs typeface="Arial"/>
                      </a:defRPr>
                    </a:pPr>
                    <a:r>
                      <a:rPr lang="en-US" sz="1200" b="0" i="0" u="none" strike="noStrike" baseline="0">
                        <a:solidFill>
                          <a:srgbClr val="000000"/>
                        </a:solidFill>
                        <a:latin typeface="Arial"/>
                        <a:cs typeface="Arial"/>
                      </a:rPr>
                      <a:t>y = 0.3973x - 1414.4</a:t>
                    </a:r>
                  </a:p>
                  <a:p>
                    <a:pPr>
                      <a:defRPr sz="1200" b="0" i="0" u="none" strike="noStrike" baseline="0">
                        <a:solidFill>
                          <a:srgbClr val="000000"/>
                        </a:solidFill>
                        <a:latin typeface="Arial"/>
                        <a:ea typeface="Arial"/>
                        <a:cs typeface="Arial"/>
                      </a:defRPr>
                    </a:pPr>
                    <a:r>
                      <a:rPr lang="en-US" sz="1200" b="0" i="0" u="none" strike="noStrike" baseline="0">
                        <a:solidFill>
                          <a:srgbClr val="000000"/>
                        </a:solidFill>
                        <a:latin typeface="Arial"/>
                        <a:cs typeface="Arial"/>
                      </a:rPr>
                      <a:t>R</a:t>
                    </a:r>
                    <a:r>
                      <a:rPr lang="en-US" sz="1200" b="0" i="0" u="none" strike="noStrike" baseline="30000">
                        <a:solidFill>
                          <a:srgbClr val="000000"/>
                        </a:solidFill>
                        <a:latin typeface="Arial"/>
                        <a:cs typeface="Arial"/>
                      </a:rPr>
                      <a:t>2</a:t>
                    </a:r>
                    <a:r>
                      <a:rPr lang="en-US" sz="1200" b="0" i="0" u="none" strike="noStrike" baseline="0">
                        <a:solidFill>
                          <a:srgbClr val="000000"/>
                        </a:solidFill>
                        <a:latin typeface="Arial"/>
                        <a:cs typeface="Arial"/>
                      </a:rPr>
                      <a:t> = 0.9998</a:t>
                    </a:r>
                  </a:p>
                </c:rich>
              </c:tx>
              <c:numFmt formatCode="General" sourceLinked="0"/>
              <c:spPr>
                <a:noFill/>
                <a:ln w="25400">
                  <a:noFill/>
                </a:ln>
              </c:spPr>
            </c:trendlineLbl>
          </c:trendline>
          <c:xVal>
            <c:numRef>
              <c:f>Tower!$D$73:$D$76</c:f>
              <c:numCache>
                <c:formatCode>General</c:formatCode>
                <c:ptCount val="4"/>
                <c:pt idx="0">
                  <c:v>117809.72450961724</c:v>
                </c:pt>
                <c:pt idx="1">
                  <c:v>323269.88405438972</c:v>
                </c:pt>
                <c:pt idx="2">
                  <c:v>916024.80053554848</c:v>
                </c:pt>
                <c:pt idx="3">
                  <c:v>1981666.3804019841</c:v>
                </c:pt>
              </c:numCache>
            </c:numRef>
          </c:xVal>
          <c:yVal>
            <c:numRef>
              <c:f>Tower!$E$73:$E$76</c:f>
              <c:numCache>
                <c:formatCode>General</c:formatCode>
                <c:ptCount val="4"/>
                <c:pt idx="0">
                  <c:v>46440</c:v>
                </c:pt>
                <c:pt idx="1">
                  <c:v>122522</c:v>
                </c:pt>
                <c:pt idx="2">
                  <c:v>367610</c:v>
                </c:pt>
                <c:pt idx="3">
                  <c:v>784101</c:v>
                </c:pt>
              </c:numCache>
            </c:numRef>
          </c:yVal>
          <c:smooth val="0"/>
        </c:ser>
        <c:ser>
          <c:idx val="4"/>
          <c:order val="2"/>
          <c:tx>
            <c:v>WindPACT - Final design</c:v>
          </c:tx>
          <c:spPr>
            <a:ln w="28575">
              <a:noFill/>
            </a:ln>
          </c:spPr>
          <c:marker>
            <c:symbol val="diamond"/>
            <c:size val="7"/>
            <c:spPr>
              <a:noFill/>
              <a:ln>
                <a:solidFill>
                  <a:srgbClr val="FF0000"/>
                </a:solidFill>
                <a:prstDash val="solid"/>
              </a:ln>
            </c:spPr>
          </c:marker>
          <c:trendline>
            <c:name>WindPACT - Final design:</c:name>
            <c:spPr>
              <a:ln w="12700">
                <a:solidFill>
                  <a:srgbClr val="000000"/>
                </a:solidFill>
                <a:prstDash val="lgDash"/>
              </a:ln>
            </c:spPr>
            <c:trendlineType val="linear"/>
            <c:dispRSqr val="1"/>
            <c:dispEq val="1"/>
            <c:trendlineLbl>
              <c:layout>
                <c:manualLayout>
                  <c:x val="9.2704724645630496E-2"/>
                  <c:y val="0.14151655381521799"/>
                </c:manualLayout>
              </c:layout>
              <c:tx>
                <c:rich>
                  <a:bodyPr/>
                  <a:lstStyle/>
                  <a:p>
                    <a:pPr>
                      <a:defRPr sz="1200" b="0" i="0" u="none" strike="noStrike" baseline="0">
                        <a:solidFill>
                          <a:srgbClr val="000000"/>
                        </a:solidFill>
                        <a:latin typeface="Arial"/>
                        <a:ea typeface="Arial"/>
                        <a:cs typeface="Arial"/>
                      </a:defRPr>
                    </a:pPr>
                    <a:r>
                      <a:rPr lang="en-US" sz="1200" b="0" i="0" u="none" strike="noStrike" baseline="0">
                        <a:solidFill>
                          <a:srgbClr val="000000"/>
                        </a:solidFill>
                        <a:latin typeface="Arial"/>
                        <a:cs typeface="Arial"/>
                      </a:rPr>
                      <a:t>WindPACT Final design:</a:t>
                    </a:r>
                  </a:p>
                  <a:p>
                    <a:pPr>
                      <a:defRPr sz="1200" b="0" i="0" u="none" strike="noStrike" baseline="0">
                        <a:solidFill>
                          <a:srgbClr val="000000"/>
                        </a:solidFill>
                        <a:latin typeface="Arial"/>
                        <a:ea typeface="Arial"/>
                        <a:cs typeface="Arial"/>
                      </a:defRPr>
                    </a:pPr>
                    <a:r>
                      <a:rPr lang="en-US" sz="1200" b="0" i="0" u="none" strike="noStrike" baseline="0">
                        <a:solidFill>
                          <a:srgbClr val="000000"/>
                        </a:solidFill>
                        <a:latin typeface="Arial"/>
                        <a:cs typeface="Arial"/>
                      </a:rPr>
                      <a:t>y = 0.2694x + 1779.3</a:t>
                    </a:r>
                  </a:p>
                  <a:p>
                    <a:pPr>
                      <a:defRPr sz="1200" b="0" i="0" u="none" strike="noStrike" baseline="0">
                        <a:solidFill>
                          <a:srgbClr val="000000"/>
                        </a:solidFill>
                        <a:latin typeface="Arial"/>
                        <a:ea typeface="Arial"/>
                        <a:cs typeface="Arial"/>
                      </a:defRPr>
                    </a:pPr>
                    <a:r>
                      <a:rPr lang="en-US" sz="1200" b="0" i="0" u="none" strike="noStrike" baseline="0">
                        <a:solidFill>
                          <a:srgbClr val="000000"/>
                        </a:solidFill>
                        <a:latin typeface="Arial"/>
                        <a:cs typeface="Arial"/>
                      </a:rPr>
                      <a:t>R</a:t>
                    </a:r>
                    <a:r>
                      <a:rPr lang="en-US" sz="1200" b="0" i="0" u="none" strike="noStrike" baseline="30000">
                        <a:solidFill>
                          <a:srgbClr val="000000"/>
                        </a:solidFill>
                        <a:latin typeface="Arial"/>
                        <a:cs typeface="Arial"/>
                      </a:rPr>
                      <a:t>2</a:t>
                    </a:r>
                    <a:r>
                      <a:rPr lang="en-US" sz="1200" b="0" i="0" u="none" strike="noStrike" baseline="0">
                        <a:solidFill>
                          <a:srgbClr val="000000"/>
                        </a:solidFill>
                        <a:latin typeface="Arial"/>
                        <a:cs typeface="Arial"/>
                      </a:rPr>
                      <a:t> = 0.9977</a:t>
                    </a:r>
                  </a:p>
                </c:rich>
              </c:tx>
              <c:numFmt formatCode="General" sourceLinked="0"/>
              <c:spPr>
                <a:noFill/>
                <a:ln w="25400">
                  <a:noFill/>
                </a:ln>
              </c:spPr>
            </c:trendlineLbl>
          </c:trendline>
          <c:xVal>
            <c:numRef>
              <c:f>Tower!$D$73:$D$75</c:f>
              <c:numCache>
                <c:formatCode>General</c:formatCode>
                <c:ptCount val="3"/>
                <c:pt idx="0">
                  <c:v>117809.72450961724</c:v>
                </c:pt>
                <c:pt idx="1">
                  <c:v>323269.88405438972</c:v>
                </c:pt>
                <c:pt idx="2">
                  <c:v>916024.80053554848</c:v>
                </c:pt>
              </c:numCache>
            </c:numRef>
          </c:xVal>
          <c:yVal>
            <c:numRef>
              <c:f>Tower!$F$73:$F$75</c:f>
              <c:numCache>
                <c:formatCode>General</c:formatCode>
                <c:ptCount val="3"/>
                <c:pt idx="0">
                  <c:v>29054</c:v>
                </c:pt>
                <c:pt idx="1">
                  <c:v>94869</c:v>
                </c:pt>
                <c:pt idx="2">
                  <c:v>246992</c:v>
                </c:pt>
              </c:numCache>
            </c:numRef>
          </c:yVal>
          <c:smooth val="0"/>
        </c:ser>
        <c:ser>
          <c:idx val="1"/>
          <c:order val="3"/>
          <c:tx>
            <c:v>GE 1.5 MW Turbines</c:v>
          </c:tx>
          <c:spPr>
            <a:ln w="28575">
              <a:noFill/>
            </a:ln>
          </c:spPr>
          <c:marker>
            <c:symbol val="square"/>
            <c:size val="7"/>
            <c:spPr>
              <a:solidFill>
                <a:srgbClr val="FF00FF"/>
              </a:solidFill>
              <a:ln>
                <a:solidFill>
                  <a:srgbClr val="FF00FF"/>
                </a:solidFill>
                <a:prstDash val="solid"/>
              </a:ln>
            </c:spPr>
          </c:marker>
          <c:xVal>
            <c:numRef>
              <c:f>(Tower!$F$58,Tower!$F$61,Tower!$F$64)</c:f>
              <c:numCache>
                <c:formatCode>General</c:formatCode>
                <c:ptCount val="3"/>
                <c:pt idx="0">
                  <c:v>215689.97062302424</c:v>
                </c:pt>
                <c:pt idx="1">
                  <c:v>265464.5792283375</c:v>
                </c:pt>
                <c:pt idx="2">
                  <c:v>331830.72403542191</c:v>
                </c:pt>
              </c:numCache>
            </c:numRef>
          </c:xVal>
          <c:yVal>
            <c:numRef>
              <c:f>(Tower!$G$58,Tower!$G$61,Tower!$G$64)</c:f>
              <c:numCache>
                <c:formatCode>General</c:formatCode>
                <c:ptCount val="3"/>
                <c:pt idx="0">
                  <c:v>80641</c:v>
                </c:pt>
                <c:pt idx="1">
                  <c:v>109161</c:v>
                </c:pt>
                <c:pt idx="2">
                  <c:v>156161</c:v>
                </c:pt>
              </c:numCache>
            </c:numRef>
          </c:yVal>
          <c:smooth val="0"/>
        </c:ser>
        <c:ser>
          <c:idx val="2"/>
          <c:order val="4"/>
          <c:spPr>
            <a:ln w="28575">
              <a:noFill/>
            </a:ln>
          </c:spPr>
          <c:marker>
            <c:symbol val="square"/>
            <c:size val="7"/>
            <c:spPr>
              <a:solidFill>
                <a:srgbClr val="FF00FF"/>
              </a:solidFill>
              <a:ln>
                <a:solidFill>
                  <a:srgbClr val="FF00FF"/>
                </a:solidFill>
                <a:prstDash val="solid"/>
              </a:ln>
            </c:spPr>
          </c:marker>
          <c:xVal>
            <c:numRef>
              <c:f>(Tower!$F$59,Tower!$F$62,Tower!$F$65)</c:f>
              <c:numCache>
                <c:formatCode>General</c:formatCode>
                <c:ptCount val="3"/>
                <c:pt idx="0">
                  <c:v>253735.63940570087</c:v>
                </c:pt>
                <c:pt idx="1">
                  <c:v>312290.01773009339</c:v>
                </c:pt>
                <c:pt idx="2">
                  <c:v>390362.52216261672</c:v>
                </c:pt>
              </c:numCache>
            </c:numRef>
          </c:xVal>
          <c:yVal>
            <c:numRef>
              <c:f>(Tower!$G$59,Tower!$G$62,Tower!$G$65)</c:f>
              <c:numCache>
                <c:formatCode>General</c:formatCode>
                <c:ptCount val="3"/>
                <c:pt idx="0">
                  <c:v>80641</c:v>
                </c:pt>
                <c:pt idx="1">
                  <c:v>109161</c:v>
                </c:pt>
                <c:pt idx="2">
                  <c:v>156161</c:v>
                </c:pt>
              </c:numCache>
            </c:numRef>
          </c:yVal>
          <c:smooth val="0"/>
        </c:ser>
        <c:ser>
          <c:idx val="3"/>
          <c:order val="5"/>
          <c:spPr>
            <a:ln w="28575">
              <a:noFill/>
            </a:ln>
          </c:spPr>
          <c:marker>
            <c:symbol val="square"/>
            <c:size val="7"/>
            <c:spPr>
              <a:solidFill>
                <a:srgbClr val="FF00FF"/>
              </a:solidFill>
              <a:ln>
                <a:solidFill>
                  <a:srgbClr val="FF00FF"/>
                </a:solidFill>
                <a:prstDash val="solid"/>
              </a:ln>
            </c:spPr>
          </c:marker>
          <c:xVal>
            <c:numRef>
              <c:f>(Tower!$F$60,Tower!$F$63,Tower!$F$66)</c:f>
              <c:numCache>
                <c:formatCode>General</c:formatCode>
                <c:ptCount val="3"/>
                <c:pt idx="0">
                  <c:v>302680.6712009256</c:v>
                </c:pt>
                <c:pt idx="1">
                  <c:v>372530.05686267768</c:v>
                </c:pt>
                <c:pt idx="2">
                  <c:v>465662.5710783471</c:v>
                </c:pt>
              </c:numCache>
            </c:numRef>
          </c:xVal>
          <c:yVal>
            <c:numRef>
              <c:f>(Tower!$G$60,Tower!$G$63,Tower!$G$66)</c:f>
              <c:numCache>
                <c:formatCode>General</c:formatCode>
                <c:ptCount val="3"/>
                <c:pt idx="0">
                  <c:v>80641</c:v>
                </c:pt>
                <c:pt idx="1">
                  <c:v>109161</c:v>
                </c:pt>
                <c:pt idx="2">
                  <c:v>156161</c:v>
                </c:pt>
              </c:numCache>
            </c:numRef>
          </c:yVal>
          <c:smooth val="0"/>
        </c:ser>
        <c:ser>
          <c:idx val="6"/>
          <c:order val="6"/>
          <c:tx>
            <c:v>Clipper 2.5 MW Turbines</c:v>
          </c:tx>
          <c:spPr>
            <a:ln w="28575">
              <a:noFill/>
            </a:ln>
          </c:spPr>
          <c:marker>
            <c:symbol val="square"/>
            <c:size val="7"/>
            <c:spPr>
              <a:solidFill>
                <a:srgbClr val="CC99FF"/>
              </a:solidFill>
              <a:ln>
                <a:solidFill>
                  <a:srgbClr val="CC99FF"/>
                </a:solidFill>
                <a:prstDash val="solid"/>
              </a:ln>
            </c:spPr>
          </c:marker>
          <c:xVal>
            <c:numRef>
              <c:f>Tower!$D$81:$D$82</c:f>
              <c:numCache>
                <c:formatCode>General</c:formatCode>
                <c:ptCount val="2"/>
                <c:pt idx="0">
                  <c:v>543432.69721796247</c:v>
                </c:pt>
                <c:pt idx="1">
                  <c:v>499278.79056900297</c:v>
                </c:pt>
              </c:numCache>
            </c:numRef>
          </c:xVal>
          <c:yVal>
            <c:numRef>
              <c:f>Tower!$G$81:$G$82</c:f>
              <c:numCache>
                <c:formatCode>General</c:formatCode>
                <c:ptCount val="2"/>
                <c:pt idx="0">
                  <c:v>204000</c:v>
                </c:pt>
                <c:pt idx="1">
                  <c:v>181500</c:v>
                </c:pt>
              </c:numCache>
            </c:numRef>
          </c:yVal>
          <c:smooth val="0"/>
        </c:ser>
        <c:ser>
          <c:idx val="14"/>
          <c:order val="7"/>
          <c:tx>
            <c:v>Vestas V90 Turbines</c:v>
          </c:tx>
          <c:spPr>
            <a:ln w="28575">
              <a:noFill/>
            </a:ln>
          </c:spPr>
          <c:marker>
            <c:symbol val="square"/>
            <c:size val="7"/>
            <c:spPr>
              <a:solidFill>
                <a:srgbClr val="800080"/>
              </a:solidFill>
              <a:ln>
                <a:solidFill>
                  <a:srgbClr val="800080"/>
                </a:solidFill>
                <a:prstDash val="solid"/>
              </a:ln>
            </c:spPr>
          </c:marker>
          <c:xVal>
            <c:numRef>
              <c:f>Tower!$D$86:$D$101</c:f>
              <c:numCache>
                <c:formatCode>General</c:formatCode>
                <c:ptCount val="16"/>
                <c:pt idx="0">
                  <c:v>301592.89474462013</c:v>
                </c:pt>
                <c:pt idx="1">
                  <c:v>336778.73246482585</c:v>
                </c:pt>
                <c:pt idx="2">
                  <c:v>392070.7631680062</c:v>
                </c:pt>
                <c:pt idx="3">
                  <c:v>502654.82457436691</c:v>
                </c:pt>
                <c:pt idx="4">
                  <c:v>301592.89474462013</c:v>
                </c:pt>
                <c:pt idx="5">
                  <c:v>336778.73246482585</c:v>
                </c:pt>
                <c:pt idx="6">
                  <c:v>392070.7631680062</c:v>
                </c:pt>
                <c:pt idx="7">
                  <c:v>311580.01779038209</c:v>
                </c:pt>
                <c:pt idx="8">
                  <c:v>361749.68167188426</c:v>
                </c:pt>
                <c:pt idx="9">
                  <c:v>369671.20754791092</c:v>
                </c:pt>
                <c:pt idx="10">
                  <c:v>411919.34555338649</c:v>
                </c:pt>
                <c:pt idx="11">
                  <c:v>413512.13302875648</c:v>
                </c:pt>
                <c:pt idx="12">
                  <c:v>508938.00988154649</c:v>
                </c:pt>
                <c:pt idx="13">
                  <c:v>572555.26111673971</c:v>
                </c:pt>
                <c:pt idx="14">
                  <c:v>667981.13796952972</c:v>
                </c:pt>
                <c:pt idx="15">
                  <c:v>1017876.019763093</c:v>
                </c:pt>
              </c:numCache>
            </c:numRef>
          </c:xVal>
          <c:yVal>
            <c:numRef>
              <c:f>Tower!$G$86:$G$101</c:f>
              <c:numCache>
                <c:formatCode>0</c:formatCode>
                <c:ptCount val="16"/>
                <c:pt idx="0">
                  <c:v>125000</c:v>
                </c:pt>
                <c:pt idx="1">
                  <c:v>145000</c:v>
                </c:pt>
                <c:pt idx="2">
                  <c:v>200000</c:v>
                </c:pt>
                <c:pt idx="3">
                  <c:v>225000</c:v>
                </c:pt>
                <c:pt idx="4">
                  <c:v>130000</c:v>
                </c:pt>
                <c:pt idx="5">
                  <c:v>160000</c:v>
                </c:pt>
                <c:pt idx="6">
                  <c:v>205000</c:v>
                </c:pt>
                <c:pt idx="7">
                  <c:v>72000</c:v>
                </c:pt>
                <c:pt idx="8">
                  <c:v>103000</c:v>
                </c:pt>
                <c:pt idx="9">
                  <c:v>106000</c:v>
                </c:pt>
                <c:pt idx="10">
                  <c:v>127000</c:v>
                </c:pt>
                <c:pt idx="11">
                  <c:v>100000</c:v>
                </c:pt>
                <c:pt idx="12">
                  <c:v>160000</c:v>
                </c:pt>
                <c:pt idx="13">
                  <c:v>170000</c:v>
                </c:pt>
                <c:pt idx="14">
                  <c:v>285000</c:v>
                </c:pt>
                <c:pt idx="15">
                  <c:v>220000</c:v>
                </c:pt>
              </c:numCache>
            </c:numRef>
          </c:yVal>
          <c:smooth val="0"/>
        </c:ser>
        <c:ser>
          <c:idx val="15"/>
          <c:order val="8"/>
          <c:tx>
            <c:v>Siemens 1.3 - 3.6 MW Turbines</c:v>
          </c:tx>
          <c:spPr>
            <a:ln w="28575">
              <a:noFill/>
            </a:ln>
          </c:spPr>
          <c:marker>
            <c:symbol val="square"/>
            <c:size val="7"/>
            <c:spPr>
              <a:solidFill>
                <a:srgbClr val="FF99CC"/>
              </a:solidFill>
              <a:ln>
                <a:solidFill>
                  <a:srgbClr val="FF99CC"/>
                </a:solidFill>
                <a:prstDash val="solid"/>
              </a:ln>
            </c:spPr>
          </c:marker>
          <c:xVal>
            <c:numRef>
              <c:f>Tower!$D$125:$D$137</c:f>
              <c:numCache>
                <c:formatCode>General</c:formatCode>
                <c:ptCount val="13"/>
                <c:pt idx="0">
                  <c:v>135858.17430449062</c:v>
                </c:pt>
                <c:pt idx="1">
                  <c:v>147934.45646488978</c:v>
                </c:pt>
                <c:pt idx="2">
                  <c:v>181144.23240598748</c:v>
                </c:pt>
                <c:pt idx="3">
                  <c:v>205296.7967267858</c:v>
                </c:pt>
                <c:pt idx="4">
                  <c:v>426613.20271275676</c:v>
                </c:pt>
                <c:pt idx="5">
                  <c:v>319959.90203456755</c:v>
                </c:pt>
                <c:pt idx="6">
                  <c:v>319959.90203456755</c:v>
                </c:pt>
                <c:pt idx="7">
                  <c:v>475503.61006571713</c:v>
                </c:pt>
                <c:pt idx="8">
                  <c:v>543432.69721796247</c:v>
                </c:pt>
                <c:pt idx="9">
                  <c:v>407574.5229134718</c:v>
                </c:pt>
                <c:pt idx="10">
                  <c:v>407574.5229134718</c:v>
                </c:pt>
                <c:pt idx="11">
                  <c:v>719361.88581899088</c:v>
                </c:pt>
                <c:pt idx="12">
                  <c:v>899202.3572737386</c:v>
                </c:pt>
              </c:numCache>
            </c:numRef>
          </c:xVal>
          <c:yVal>
            <c:numRef>
              <c:f>Tower!$E$125:$E$137</c:f>
              <c:numCache>
                <c:formatCode>General</c:formatCode>
                <c:ptCount val="13"/>
                <c:pt idx="0">
                  <c:v>48000</c:v>
                </c:pt>
                <c:pt idx="1">
                  <c:v>54000</c:v>
                </c:pt>
                <c:pt idx="2">
                  <c:v>75000</c:v>
                </c:pt>
                <c:pt idx="3">
                  <c:v>94000</c:v>
                </c:pt>
                <c:pt idx="4">
                  <c:v>158000</c:v>
                </c:pt>
                <c:pt idx="5">
                  <c:v>81000</c:v>
                </c:pt>
                <c:pt idx="6">
                  <c:v>98000</c:v>
                </c:pt>
                <c:pt idx="7">
                  <c:v>134000</c:v>
                </c:pt>
                <c:pt idx="8">
                  <c:v>162000</c:v>
                </c:pt>
                <c:pt idx="9">
                  <c:v>81000</c:v>
                </c:pt>
                <c:pt idx="10">
                  <c:v>98000</c:v>
                </c:pt>
                <c:pt idx="11">
                  <c:v>250000</c:v>
                </c:pt>
                <c:pt idx="12">
                  <c:v>350000</c:v>
                </c:pt>
              </c:numCache>
            </c:numRef>
          </c:yVal>
          <c:smooth val="0"/>
        </c:ser>
        <c:ser>
          <c:idx val="7"/>
          <c:order val="9"/>
          <c:spPr>
            <a:ln w="12700">
              <a:solidFill>
                <a:srgbClr val="0000FF"/>
              </a:solidFill>
              <a:prstDash val="solid"/>
            </a:ln>
          </c:spPr>
          <c:marker>
            <c:symbol val="none"/>
          </c:marker>
          <c:xVal>
            <c:numRef>
              <c:f>Tower!$D$123:$D$123</c:f>
              <c:numCache>
                <c:formatCode>General</c:formatCode>
                <c:ptCount val="1"/>
              </c:numCache>
            </c:numRef>
          </c:xVal>
          <c:yVal>
            <c:numRef>
              <c:f>Tower!$E$123:$E$123</c:f>
              <c:numCache>
                <c:formatCode>General</c:formatCode>
                <c:ptCount val="1"/>
              </c:numCache>
            </c:numRef>
          </c:yVal>
          <c:smooth val="0"/>
        </c:ser>
        <c:ser>
          <c:idx val="8"/>
          <c:order val="10"/>
          <c:spPr>
            <a:ln w="12700">
              <a:solidFill>
                <a:srgbClr val="00CCFF"/>
              </a:solidFill>
              <a:prstDash val="solid"/>
            </a:ln>
          </c:spPr>
          <c:marker>
            <c:symbol val="none"/>
          </c:marker>
          <c:xVal>
            <c:numRef>
              <c:f>Tower!$D$123:$D$123</c:f>
              <c:numCache>
                <c:formatCode>General</c:formatCode>
                <c:ptCount val="1"/>
              </c:numCache>
            </c:numRef>
          </c:xVal>
          <c:yVal>
            <c:numRef>
              <c:f>Tower!$F$123:$F$123</c:f>
              <c:numCache>
                <c:formatCode>General</c:formatCode>
                <c:ptCount val="1"/>
              </c:numCache>
            </c:numRef>
          </c:yVal>
          <c:smooth val="0"/>
        </c:ser>
        <c:ser>
          <c:idx val="10"/>
          <c:order val="11"/>
          <c:tx>
            <c:v>Additional turbines from WindPACT</c:v>
          </c:tx>
          <c:spPr>
            <a:ln w="28575">
              <a:noFill/>
            </a:ln>
          </c:spPr>
          <c:marker>
            <c:symbol val="square"/>
            <c:size val="7"/>
            <c:spPr>
              <a:solidFill>
                <a:srgbClr val="666699"/>
              </a:solidFill>
              <a:ln>
                <a:solidFill>
                  <a:srgbClr val="666699"/>
                </a:solidFill>
                <a:prstDash val="solid"/>
              </a:ln>
            </c:spPr>
          </c:marker>
          <c:xVal>
            <c:numRef>
              <c:f>Tower!$D$107:$D$115</c:f>
              <c:numCache>
                <c:formatCode>General</c:formatCode>
                <c:ptCount val="9"/>
                <c:pt idx="0">
                  <c:v>400232.27530684066</c:v>
                </c:pt>
                <c:pt idx="1">
                  <c:v>455437.66873861657</c:v>
                </c:pt>
                <c:pt idx="2">
                  <c:v>402123.85965949355</c:v>
                </c:pt>
                <c:pt idx="3">
                  <c:v>160315.47311268712</c:v>
                </c:pt>
                <c:pt idx="4">
                  <c:v>195092.90378792616</c:v>
                </c:pt>
                <c:pt idx="5">
                  <c:v>98174.770424681032</c:v>
                </c:pt>
                <c:pt idx="6">
                  <c:v>127958.63957703908</c:v>
                </c:pt>
                <c:pt idx="7">
                  <c:v>273695.55198074278</c:v>
                </c:pt>
                <c:pt idx="8">
                  <c:v>112771.39529142262</c:v>
                </c:pt>
              </c:numCache>
            </c:numRef>
          </c:xVal>
          <c:yVal>
            <c:numRef>
              <c:f>Tower!$E$107:$E$115</c:f>
              <c:numCache>
                <c:formatCode>General</c:formatCode>
                <c:ptCount val="9"/>
                <c:pt idx="0">
                  <c:v>115700</c:v>
                </c:pt>
                <c:pt idx="1">
                  <c:v>159600</c:v>
                </c:pt>
                <c:pt idx="2">
                  <c:v>179300</c:v>
                </c:pt>
                <c:pt idx="3">
                  <c:v>107000</c:v>
                </c:pt>
                <c:pt idx="4">
                  <c:v>104000</c:v>
                </c:pt>
                <c:pt idx="5">
                  <c:v>109000</c:v>
                </c:pt>
                <c:pt idx="6">
                  <c:v>58740</c:v>
                </c:pt>
                <c:pt idx="7">
                  <c:v>145000</c:v>
                </c:pt>
                <c:pt idx="8">
                  <c:v>50700</c:v>
                </c:pt>
              </c:numCache>
            </c:numRef>
          </c:yVal>
          <c:smooth val="0"/>
        </c:ser>
        <c:ser>
          <c:idx val="11"/>
          <c:order val="12"/>
          <c:tx>
            <c:v>Offshore 5 MW models</c:v>
          </c:tx>
          <c:spPr>
            <a:ln w="28575">
              <a:noFill/>
            </a:ln>
          </c:spPr>
          <c:marker>
            <c:symbol val="diamond"/>
            <c:size val="7"/>
            <c:spPr>
              <a:noFill/>
              <a:ln>
                <a:solidFill>
                  <a:srgbClr val="FF6600"/>
                </a:solidFill>
                <a:prstDash val="solid"/>
              </a:ln>
            </c:spPr>
          </c:marker>
          <c:xVal>
            <c:numRef>
              <c:f>Tower!$D$119:$D$121</c:f>
              <c:numCache>
                <c:formatCode>General</c:formatCode>
                <c:ptCount val="3"/>
                <c:pt idx="0">
                  <c:v>1194580.7105106602</c:v>
                </c:pt>
                <c:pt idx="1">
                  <c:v>874870.72217168566</c:v>
                </c:pt>
                <c:pt idx="2">
                  <c:v>1122208.31178881</c:v>
                </c:pt>
              </c:numCache>
            </c:numRef>
          </c:xVal>
          <c:yVal>
            <c:numRef>
              <c:f>Tower!$E$119:$E$121</c:f>
              <c:numCache>
                <c:formatCode>General</c:formatCode>
                <c:ptCount val="3"/>
                <c:pt idx="0">
                  <c:v>345370.6</c:v>
                </c:pt>
                <c:pt idx="1">
                  <c:v>540294.5</c:v>
                </c:pt>
                <c:pt idx="2">
                  <c:v>347460</c:v>
                </c:pt>
              </c:numCache>
            </c:numRef>
          </c:yVal>
          <c:smooth val="0"/>
        </c:ser>
        <c:ser>
          <c:idx val="12"/>
          <c:order val="13"/>
          <c:spPr>
            <a:ln w="12700">
              <a:solidFill>
                <a:srgbClr val="99CCFF"/>
              </a:solidFill>
              <a:prstDash val="solid"/>
            </a:ln>
          </c:spPr>
          <c:marker>
            <c:symbol val="none"/>
          </c:marker>
          <c:xVal>
            <c:numRef>
              <c:f>Tower!#REF!</c:f>
              <c:numCache>
                <c:formatCode>General</c:formatCode>
                <c:ptCount val="1"/>
                <c:pt idx="0">
                  <c:v>1</c:v>
                </c:pt>
              </c:numCache>
            </c:numRef>
          </c:xVal>
          <c:yVal>
            <c:numRef>
              <c:f>Tower!#REF!</c:f>
              <c:numCache>
                <c:formatCode>General</c:formatCode>
                <c:ptCount val="1"/>
                <c:pt idx="0">
                  <c:v>1</c:v>
                </c:pt>
              </c:numCache>
            </c:numRef>
          </c:yVal>
          <c:smooth val="0"/>
        </c:ser>
        <c:ser>
          <c:idx val="13"/>
          <c:order val="14"/>
          <c:spPr>
            <a:ln w="12700">
              <a:solidFill>
                <a:srgbClr val="FF99CC"/>
              </a:solidFill>
              <a:prstDash val="solid"/>
            </a:ln>
          </c:spPr>
          <c:marker>
            <c:symbol val="none"/>
          </c:marker>
          <c:xVal>
            <c:numRef>
              <c:f>Tower!#REF!</c:f>
              <c:numCache>
                <c:formatCode>General</c:formatCode>
                <c:ptCount val="1"/>
                <c:pt idx="0">
                  <c:v>1</c:v>
                </c:pt>
              </c:numCache>
            </c:numRef>
          </c:xVal>
          <c:yVal>
            <c:numRef>
              <c:f>Tower!#REF!</c:f>
              <c:numCache>
                <c:formatCode>General</c:formatCode>
                <c:ptCount val="1"/>
                <c:pt idx="0">
                  <c:v>1</c:v>
                </c:pt>
              </c:numCache>
            </c:numRef>
          </c:yVal>
          <c:smooth val="0"/>
        </c:ser>
        <c:ser>
          <c:idx val="9"/>
          <c:order val="15"/>
          <c:tx>
            <c:v>Current Tower </c:v>
          </c:tx>
          <c:spPr>
            <a:ln w="28575">
              <a:noFill/>
            </a:ln>
          </c:spPr>
          <c:marker>
            <c:symbol val="circle"/>
            <c:size val="10"/>
            <c:spPr>
              <a:solidFill>
                <a:srgbClr val="00FF00"/>
              </a:solidFill>
              <a:ln>
                <a:solidFill>
                  <a:srgbClr val="00FF00"/>
                </a:solidFill>
                <a:prstDash val="solid"/>
              </a:ln>
            </c:spPr>
          </c:marker>
          <c:xVal>
            <c:numRef>
              <c:f>Tower!$D$10</c:f>
              <c:numCache>
                <c:formatCode>General</c:formatCode>
                <c:ptCount val="1"/>
                <c:pt idx="0">
                  <c:v>609877.96853381465</c:v>
                </c:pt>
              </c:numCache>
            </c:numRef>
          </c:xVal>
          <c:yVal>
            <c:numRef>
              <c:f>Tower!$B$14</c:f>
              <c:numCache>
                <c:formatCode>0</c:formatCode>
                <c:ptCount val="1"/>
                <c:pt idx="0">
                  <c:v>166068.35858562432</c:v>
                </c:pt>
              </c:numCache>
            </c:numRef>
          </c:yVal>
          <c:smooth val="0"/>
        </c:ser>
        <c:dLbls>
          <c:showLegendKey val="0"/>
          <c:showVal val="0"/>
          <c:showCatName val="0"/>
          <c:showSerName val="0"/>
          <c:showPercent val="0"/>
          <c:showBubbleSize val="0"/>
        </c:dLbls>
        <c:axId val="69442176"/>
        <c:axId val="69452928"/>
      </c:scatterChart>
      <c:valAx>
        <c:axId val="69442176"/>
        <c:scaling>
          <c:orientation val="minMax"/>
          <c:max val="1200000"/>
          <c:min val="0"/>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t>Swept area * height (m^3)</a:t>
                </a:r>
              </a:p>
            </c:rich>
          </c:tx>
          <c:layout>
            <c:manualLayout>
              <c:xMode val="edge"/>
              <c:yMode val="edge"/>
              <c:x val="0.43101506268387102"/>
              <c:y val="0.951913600963814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9452928"/>
        <c:crosses val="autoZero"/>
        <c:crossBetween val="midCat"/>
      </c:valAx>
      <c:valAx>
        <c:axId val="69452928"/>
        <c:scaling>
          <c:orientation val="minMax"/>
          <c:max val="500000"/>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t>Total mass (kg)</a:t>
                </a:r>
              </a:p>
            </c:rich>
          </c:tx>
          <c:layout>
            <c:manualLayout>
              <c:xMode val="edge"/>
              <c:yMode val="edge"/>
              <c:x val="1.8244013683010301E-2"/>
              <c:y val="0.449180786827877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9442176"/>
        <c:crosses val="autoZero"/>
        <c:crossBetween val="midCat"/>
      </c:valAx>
      <c:spPr>
        <a:noFill/>
        <a:ln w="25400">
          <a:noFill/>
        </a:ln>
      </c:spPr>
    </c:plotArea>
    <c:legend>
      <c:legendPos val="r"/>
      <c:legendEntry>
        <c:idx val="4"/>
        <c:delete val="1"/>
      </c:legendEntry>
      <c:legendEntry>
        <c:idx val="5"/>
        <c:delete val="1"/>
      </c:legendEntry>
      <c:legendEntry>
        <c:idx val="9"/>
        <c:delete val="1"/>
      </c:legendEntry>
      <c:legendEntry>
        <c:idx val="10"/>
        <c:delete val="1"/>
      </c:legendEntry>
      <c:legendEntry>
        <c:idx val="13"/>
        <c:delete val="1"/>
      </c:legendEntry>
      <c:legendEntry>
        <c:idx val="14"/>
        <c:delete val="1"/>
      </c:legendEntry>
      <c:legendEntry>
        <c:idx val="16"/>
        <c:delete val="1"/>
      </c:legendEntry>
      <c:legendEntry>
        <c:idx val="17"/>
        <c:delete val="1"/>
      </c:legendEntry>
      <c:legendEntry>
        <c:idx val="18"/>
        <c:delete val="1"/>
      </c:legendEntry>
      <c:layout>
        <c:manualLayout>
          <c:xMode val="edge"/>
          <c:yMode val="edge"/>
          <c:wMode val="edge"/>
          <c:hMode val="edge"/>
          <c:x val="0.141391225754705"/>
          <c:y val="0.162841759534157"/>
          <c:w val="0.48916797600984302"/>
          <c:h val="0.35956330048907797"/>
        </c:manualLayout>
      </c:layout>
      <c:overlay val="0"/>
      <c:spPr>
        <a:solidFill>
          <a:srgbClr val="FFFFFF"/>
        </a:solidFill>
        <a:ln w="3175">
          <a:solidFill>
            <a:srgbClr val="000000"/>
          </a:solidFill>
          <a:prstDash val="solid"/>
        </a:ln>
      </c:spPr>
      <c:txPr>
        <a:bodyPr/>
        <a:lstStyle/>
        <a:p>
          <a:pPr>
            <a:defRPr sz="65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orientation="landscape"/>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Cost vs Hub Height*Swept Area</a:t>
            </a:r>
          </a:p>
        </c:rich>
      </c:tx>
      <c:layout>
        <c:manualLayout>
          <c:xMode val="edge"/>
          <c:yMode val="edge"/>
          <c:x val="0.17678127964875101"/>
          <c:y val="3.4700315457413498E-2"/>
        </c:manualLayout>
      </c:layout>
      <c:overlay val="0"/>
      <c:spPr>
        <a:noFill/>
        <a:ln w="25400">
          <a:noFill/>
        </a:ln>
      </c:spPr>
    </c:title>
    <c:autoTitleDeleted val="0"/>
    <c:plotArea>
      <c:layout>
        <c:manualLayout>
          <c:layoutTarget val="inner"/>
          <c:xMode val="edge"/>
          <c:yMode val="edge"/>
          <c:x val="0.27440668598321999"/>
          <c:y val="0.21135646687697299"/>
          <c:w val="0.62005356928900202"/>
          <c:h val="0.51735015772870696"/>
        </c:manualLayout>
      </c:layout>
      <c:scatterChart>
        <c:scatterStyle val="smoothMarker"/>
        <c:varyColors val="0"/>
        <c:ser>
          <c:idx val="0"/>
          <c:order val="0"/>
          <c:tx>
            <c:v>Baseline Cost Data</c:v>
          </c:tx>
          <c:spPr>
            <a:ln w="12700">
              <a:solidFill>
                <a:srgbClr val="000080"/>
              </a:solidFill>
              <a:prstDash val="solid"/>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power"/>
            <c:dispRSqr val="1"/>
            <c:dispEq val="1"/>
            <c:trendlineLbl>
              <c:layout>
                <c:manualLayout>
                  <c:xMode val="edge"/>
                  <c:yMode val="edge"/>
                  <c:x val="0.46965759716358502"/>
                  <c:y val="0.107255520504732"/>
                </c:manualLayout>
              </c:layout>
              <c:numFmt formatCode="General"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trendlineLbl>
          </c:trendline>
          <c:xVal>
            <c:numRef>
              <c:f>'L-B Foundations'!$E$23:$E$26</c:f>
              <c:numCache>
                <c:formatCode>0</c:formatCode>
                <c:ptCount val="4"/>
                <c:pt idx="0">
                  <c:v>117809.72450961724</c:v>
                </c:pt>
                <c:pt idx="1">
                  <c:v>323269.88405438972</c:v>
                </c:pt>
                <c:pt idx="2">
                  <c:v>916024.80053554848</c:v>
                </c:pt>
                <c:pt idx="3">
                  <c:v>1981666.3804019841</c:v>
                </c:pt>
              </c:numCache>
            </c:numRef>
          </c:xVal>
          <c:yVal>
            <c:numRef>
              <c:f>'L-B Foundations'!$F$23:$F$26</c:f>
              <c:numCache>
                <c:formatCode>"$"#,##0</c:formatCode>
                <c:ptCount val="4"/>
                <c:pt idx="0">
                  <c:v>34919</c:v>
                </c:pt>
                <c:pt idx="1">
                  <c:v>48513</c:v>
                </c:pt>
                <c:pt idx="2">
                  <c:v>76765</c:v>
                </c:pt>
                <c:pt idx="3">
                  <c:v>108094</c:v>
                </c:pt>
              </c:numCache>
            </c:numRef>
          </c:yVal>
          <c:smooth val="1"/>
        </c:ser>
        <c:ser>
          <c:idx val="1"/>
          <c:order val="1"/>
          <c:tx>
            <c:v>Current Design</c:v>
          </c:tx>
          <c:spPr>
            <a:ln w="12700">
              <a:solidFill>
                <a:srgbClr val="FF00FF"/>
              </a:solidFill>
              <a:prstDash val="solid"/>
            </a:ln>
          </c:spPr>
          <c:marker>
            <c:symbol val="circle"/>
            <c:size val="8"/>
            <c:spPr>
              <a:solidFill>
                <a:srgbClr val="00FF00"/>
              </a:solidFill>
              <a:ln>
                <a:solidFill>
                  <a:srgbClr val="00FF00"/>
                </a:solidFill>
                <a:prstDash val="solid"/>
              </a:ln>
            </c:spPr>
          </c:marker>
          <c:xVal>
            <c:numRef>
              <c:f>'L-B Foundations'!$E$28</c:f>
              <c:numCache>
                <c:formatCode>0</c:formatCode>
                <c:ptCount val="1"/>
                <c:pt idx="0">
                  <c:v>609877.96853381465</c:v>
                </c:pt>
              </c:numCache>
            </c:numRef>
          </c:xVal>
          <c:yVal>
            <c:numRef>
              <c:f>'L-B Foundations'!$F$28</c:f>
              <c:numCache>
                <c:formatCode>"$"#,##0</c:formatCode>
                <c:ptCount val="1"/>
                <c:pt idx="0">
                  <c:v>65658.213964766983</c:v>
                </c:pt>
              </c:numCache>
            </c:numRef>
          </c:yVal>
          <c:smooth val="1"/>
        </c:ser>
        <c:dLbls>
          <c:showLegendKey val="0"/>
          <c:showVal val="0"/>
          <c:showCatName val="0"/>
          <c:showSerName val="0"/>
          <c:showPercent val="0"/>
          <c:showBubbleSize val="0"/>
        </c:dLbls>
        <c:axId val="69619712"/>
        <c:axId val="69622016"/>
      </c:scatterChart>
      <c:valAx>
        <c:axId val="69619712"/>
        <c:scaling>
          <c:orientation val="minMax"/>
        </c:scaling>
        <c:delete val="0"/>
        <c:axPos val="b"/>
        <c:title>
          <c:tx>
            <c:rich>
              <a:bodyPr/>
              <a:lstStyle/>
              <a:p>
                <a:pPr>
                  <a:defRPr sz="1000" b="1" i="0" u="none" strike="noStrike" baseline="0">
                    <a:solidFill>
                      <a:srgbClr val="000000"/>
                    </a:solidFill>
                    <a:latin typeface="Arial"/>
                    <a:ea typeface="Arial"/>
                    <a:cs typeface="Arial"/>
                  </a:defRPr>
                </a:pPr>
                <a:r>
                  <a:t>Hub Height*Swept Area</a:t>
                </a:r>
              </a:p>
            </c:rich>
          </c:tx>
          <c:layout>
            <c:manualLayout>
              <c:xMode val="edge"/>
              <c:yMode val="edge"/>
              <c:x val="0.38258630599935201"/>
              <c:y val="0.88012618296529699"/>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9622016"/>
        <c:crosses val="autoZero"/>
        <c:crossBetween val="midCat"/>
      </c:valAx>
      <c:valAx>
        <c:axId val="69622016"/>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t>Cost in $</a:t>
                </a:r>
              </a:p>
            </c:rich>
          </c:tx>
          <c:layout>
            <c:manualLayout>
              <c:xMode val="edge"/>
              <c:yMode val="edge"/>
              <c:x val="4.2216358839050103E-2"/>
              <c:y val="0.37854889589905699"/>
            </c:manualLayout>
          </c:layout>
          <c:overlay val="0"/>
          <c:spPr>
            <a:noFill/>
            <a:ln w="25400">
              <a:noFill/>
            </a:ln>
          </c:spPr>
        </c:title>
        <c:numFmt formatCode="&quot;$&quot;#,##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9619712"/>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1" i="0" u="none" strike="noStrike" baseline="0">
                <a:solidFill>
                  <a:srgbClr val="000000"/>
                </a:solidFill>
                <a:latin typeface="Arial"/>
                <a:ea typeface="Arial"/>
                <a:cs typeface="Arial"/>
              </a:defRPr>
            </a:pPr>
            <a:r>
              <a:t>Machine Rating vs Install Cost</a:t>
            </a:r>
          </a:p>
        </c:rich>
      </c:tx>
      <c:layout>
        <c:manualLayout>
          <c:xMode val="edge"/>
          <c:yMode val="edge"/>
          <c:x val="0.194384675997574"/>
          <c:y val="4.20168067226891E-2"/>
        </c:manualLayout>
      </c:layout>
      <c:overlay val="0"/>
      <c:spPr>
        <a:noFill/>
        <a:ln w="25400">
          <a:noFill/>
        </a:ln>
      </c:spPr>
    </c:title>
    <c:autoTitleDeleted val="0"/>
    <c:plotArea>
      <c:layout>
        <c:manualLayout>
          <c:layoutTarget val="inner"/>
          <c:xMode val="edge"/>
          <c:yMode val="edge"/>
          <c:x val="0.36717101356959297"/>
          <c:y val="0.28991656117992298"/>
          <c:w val="0.55723600882914703"/>
          <c:h val="0.37395034702917301"/>
        </c:manualLayout>
      </c:layout>
      <c:scatterChart>
        <c:scatterStyle val="lineMarker"/>
        <c:varyColors val="0"/>
        <c:ser>
          <c:idx val="2"/>
          <c:order val="0"/>
          <c:spPr>
            <a:ln w="28575">
              <a:noFill/>
            </a:ln>
          </c:spPr>
          <c:marker>
            <c:symbol val="triangle"/>
            <c:size val="5"/>
            <c:spPr>
              <a:solidFill>
                <a:srgbClr val="FFFF00"/>
              </a:solidFill>
              <a:ln>
                <a:solidFill>
                  <a:srgbClr val="FFFF00"/>
                </a:solidFill>
                <a:prstDash val="solid"/>
              </a:ln>
            </c:spPr>
          </c:marker>
          <c:trendline>
            <c:spPr>
              <a:ln w="25400">
                <a:solidFill>
                  <a:srgbClr val="000000"/>
                </a:solidFill>
                <a:prstDash val="solid"/>
              </a:ln>
            </c:spPr>
            <c:trendlineType val="power"/>
            <c:dispRSqr val="1"/>
            <c:dispEq val="1"/>
            <c:trendlineLbl>
              <c:layout>
                <c:manualLayout>
                  <c:xMode val="edge"/>
                  <c:yMode val="edge"/>
                  <c:x val="0.58099413323659299"/>
                  <c:y val="0.197479396745742"/>
                </c:manualLayout>
              </c:layout>
              <c:numFmt formatCode="General" sourceLinked="0"/>
              <c:spPr>
                <a:noFill/>
                <a:ln w="25400">
                  <a:noFill/>
                </a:ln>
              </c:spPr>
              <c:txPr>
                <a:bodyPr/>
                <a:lstStyle/>
                <a:p>
                  <a:pPr>
                    <a:defRPr sz="1200" b="0" i="0" u="none" strike="noStrike" baseline="0">
                      <a:solidFill>
                        <a:srgbClr val="000000"/>
                      </a:solidFill>
                      <a:latin typeface="Arial"/>
                      <a:ea typeface="Arial"/>
                      <a:cs typeface="Arial"/>
                    </a:defRPr>
                  </a:pPr>
                  <a:endParaRPr lang="en-US"/>
                </a:p>
              </c:txPr>
            </c:trendlineLbl>
          </c:trendline>
          <c:xVal>
            <c:numRef>
              <c:f>'L-B Assembly, Install'!$A$22:$A$25</c:f>
              <c:numCache>
                <c:formatCode>General</c:formatCode>
                <c:ptCount val="4"/>
                <c:pt idx="0">
                  <c:v>750</c:v>
                </c:pt>
                <c:pt idx="1">
                  <c:v>1500</c:v>
                </c:pt>
                <c:pt idx="2">
                  <c:v>3000</c:v>
                </c:pt>
                <c:pt idx="3">
                  <c:v>5000</c:v>
                </c:pt>
              </c:numCache>
            </c:numRef>
          </c:xVal>
          <c:yVal>
            <c:numRef>
              <c:f>'L-B Assembly, Install'!$E$22:$E$25</c:f>
              <c:numCache>
                <c:formatCode>"$"#,##0</c:formatCode>
                <c:ptCount val="4"/>
                <c:pt idx="0">
                  <c:v>24374</c:v>
                </c:pt>
                <c:pt idx="1">
                  <c:v>50713</c:v>
                </c:pt>
                <c:pt idx="2">
                  <c:v>112714</c:v>
                </c:pt>
                <c:pt idx="3">
                  <c:v>224790</c:v>
                </c:pt>
              </c:numCache>
            </c:numRef>
          </c:yVal>
          <c:smooth val="0"/>
        </c:ser>
        <c:dLbls>
          <c:showLegendKey val="0"/>
          <c:showVal val="0"/>
          <c:showCatName val="0"/>
          <c:showSerName val="0"/>
          <c:showPercent val="0"/>
          <c:showBubbleSize val="0"/>
        </c:dLbls>
        <c:axId val="69647360"/>
        <c:axId val="69342336"/>
      </c:scatterChart>
      <c:valAx>
        <c:axId val="69647360"/>
        <c:scaling>
          <c:orientation val="minMax"/>
        </c:scaling>
        <c:delete val="0"/>
        <c:axPos val="b"/>
        <c:title>
          <c:tx>
            <c:rich>
              <a:bodyPr/>
              <a:lstStyle/>
              <a:p>
                <a:pPr>
                  <a:defRPr sz="1200" b="1" i="0" u="none" strike="noStrike" baseline="0">
                    <a:solidFill>
                      <a:srgbClr val="000000"/>
                    </a:solidFill>
                    <a:latin typeface="Arial"/>
                    <a:ea typeface="Arial"/>
                    <a:cs typeface="Arial"/>
                  </a:defRPr>
                </a:pPr>
                <a:r>
                  <a:t>Machine Rating in kWs</a:t>
                </a:r>
              </a:p>
            </c:rich>
          </c:tx>
          <c:layout>
            <c:manualLayout>
              <c:xMode val="edge"/>
              <c:yMode val="edge"/>
              <c:x val="0.45356416840983399"/>
              <c:y val="0.8151278149054920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9342336"/>
        <c:crosses val="autoZero"/>
        <c:crossBetween val="midCat"/>
      </c:valAx>
      <c:valAx>
        <c:axId val="69342336"/>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t>Assembly &amp; Installation Cost in $2002</a:t>
                </a:r>
              </a:p>
            </c:rich>
          </c:tx>
          <c:layout>
            <c:manualLayout>
              <c:xMode val="edge"/>
              <c:yMode val="edge"/>
              <c:x val="3.4557235421166503E-2"/>
              <c:y val="0.20588279406250701"/>
            </c:manualLayout>
          </c:layout>
          <c:overlay val="0"/>
          <c:spPr>
            <a:noFill/>
            <a:ln w="25400">
              <a:noFill/>
            </a:ln>
          </c:spPr>
        </c:title>
        <c:numFmt formatCode="&quot;$&quot;#,##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964736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75" b="1" i="0" u="none" strike="noStrike" baseline="0">
                <a:solidFill>
                  <a:srgbClr val="000000"/>
                </a:solidFill>
                <a:latin typeface="Arial"/>
                <a:ea typeface="Arial"/>
                <a:cs typeface="Arial"/>
              </a:defRPr>
            </a:pPr>
            <a:r>
              <a:t>Rotor Diameter vs Install Cost</a:t>
            </a:r>
          </a:p>
        </c:rich>
      </c:tx>
      <c:layout>
        <c:manualLayout>
          <c:xMode val="edge"/>
          <c:yMode val="edge"/>
          <c:x val="0.19006502156992799"/>
          <c:y val="3.6764705882352901E-2"/>
        </c:manualLayout>
      </c:layout>
      <c:overlay val="0"/>
      <c:spPr>
        <a:noFill/>
        <a:ln w="25400">
          <a:noFill/>
        </a:ln>
      </c:spPr>
    </c:title>
    <c:autoTitleDeleted val="0"/>
    <c:plotArea>
      <c:layout>
        <c:manualLayout>
          <c:layoutTarget val="inner"/>
          <c:xMode val="edge"/>
          <c:yMode val="edge"/>
          <c:x val="0.36717101356959297"/>
          <c:y val="0.27573529411764702"/>
          <c:w val="0.56803515628707801"/>
          <c:h val="0.43014705882352799"/>
        </c:manualLayout>
      </c:layout>
      <c:scatterChart>
        <c:scatterStyle val="lineMarker"/>
        <c:varyColors val="0"/>
        <c:ser>
          <c:idx val="1"/>
          <c:order val="0"/>
          <c:spPr>
            <a:ln w="28575">
              <a:noFill/>
            </a:ln>
          </c:spPr>
          <c:marker>
            <c:symbol val="square"/>
            <c:size val="5"/>
            <c:spPr>
              <a:solidFill>
                <a:srgbClr val="FF00FF"/>
              </a:solidFill>
              <a:ln>
                <a:solidFill>
                  <a:srgbClr val="FF00FF"/>
                </a:solidFill>
                <a:prstDash val="solid"/>
              </a:ln>
            </c:spPr>
          </c:marker>
          <c:trendline>
            <c:spPr>
              <a:ln w="25400">
                <a:solidFill>
                  <a:srgbClr val="000000"/>
                </a:solidFill>
                <a:prstDash val="solid"/>
              </a:ln>
            </c:spPr>
            <c:trendlineType val="power"/>
            <c:dispRSqr val="1"/>
            <c:dispEq val="1"/>
            <c:trendlineLbl>
              <c:layout>
                <c:manualLayout>
                  <c:xMode val="edge"/>
                  <c:yMode val="edge"/>
                  <c:x val="0.53779754340487795"/>
                  <c:y val="0.16544117647058801"/>
                </c:manualLayout>
              </c:layout>
              <c:numFmt formatCode="General" sourceLinked="0"/>
              <c:spPr>
                <a:noFill/>
                <a:ln w="25400">
                  <a:noFill/>
                </a:ln>
              </c:spPr>
              <c:txPr>
                <a:bodyPr/>
                <a:lstStyle/>
                <a:p>
                  <a:pPr>
                    <a:defRPr sz="1200" b="0" i="0" u="none" strike="noStrike" baseline="0">
                      <a:solidFill>
                        <a:srgbClr val="000000"/>
                      </a:solidFill>
                      <a:latin typeface="Arial"/>
                      <a:ea typeface="Arial"/>
                      <a:cs typeface="Arial"/>
                    </a:defRPr>
                  </a:pPr>
                  <a:endParaRPr lang="en-US"/>
                </a:p>
              </c:txPr>
            </c:trendlineLbl>
          </c:trendline>
          <c:xVal>
            <c:numRef>
              <c:f>'L-B Assembly, Install'!$B$22:$B$25</c:f>
              <c:numCache>
                <c:formatCode>General</c:formatCode>
                <c:ptCount val="4"/>
                <c:pt idx="0">
                  <c:v>50</c:v>
                </c:pt>
                <c:pt idx="1">
                  <c:v>70</c:v>
                </c:pt>
                <c:pt idx="2">
                  <c:v>99</c:v>
                </c:pt>
                <c:pt idx="3">
                  <c:v>128</c:v>
                </c:pt>
              </c:numCache>
            </c:numRef>
          </c:xVal>
          <c:yVal>
            <c:numRef>
              <c:f>'L-B Assembly, Install'!$E$22:$E$25</c:f>
              <c:numCache>
                <c:formatCode>"$"#,##0</c:formatCode>
                <c:ptCount val="4"/>
                <c:pt idx="0">
                  <c:v>24374</c:v>
                </c:pt>
                <c:pt idx="1">
                  <c:v>50713</c:v>
                </c:pt>
                <c:pt idx="2">
                  <c:v>112714</c:v>
                </c:pt>
                <c:pt idx="3">
                  <c:v>224790</c:v>
                </c:pt>
              </c:numCache>
            </c:numRef>
          </c:yVal>
          <c:smooth val="0"/>
        </c:ser>
        <c:dLbls>
          <c:showLegendKey val="0"/>
          <c:showVal val="0"/>
          <c:showCatName val="0"/>
          <c:showSerName val="0"/>
          <c:showPercent val="0"/>
          <c:showBubbleSize val="0"/>
        </c:dLbls>
        <c:axId val="69367680"/>
        <c:axId val="69373952"/>
      </c:scatterChart>
      <c:valAx>
        <c:axId val="69367680"/>
        <c:scaling>
          <c:orientation val="minMax"/>
        </c:scaling>
        <c:delete val="0"/>
        <c:axPos val="b"/>
        <c:title>
          <c:tx>
            <c:rich>
              <a:bodyPr/>
              <a:lstStyle/>
              <a:p>
                <a:pPr>
                  <a:defRPr sz="1200" b="1" i="0" u="none" strike="noStrike" baseline="0">
                    <a:solidFill>
                      <a:srgbClr val="000000"/>
                    </a:solidFill>
                    <a:latin typeface="Arial"/>
                    <a:ea typeface="Arial"/>
                    <a:cs typeface="Arial"/>
                  </a:defRPr>
                </a:pPr>
                <a:r>
                  <a:t>Rotor Diameter (meters)</a:t>
                </a:r>
              </a:p>
            </c:rich>
          </c:tx>
          <c:layout>
            <c:manualLayout>
              <c:xMode val="edge"/>
              <c:yMode val="edge"/>
              <c:x val="0.44924451398218901"/>
              <c:y val="0.838235294117646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9373952"/>
        <c:crosses val="autoZero"/>
        <c:crossBetween val="midCat"/>
      </c:valAx>
      <c:valAx>
        <c:axId val="69373952"/>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t>Asssembly &amp; Installation Cost in $ 2002</a:t>
                </a:r>
              </a:p>
            </c:rich>
          </c:tx>
          <c:layout>
            <c:manualLayout>
              <c:xMode val="edge"/>
              <c:yMode val="edge"/>
              <c:x val="3.4557235421166503E-2"/>
              <c:y val="0.220588235294118"/>
            </c:manualLayout>
          </c:layout>
          <c:overlay val="0"/>
          <c:spPr>
            <a:noFill/>
            <a:ln w="25400">
              <a:noFill/>
            </a:ln>
          </c:spPr>
        </c:title>
        <c:numFmt formatCode="&quot;$&quot;#,##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936768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75" b="1" i="0" u="none" strike="noStrike" baseline="0">
                <a:solidFill>
                  <a:srgbClr val="000000"/>
                </a:solidFill>
                <a:latin typeface="Arial"/>
                <a:ea typeface="Arial"/>
                <a:cs typeface="Arial"/>
              </a:defRPr>
            </a:pPr>
            <a:r>
              <a:t>Hub Height vs Assembly &amp; Installation Cost</a:t>
            </a:r>
          </a:p>
        </c:rich>
      </c:tx>
      <c:layout>
        <c:manualLayout>
          <c:xMode val="edge"/>
          <c:yMode val="edge"/>
          <c:x val="0.20768898488120999"/>
          <c:y val="1.9685039370078799E-2"/>
        </c:manualLayout>
      </c:layout>
      <c:overlay val="0"/>
      <c:spPr>
        <a:noFill/>
        <a:ln w="25400">
          <a:noFill/>
        </a:ln>
      </c:spPr>
    </c:title>
    <c:autoTitleDeleted val="0"/>
    <c:plotArea>
      <c:layout>
        <c:manualLayout>
          <c:layoutTarget val="inner"/>
          <c:xMode val="edge"/>
          <c:yMode val="edge"/>
          <c:x val="0.36933084306117903"/>
          <c:y val="0.39370078740157499"/>
          <c:w val="0.56587532679549302"/>
          <c:h val="0.291338582677166"/>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power"/>
            <c:dispRSqr val="1"/>
            <c:dispEq val="1"/>
            <c:trendlineLbl>
              <c:numFmt formatCode="General" sourceLinked="0"/>
              <c:spPr>
                <a:noFill/>
                <a:ln w="25400">
                  <a:noFill/>
                </a:ln>
              </c:spPr>
              <c:txPr>
                <a:bodyPr/>
                <a:lstStyle/>
                <a:p>
                  <a:pPr>
                    <a:defRPr sz="1200" b="0" i="0" u="none" strike="noStrike" baseline="0">
                      <a:solidFill>
                        <a:srgbClr val="000000"/>
                      </a:solidFill>
                      <a:latin typeface="Arial"/>
                      <a:ea typeface="Arial"/>
                      <a:cs typeface="Arial"/>
                    </a:defRPr>
                  </a:pPr>
                  <a:endParaRPr lang="en-US"/>
                </a:p>
              </c:txPr>
            </c:trendlineLbl>
          </c:trendline>
          <c:xVal>
            <c:numRef>
              <c:f>'L-B Assembly, Install'!$C$22:$C$25</c:f>
              <c:numCache>
                <c:formatCode>General</c:formatCode>
                <c:ptCount val="4"/>
                <c:pt idx="0">
                  <c:v>60</c:v>
                </c:pt>
                <c:pt idx="1">
                  <c:v>84</c:v>
                </c:pt>
                <c:pt idx="2">
                  <c:v>119</c:v>
                </c:pt>
                <c:pt idx="3">
                  <c:v>154</c:v>
                </c:pt>
              </c:numCache>
            </c:numRef>
          </c:xVal>
          <c:yVal>
            <c:numRef>
              <c:f>'L-B Assembly, Install'!$E$22:$E$25</c:f>
              <c:numCache>
                <c:formatCode>"$"#,##0</c:formatCode>
                <c:ptCount val="4"/>
                <c:pt idx="0">
                  <c:v>24374</c:v>
                </c:pt>
                <c:pt idx="1">
                  <c:v>50713</c:v>
                </c:pt>
                <c:pt idx="2">
                  <c:v>112714</c:v>
                </c:pt>
                <c:pt idx="3">
                  <c:v>224790</c:v>
                </c:pt>
              </c:numCache>
            </c:numRef>
          </c:yVal>
          <c:smooth val="0"/>
        </c:ser>
        <c:dLbls>
          <c:showLegendKey val="0"/>
          <c:showVal val="0"/>
          <c:showCatName val="0"/>
          <c:showSerName val="0"/>
          <c:showPercent val="0"/>
          <c:showBubbleSize val="0"/>
        </c:dLbls>
        <c:axId val="69714688"/>
        <c:axId val="69716608"/>
      </c:scatterChart>
      <c:valAx>
        <c:axId val="69714688"/>
        <c:scaling>
          <c:orientation val="minMax"/>
        </c:scaling>
        <c:delete val="0"/>
        <c:axPos val="b"/>
        <c:title>
          <c:tx>
            <c:rich>
              <a:bodyPr/>
              <a:lstStyle/>
              <a:p>
                <a:pPr>
                  <a:defRPr sz="1200" b="1" i="0" u="none" strike="noStrike" baseline="0">
                    <a:solidFill>
                      <a:srgbClr val="000000"/>
                    </a:solidFill>
                    <a:latin typeface="Arial"/>
                    <a:ea typeface="Arial"/>
                    <a:cs typeface="Arial"/>
                  </a:defRPr>
                </a:pPr>
                <a:r>
                  <a:t>Turbine Hub Height</a:t>
                </a:r>
              </a:p>
            </c:rich>
          </c:tx>
          <c:layout>
            <c:manualLayout>
              <c:xMode val="edge"/>
              <c:yMode val="edge"/>
              <c:x val="0.48596157661717798"/>
              <c:y val="0.826771653543312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9716608"/>
        <c:crosses val="autoZero"/>
        <c:crossBetween val="midCat"/>
      </c:valAx>
      <c:valAx>
        <c:axId val="69716608"/>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t>Assembly &amp; Installation Cost $ 2002</a:t>
                </a:r>
              </a:p>
            </c:rich>
          </c:tx>
          <c:layout>
            <c:manualLayout>
              <c:xMode val="edge"/>
              <c:yMode val="edge"/>
              <c:x val="3.6717062634989202E-2"/>
              <c:y val="0.25784776902887302"/>
            </c:manualLayout>
          </c:layout>
          <c:overlay val="0"/>
          <c:spPr>
            <a:noFill/>
            <a:ln w="25400">
              <a:noFill/>
            </a:ln>
          </c:spPr>
        </c:title>
        <c:numFmt formatCode="&quot;$&quot;#,##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69714688"/>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75" b="1" i="0" u="none" strike="noStrike" baseline="0">
                <a:solidFill>
                  <a:srgbClr val="000000"/>
                </a:solidFill>
                <a:latin typeface="Arial"/>
                <a:ea typeface="Arial"/>
                <a:cs typeface="Arial"/>
              </a:defRPr>
            </a:pPr>
            <a:r>
              <a:t>Hub Height*Rotor Diameter vs Assembly &amp; Installation Cost</a:t>
            </a:r>
          </a:p>
        </c:rich>
      </c:tx>
      <c:layout>
        <c:manualLayout>
          <c:xMode val="edge"/>
          <c:yMode val="edge"/>
          <c:x val="0.18924776338441601"/>
          <c:y val="3.5369774919614197E-2"/>
        </c:manualLayout>
      </c:layout>
      <c:overlay val="0"/>
      <c:spPr>
        <a:noFill/>
        <a:ln w="25400">
          <a:noFill/>
        </a:ln>
      </c:spPr>
    </c:title>
    <c:autoTitleDeleted val="0"/>
    <c:plotArea>
      <c:layout>
        <c:manualLayout>
          <c:layoutTarget val="inner"/>
          <c:xMode val="edge"/>
          <c:yMode val="edge"/>
          <c:x val="0.36559216564215002"/>
          <c:y val="0.32797427652733302"/>
          <c:w val="0.55053879061405997"/>
          <c:h val="0.41479099678456599"/>
        </c:manualLayout>
      </c:layout>
      <c:scatterChart>
        <c:scatterStyle val="lineMarker"/>
        <c:varyColors val="0"/>
        <c:ser>
          <c:idx val="0"/>
          <c:order val="0"/>
          <c:tx>
            <c:v>Baseline Assembly Data</c:v>
          </c:tx>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power"/>
            <c:dispRSqr val="1"/>
            <c:dispEq val="1"/>
            <c:trendlineLbl>
              <c:layout>
                <c:manualLayout>
                  <c:xMode val="edge"/>
                  <c:yMode val="edge"/>
                  <c:x val="0.56559258566991"/>
                  <c:y val="0.221864951768489"/>
                </c:manualLayout>
              </c:layout>
              <c:numFmt formatCode="General"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trendlineLbl>
          </c:trendline>
          <c:xVal>
            <c:numRef>
              <c:f>'L-B Assembly, Install'!$D$22:$D$25</c:f>
              <c:numCache>
                <c:formatCode>General</c:formatCode>
                <c:ptCount val="4"/>
                <c:pt idx="0">
                  <c:v>3000</c:v>
                </c:pt>
                <c:pt idx="1">
                  <c:v>5880</c:v>
                </c:pt>
                <c:pt idx="2">
                  <c:v>11781</c:v>
                </c:pt>
                <c:pt idx="3">
                  <c:v>19712</c:v>
                </c:pt>
              </c:numCache>
            </c:numRef>
          </c:xVal>
          <c:yVal>
            <c:numRef>
              <c:f>'L-B Assembly, Install'!$E$22:$E$25</c:f>
              <c:numCache>
                <c:formatCode>"$"#,##0</c:formatCode>
                <c:ptCount val="4"/>
                <c:pt idx="0">
                  <c:v>24374</c:v>
                </c:pt>
                <c:pt idx="1">
                  <c:v>50713</c:v>
                </c:pt>
                <c:pt idx="2">
                  <c:v>112714</c:v>
                </c:pt>
                <c:pt idx="3">
                  <c:v>224790</c:v>
                </c:pt>
              </c:numCache>
            </c:numRef>
          </c:yVal>
          <c:smooth val="0"/>
        </c:ser>
        <c:ser>
          <c:idx val="1"/>
          <c:order val="1"/>
          <c:tx>
            <c:v>Current Design</c:v>
          </c:tx>
          <c:spPr>
            <a:ln w="28575">
              <a:noFill/>
            </a:ln>
          </c:spPr>
          <c:marker>
            <c:symbol val="circle"/>
            <c:size val="8"/>
            <c:spPr>
              <a:solidFill>
                <a:srgbClr val="00FF00"/>
              </a:solidFill>
              <a:ln>
                <a:solidFill>
                  <a:srgbClr val="00FF00"/>
                </a:solidFill>
                <a:prstDash val="solid"/>
              </a:ln>
            </c:spPr>
          </c:marker>
          <c:xVal>
            <c:numRef>
              <c:f>'L-B Assembly, Install'!$D$27</c:f>
              <c:numCache>
                <c:formatCode>General</c:formatCode>
                <c:ptCount val="1"/>
                <c:pt idx="0">
                  <c:v>8013.630000000001</c:v>
                </c:pt>
              </c:numCache>
            </c:numRef>
          </c:xVal>
          <c:yVal>
            <c:numRef>
              <c:f>'L-B Assembly, Install'!$E$27</c:f>
              <c:numCache>
                <c:formatCode>"$"#,##0</c:formatCode>
                <c:ptCount val="1"/>
                <c:pt idx="0">
                  <c:v>74971.5699739517</c:v>
                </c:pt>
              </c:numCache>
            </c:numRef>
          </c:yVal>
          <c:smooth val="0"/>
        </c:ser>
        <c:dLbls>
          <c:showLegendKey val="0"/>
          <c:showVal val="0"/>
          <c:showCatName val="0"/>
          <c:showSerName val="0"/>
          <c:showPercent val="0"/>
          <c:showBubbleSize val="0"/>
        </c:dLbls>
        <c:axId val="70627328"/>
        <c:axId val="70629632"/>
      </c:scatterChart>
      <c:valAx>
        <c:axId val="70627328"/>
        <c:scaling>
          <c:orientation val="minMax"/>
        </c:scaling>
        <c:delete val="0"/>
        <c:axPos val="b"/>
        <c:title>
          <c:tx>
            <c:rich>
              <a:bodyPr/>
              <a:lstStyle/>
              <a:p>
                <a:pPr>
                  <a:defRPr sz="1200" b="1" i="0" u="none" strike="noStrike" baseline="0">
                    <a:solidFill>
                      <a:srgbClr val="000000"/>
                    </a:solidFill>
                    <a:latin typeface="Arial"/>
                    <a:ea typeface="Arial"/>
                    <a:cs typeface="Arial"/>
                  </a:defRPr>
                </a:pPr>
                <a:r>
                  <a:t>Hub Height*Diameter</a:t>
                </a:r>
              </a:p>
            </c:rich>
          </c:tx>
          <c:layout>
            <c:manualLayout>
              <c:xMode val="edge"/>
              <c:yMode val="edge"/>
              <c:x val="0.462366494510768"/>
              <c:y val="0.858520900321544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70629632"/>
        <c:crosses val="autoZero"/>
        <c:crossBetween val="midCat"/>
      </c:valAx>
      <c:valAx>
        <c:axId val="70629632"/>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t>Assembly &amp; Installation Cost $ 2002</a:t>
                </a:r>
              </a:p>
            </c:rich>
          </c:tx>
          <c:layout>
            <c:manualLayout>
              <c:xMode val="edge"/>
              <c:yMode val="edge"/>
              <c:x val="3.44086021505376E-2"/>
              <c:y val="0.22233654876741701"/>
            </c:manualLayout>
          </c:layout>
          <c:overlay val="0"/>
          <c:spPr>
            <a:noFill/>
            <a:ln w="25400">
              <a:noFill/>
            </a:ln>
          </c:spPr>
        </c:title>
        <c:numFmt formatCode="&quot;$&quot;#,##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70627328"/>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Machine Rating vs Electrical Interconnect Cost</a:t>
            </a:r>
          </a:p>
        </c:rich>
      </c:tx>
      <c:layout>
        <c:manualLayout>
          <c:xMode val="edge"/>
          <c:yMode val="edge"/>
          <c:x val="0.211082071205479"/>
          <c:y val="3.5714285714285698E-2"/>
        </c:manualLayout>
      </c:layout>
      <c:overlay val="0"/>
      <c:spPr>
        <a:noFill/>
        <a:ln w="25400">
          <a:noFill/>
        </a:ln>
      </c:spPr>
    </c:title>
    <c:autoTitleDeleted val="0"/>
    <c:plotArea>
      <c:layout>
        <c:manualLayout>
          <c:layoutTarget val="inner"/>
          <c:xMode val="edge"/>
          <c:yMode val="edge"/>
          <c:x val="0.31926162503816702"/>
          <c:y val="0.31071482755794599"/>
          <c:w val="0.60158388850166999"/>
          <c:h val="0.44285791514006001"/>
        </c:manualLayout>
      </c:layout>
      <c:scatterChart>
        <c:scatterStyle val="lineMarker"/>
        <c:varyColors val="0"/>
        <c:ser>
          <c:idx val="2"/>
          <c:order val="0"/>
          <c:spPr>
            <a:ln w="28575">
              <a:noFill/>
            </a:ln>
          </c:spPr>
          <c:marker>
            <c:symbol val="triangle"/>
            <c:size val="5"/>
            <c:spPr>
              <a:solidFill>
                <a:srgbClr val="FFFF00"/>
              </a:solidFill>
              <a:ln>
                <a:solidFill>
                  <a:srgbClr val="FFFF00"/>
                </a:solidFill>
                <a:prstDash val="solid"/>
              </a:ln>
            </c:spPr>
          </c:marker>
          <c:trendline>
            <c:spPr>
              <a:ln w="25400">
                <a:solidFill>
                  <a:srgbClr val="000000"/>
                </a:solidFill>
                <a:prstDash val="solid"/>
              </a:ln>
            </c:spPr>
            <c:trendlineType val="power"/>
            <c:dispRSqr val="1"/>
            <c:dispEq val="1"/>
            <c:trendlineLbl>
              <c:numFmt formatCode="General"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trendlineLbl>
          </c:trendline>
          <c:xVal>
            <c:numRef>
              <c:f>'L-B Electrical Interconnection'!$A$30:$A$33</c:f>
              <c:numCache>
                <c:formatCode>General</c:formatCode>
                <c:ptCount val="4"/>
                <c:pt idx="0">
                  <c:v>750</c:v>
                </c:pt>
                <c:pt idx="1">
                  <c:v>1500</c:v>
                </c:pt>
                <c:pt idx="2">
                  <c:v>3000</c:v>
                </c:pt>
                <c:pt idx="3">
                  <c:v>5000</c:v>
                </c:pt>
              </c:numCache>
            </c:numRef>
          </c:xVal>
          <c:yVal>
            <c:numRef>
              <c:f>'L-B Electrical Interconnection'!$D$30:$D$33</c:f>
              <c:numCache>
                <c:formatCode>"$"#,##0</c:formatCode>
                <c:ptCount val="4"/>
                <c:pt idx="0">
                  <c:v>71304</c:v>
                </c:pt>
                <c:pt idx="1">
                  <c:v>126552</c:v>
                </c:pt>
                <c:pt idx="2">
                  <c:v>224196</c:v>
                </c:pt>
                <c:pt idx="3">
                  <c:v>431500</c:v>
                </c:pt>
              </c:numCache>
            </c:numRef>
          </c:yVal>
          <c:smooth val="0"/>
        </c:ser>
        <c:dLbls>
          <c:showLegendKey val="0"/>
          <c:showVal val="0"/>
          <c:showCatName val="0"/>
          <c:showSerName val="0"/>
          <c:showPercent val="0"/>
          <c:showBubbleSize val="0"/>
        </c:dLbls>
        <c:axId val="70160384"/>
        <c:axId val="70161920"/>
      </c:scatterChart>
      <c:valAx>
        <c:axId val="70160384"/>
        <c:scaling>
          <c:orientation val="minMax"/>
        </c:scaling>
        <c:delete val="0"/>
        <c:axPos val="b"/>
        <c:title>
          <c:tx>
            <c:rich>
              <a:bodyPr/>
              <a:lstStyle/>
              <a:p>
                <a:pPr>
                  <a:defRPr sz="1000" b="1" i="0" u="none" strike="noStrike" baseline="0">
                    <a:solidFill>
                      <a:srgbClr val="000000"/>
                    </a:solidFill>
                    <a:latin typeface="Arial"/>
                    <a:ea typeface="Arial"/>
                    <a:cs typeface="Arial"/>
                  </a:defRPr>
                </a:pPr>
                <a:r>
                  <a:t>Machine rating kW</a:t>
                </a:r>
              </a:p>
            </c:rich>
          </c:tx>
          <c:layout>
            <c:manualLayout>
              <c:xMode val="edge"/>
              <c:yMode val="edge"/>
              <c:x val="0.45910345639512701"/>
              <c:y val="0.864287214098238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0161920"/>
        <c:crosses val="autoZero"/>
        <c:crossBetween val="midCat"/>
      </c:valAx>
      <c:valAx>
        <c:axId val="70161920"/>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t>Electrical Interconnect cost $ 2002</a:t>
                </a:r>
              </a:p>
            </c:rich>
          </c:tx>
          <c:layout>
            <c:manualLayout>
              <c:xMode val="edge"/>
              <c:yMode val="edge"/>
              <c:x val="4.2216358839050103E-2"/>
              <c:y val="0.27142894638170401"/>
            </c:manualLayout>
          </c:layout>
          <c:overlay val="0"/>
          <c:spPr>
            <a:noFill/>
            <a:ln w="25400">
              <a:noFill/>
            </a:ln>
          </c:spPr>
        </c:title>
        <c:numFmt formatCode="&quot;$&quot;#,##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0160384"/>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Rotor Diameter vs Electrical Interconnect Cost</a:t>
            </a:r>
          </a:p>
        </c:rich>
      </c:tx>
      <c:layout>
        <c:manualLayout>
          <c:xMode val="edge"/>
          <c:yMode val="edge"/>
          <c:x val="0.21635911606036101"/>
          <c:y val="3.5714285714285698E-2"/>
        </c:manualLayout>
      </c:layout>
      <c:overlay val="0"/>
      <c:spPr>
        <a:noFill/>
        <a:ln w="25400">
          <a:noFill/>
        </a:ln>
      </c:spPr>
    </c:title>
    <c:autoTitleDeleted val="0"/>
    <c:plotArea>
      <c:layout>
        <c:manualLayout>
          <c:layoutTarget val="inner"/>
          <c:xMode val="edge"/>
          <c:yMode val="edge"/>
          <c:x val="0.31926162503816702"/>
          <c:y val="0.31071482755794599"/>
          <c:w val="0.61213799180871697"/>
          <c:h val="0.44285791514006001"/>
        </c:manualLayout>
      </c:layout>
      <c:scatterChart>
        <c:scatterStyle val="lineMarker"/>
        <c:varyColors val="0"/>
        <c:ser>
          <c:idx val="1"/>
          <c:order val="0"/>
          <c:spPr>
            <a:ln w="28575">
              <a:noFill/>
            </a:ln>
          </c:spPr>
          <c:marker>
            <c:symbol val="square"/>
            <c:size val="5"/>
            <c:spPr>
              <a:solidFill>
                <a:srgbClr val="FF00FF"/>
              </a:solidFill>
              <a:ln>
                <a:solidFill>
                  <a:srgbClr val="FF00FF"/>
                </a:solidFill>
                <a:prstDash val="solid"/>
              </a:ln>
            </c:spPr>
          </c:marker>
          <c:trendline>
            <c:spPr>
              <a:ln w="25400">
                <a:solidFill>
                  <a:srgbClr val="000000"/>
                </a:solidFill>
                <a:prstDash val="solid"/>
              </a:ln>
            </c:spPr>
            <c:trendlineType val="power"/>
            <c:dispRSqr val="1"/>
            <c:dispEq val="1"/>
            <c:trendlineLbl>
              <c:numFmt formatCode="General"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trendlineLbl>
          </c:trendline>
          <c:xVal>
            <c:numRef>
              <c:f>'L-B Electrical Interconnection'!$B$30:$B$33</c:f>
              <c:numCache>
                <c:formatCode>General</c:formatCode>
                <c:ptCount val="4"/>
                <c:pt idx="0">
                  <c:v>50</c:v>
                </c:pt>
                <c:pt idx="1">
                  <c:v>70</c:v>
                </c:pt>
                <c:pt idx="2">
                  <c:v>99</c:v>
                </c:pt>
                <c:pt idx="3">
                  <c:v>128</c:v>
                </c:pt>
              </c:numCache>
            </c:numRef>
          </c:xVal>
          <c:yVal>
            <c:numRef>
              <c:f>'L-B Electrical Interconnection'!$D$30:$D$33</c:f>
              <c:numCache>
                <c:formatCode>"$"#,##0</c:formatCode>
                <c:ptCount val="4"/>
                <c:pt idx="0">
                  <c:v>71304</c:v>
                </c:pt>
                <c:pt idx="1">
                  <c:v>126552</c:v>
                </c:pt>
                <c:pt idx="2">
                  <c:v>224196</c:v>
                </c:pt>
                <c:pt idx="3">
                  <c:v>431500</c:v>
                </c:pt>
              </c:numCache>
            </c:numRef>
          </c:yVal>
          <c:smooth val="0"/>
        </c:ser>
        <c:dLbls>
          <c:showLegendKey val="0"/>
          <c:showVal val="0"/>
          <c:showCatName val="0"/>
          <c:showSerName val="0"/>
          <c:showPercent val="0"/>
          <c:showBubbleSize val="0"/>
        </c:dLbls>
        <c:axId val="70703360"/>
        <c:axId val="70705536"/>
      </c:scatterChart>
      <c:valAx>
        <c:axId val="70703360"/>
        <c:scaling>
          <c:orientation val="minMax"/>
        </c:scaling>
        <c:delete val="0"/>
        <c:axPos val="b"/>
        <c:title>
          <c:tx>
            <c:rich>
              <a:bodyPr/>
              <a:lstStyle/>
              <a:p>
                <a:pPr>
                  <a:defRPr sz="1000" b="1" i="0" u="none" strike="noStrike" baseline="0">
                    <a:solidFill>
                      <a:srgbClr val="000000"/>
                    </a:solidFill>
                    <a:latin typeface="Arial"/>
                    <a:ea typeface="Arial"/>
                    <a:cs typeface="Arial"/>
                  </a:defRPr>
                </a:pPr>
                <a:r>
                  <a:t>Rotor Diameter (meters)</a:t>
                </a:r>
              </a:p>
            </c:rich>
          </c:tx>
          <c:layout>
            <c:manualLayout>
              <c:xMode val="edge"/>
              <c:yMode val="edge"/>
              <c:x val="0.42216414241095801"/>
              <c:y val="0.8642872140982380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0705536"/>
        <c:crosses val="autoZero"/>
        <c:crossBetween val="midCat"/>
      </c:valAx>
      <c:valAx>
        <c:axId val="70705536"/>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t>Electrical Interconnect Cost $ 2002</a:t>
                </a:r>
              </a:p>
            </c:rich>
          </c:tx>
          <c:layout>
            <c:manualLayout>
              <c:xMode val="edge"/>
              <c:yMode val="edge"/>
              <c:x val="4.2216358839050103E-2"/>
              <c:y val="0.27142894638170401"/>
            </c:manualLayout>
          </c:layout>
          <c:overlay val="0"/>
          <c:spPr>
            <a:noFill/>
            <a:ln w="25400">
              <a:noFill/>
            </a:ln>
          </c:spPr>
        </c:title>
        <c:numFmt formatCode="&quot;$&quot;#,##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070336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Rating * Diameter vs Electrical Interconnect Cost</a:t>
            </a:r>
          </a:p>
        </c:rich>
      </c:tx>
      <c:layout>
        <c:manualLayout>
          <c:xMode val="edge"/>
          <c:yMode val="edge"/>
          <c:x val="0.19261241421339501"/>
          <c:y val="3.8610038610038602E-2"/>
        </c:manualLayout>
      </c:layout>
      <c:overlay val="0"/>
      <c:spPr>
        <a:noFill/>
        <a:ln w="25400">
          <a:noFill/>
        </a:ln>
      </c:spPr>
    </c:title>
    <c:autoTitleDeleted val="0"/>
    <c:plotArea>
      <c:layout>
        <c:manualLayout>
          <c:layoutTarget val="inner"/>
          <c:xMode val="edge"/>
          <c:yMode val="edge"/>
          <c:x val="0.36411656409311599"/>
          <c:y val="0.33204695803978401"/>
          <c:w val="0.538259268659392"/>
          <c:h val="0.40154515855973599"/>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power"/>
            <c:dispRSqr val="1"/>
            <c:dispEq val="1"/>
            <c:trendlineLbl>
              <c:numFmt formatCode="General" sourceLinked="0"/>
              <c:spPr>
                <a:noFill/>
                <a:ln w="25400">
                  <a:noFill/>
                </a:ln>
              </c:spPr>
              <c:txPr>
                <a:bodyPr/>
                <a:lstStyle/>
                <a:p>
                  <a:pPr>
                    <a:defRPr sz="1000" b="0" i="0" u="none" strike="noStrike" baseline="0">
                      <a:solidFill>
                        <a:srgbClr val="000000"/>
                      </a:solidFill>
                      <a:latin typeface="Arial"/>
                      <a:ea typeface="Arial"/>
                      <a:cs typeface="Arial"/>
                    </a:defRPr>
                  </a:pPr>
                  <a:endParaRPr lang="en-US"/>
                </a:p>
              </c:txPr>
            </c:trendlineLbl>
          </c:trendline>
          <c:xVal>
            <c:numRef>
              <c:f>'L-B Electrical Interconnection'!$C$30:$C$33</c:f>
              <c:numCache>
                <c:formatCode>General</c:formatCode>
                <c:ptCount val="4"/>
                <c:pt idx="0">
                  <c:v>37500</c:v>
                </c:pt>
                <c:pt idx="1">
                  <c:v>105000</c:v>
                </c:pt>
                <c:pt idx="2">
                  <c:v>297000</c:v>
                </c:pt>
                <c:pt idx="3">
                  <c:v>640000</c:v>
                </c:pt>
              </c:numCache>
            </c:numRef>
          </c:xVal>
          <c:yVal>
            <c:numRef>
              <c:f>'L-B Electrical Interconnection'!$D$30:$D$33</c:f>
              <c:numCache>
                <c:formatCode>"$"#,##0</c:formatCode>
                <c:ptCount val="4"/>
                <c:pt idx="0">
                  <c:v>71304</c:v>
                </c:pt>
                <c:pt idx="1">
                  <c:v>126552</c:v>
                </c:pt>
                <c:pt idx="2">
                  <c:v>224196</c:v>
                </c:pt>
                <c:pt idx="3">
                  <c:v>431500</c:v>
                </c:pt>
              </c:numCache>
            </c:numRef>
          </c:yVal>
          <c:smooth val="0"/>
        </c:ser>
        <c:dLbls>
          <c:showLegendKey val="0"/>
          <c:showVal val="0"/>
          <c:showCatName val="0"/>
          <c:showSerName val="0"/>
          <c:showPercent val="0"/>
          <c:showBubbleSize val="0"/>
        </c:dLbls>
        <c:axId val="70034560"/>
        <c:axId val="70036480"/>
      </c:scatterChart>
      <c:valAx>
        <c:axId val="70034560"/>
        <c:scaling>
          <c:orientation val="minMax"/>
        </c:scaling>
        <c:delete val="0"/>
        <c:axPos val="b"/>
        <c:title>
          <c:tx>
            <c:rich>
              <a:bodyPr/>
              <a:lstStyle/>
              <a:p>
                <a:pPr>
                  <a:defRPr sz="1000" b="1" i="0" u="none" strike="noStrike" baseline="0">
                    <a:solidFill>
                      <a:srgbClr val="000000"/>
                    </a:solidFill>
                    <a:latin typeface="Arial"/>
                    <a:ea typeface="Arial"/>
                    <a:cs typeface="Arial"/>
                  </a:defRPr>
                </a:pPr>
                <a:r>
                  <a:t>Rating * Rotor Diameter</a:t>
                </a:r>
              </a:p>
            </c:rich>
          </c:tx>
          <c:layout>
            <c:manualLayout>
              <c:xMode val="edge"/>
              <c:yMode val="edge"/>
              <c:x val="0.43007970969328202"/>
              <c:y val="0.8532834747007980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0036480"/>
        <c:crosses val="autoZero"/>
        <c:crossBetween val="midCat"/>
      </c:valAx>
      <c:valAx>
        <c:axId val="70036480"/>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t>Electrical Interconnect Cost $ 2002</a:t>
                </a:r>
              </a:p>
            </c:rich>
          </c:tx>
          <c:layout>
            <c:manualLayout>
              <c:xMode val="edge"/>
              <c:yMode val="edge"/>
              <c:x val="4.2216358839050103E-2"/>
              <c:y val="0.24530244530244599"/>
            </c:manualLayout>
          </c:layout>
          <c:overlay val="0"/>
          <c:spPr>
            <a:noFill/>
            <a:ln w="25400">
              <a:noFill/>
            </a:ln>
          </c:spPr>
        </c:title>
        <c:numFmt formatCode="&quot;$&quot;#,##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70034560"/>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Geared</a:t>
            </a:r>
          </a:p>
        </c:rich>
      </c:tx>
      <c:overlay val="0"/>
    </c:title>
    <c:autoTitleDeleted val="0"/>
    <c:plotArea>
      <c:layout/>
      <c:scatterChart>
        <c:scatterStyle val="smoothMarker"/>
        <c:varyColors val="0"/>
        <c:ser>
          <c:idx val="0"/>
          <c:order val="0"/>
          <c:tx>
            <c:strRef>
              <c:f>'Drive Train Efficiency'!$J$3</c:f>
              <c:strCache>
                <c:ptCount val="1"/>
                <c:pt idx="0">
                  <c:v>Model</c:v>
                </c:pt>
              </c:strCache>
            </c:strRef>
          </c:tx>
          <c:spPr>
            <a:ln w="12700"/>
          </c:spPr>
          <c:marker>
            <c:symbol val="diamond"/>
            <c:size val="7"/>
            <c:spPr>
              <a:ln>
                <a:noFill/>
              </a:ln>
            </c:spPr>
          </c:marker>
          <c:xVal>
            <c:numRef>
              <c:f>'Drive Train Efficiency'!$H$4:$H$8</c:f>
              <c:numCache>
                <c:formatCode>0.00</c:formatCode>
                <c:ptCount val="5"/>
                <c:pt idx="0">
                  <c:v>1</c:v>
                </c:pt>
                <c:pt idx="1">
                  <c:v>0.75</c:v>
                </c:pt>
                <c:pt idx="2">
                  <c:v>0.5</c:v>
                </c:pt>
                <c:pt idx="3">
                  <c:v>0.25</c:v>
                </c:pt>
                <c:pt idx="4">
                  <c:v>0.06</c:v>
                </c:pt>
              </c:numCache>
            </c:numRef>
          </c:xVal>
          <c:yVal>
            <c:numRef>
              <c:f>'Drive Train Efficiency'!$J$4:$J$8</c:f>
              <c:numCache>
                <c:formatCode>0.0%</c:formatCode>
                <c:ptCount val="5"/>
                <c:pt idx="0">
                  <c:v>0.90201044301465383</c:v>
                </c:pt>
                <c:pt idx="1">
                  <c:v>0.89771235153136208</c:v>
                </c:pt>
                <c:pt idx="2">
                  <c:v>0.88911616856477849</c:v>
                </c:pt>
                <c:pt idx="3">
                  <c:v>0.86332761966502769</c:v>
                </c:pt>
                <c:pt idx="4">
                  <c:v>0.70000014329993931</c:v>
                </c:pt>
              </c:numCache>
            </c:numRef>
          </c:yVal>
          <c:smooth val="1"/>
        </c:ser>
        <c:ser>
          <c:idx val="1"/>
          <c:order val="1"/>
          <c:tx>
            <c:strRef>
              <c:f>'Drive Train Efficiency'!$I$3</c:f>
              <c:strCache>
                <c:ptCount val="1"/>
                <c:pt idx="0">
                  <c:v>WindPACT</c:v>
                </c:pt>
              </c:strCache>
            </c:strRef>
          </c:tx>
          <c:spPr>
            <a:ln w="12700"/>
          </c:spPr>
          <c:marker>
            <c:symbol val="square"/>
            <c:size val="5"/>
            <c:spPr>
              <a:solidFill>
                <a:srgbClr val="C00000">
                  <a:alpha val="50000"/>
                </a:srgbClr>
              </a:solidFill>
              <a:ln>
                <a:noFill/>
              </a:ln>
            </c:spPr>
          </c:marker>
          <c:xVal>
            <c:numRef>
              <c:f>'Drive Train Efficiency'!$H$4:$H$8</c:f>
              <c:numCache>
                <c:formatCode>0.00</c:formatCode>
                <c:ptCount val="5"/>
                <c:pt idx="0">
                  <c:v>1</c:v>
                </c:pt>
                <c:pt idx="1">
                  <c:v>0.75</c:v>
                </c:pt>
                <c:pt idx="2">
                  <c:v>0.5</c:v>
                </c:pt>
                <c:pt idx="3">
                  <c:v>0.25</c:v>
                </c:pt>
                <c:pt idx="4">
                  <c:v>0.06</c:v>
                </c:pt>
              </c:numCache>
            </c:numRef>
          </c:xVal>
          <c:yVal>
            <c:numRef>
              <c:f>'Drive Train Efficiency'!$I$4:$I$8</c:f>
              <c:numCache>
                <c:formatCode>0.0%</c:formatCode>
                <c:ptCount val="5"/>
                <c:pt idx="0">
                  <c:v>0.90200000000000002</c:v>
                </c:pt>
                <c:pt idx="1">
                  <c:v>0.90300000000000002</c:v>
                </c:pt>
                <c:pt idx="2">
                  <c:v>0.88900000000000001</c:v>
                </c:pt>
                <c:pt idx="3">
                  <c:v>0.84799999999999998</c:v>
                </c:pt>
                <c:pt idx="4">
                  <c:v>0.7</c:v>
                </c:pt>
              </c:numCache>
            </c:numRef>
          </c:yVal>
          <c:smooth val="1"/>
        </c:ser>
        <c:dLbls>
          <c:showLegendKey val="0"/>
          <c:showVal val="0"/>
          <c:showCatName val="0"/>
          <c:showSerName val="0"/>
          <c:showPercent val="0"/>
          <c:showBubbleSize val="0"/>
        </c:dLbls>
        <c:axId val="72000256"/>
        <c:axId val="72002560"/>
      </c:scatterChart>
      <c:valAx>
        <c:axId val="72000256"/>
        <c:scaling>
          <c:orientation val="minMax"/>
        </c:scaling>
        <c:delete val="0"/>
        <c:axPos val="b"/>
        <c:title>
          <c:tx>
            <c:rich>
              <a:bodyPr/>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Calibri"/>
                  </a:rPr>
                  <a:t>P/P</a:t>
                </a:r>
                <a:r>
                  <a:rPr lang="en-US" sz="1000" b="1" i="0" u="none" strike="noStrike" baseline="-25000">
                    <a:solidFill>
                      <a:srgbClr val="000000"/>
                    </a:solidFill>
                    <a:latin typeface="Calibri"/>
                  </a:rPr>
                  <a:t>rated</a:t>
                </a:r>
              </a:p>
            </c:rich>
          </c:tx>
          <c:overlay val="0"/>
        </c:title>
        <c:numFmt formatCode="0.0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2002560"/>
        <c:crosses val="autoZero"/>
        <c:crossBetween val="midCat"/>
      </c:valAx>
      <c:valAx>
        <c:axId val="72002560"/>
        <c:scaling>
          <c:orientation val="minMax"/>
          <c:max val="1"/>
          <c:min val="0.60000000000000098"/>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Drive Trane Efficiency</a:t>
                </a:r>
              </a:p>
            </c:rich>
          </c:tx>
          <c:overlay val="0"/>
        </c:title>
        <c:numFmt formatCode="0.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2000256"/>
        <c:crosses val="autoZero"/>
        <c:crossBetween val="midCat"/>
      </c:valAx>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 l="0.70000000000000095" r="0.70000000000000095" t="0.750000000000003"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t>Blade Cost Trends</a:t>
            </a:r>
          </a:p>
        </c:rich>
      </c:tx>
      <c:layout>
        <c:manualLayout>
          <c:xMode val="edge"/>
          <c:yMode val="edge"/>
          <c:x val="0.40479578275564598"/>
          <c:y val="2.7642276422764501E-2"/>
        </c:manualLayout>
      </c:layout>
      <c:overlay val="0"/>
      <c:spPr>
        <a:noFill/>
        <a:ln w="25400">
          <a:noFill/>
        </a:ln>
      </c:spPr>
    </c:title>
    <c:autoTitleDeleted val="0"/>
    <c:plotArea>
      <c:layout>
        <c:manualLayout>
          <c:layoutTarget val="inner"/>
          <c:xMode val="edge"/>
          <c:yMode val="edge"/>
          <c:x val="0.184767405103611"/>
          <c:y val="0.13008150737027999"/>
          <c:w val="0.77856189020758104"/>
          <c:h val="0.75122070506336602"/>
        </c:manualLayout>
      </c:layout>
      <c:scatterChart>
        <c:scatterStyle val="lineMarker"/>
        <c:varyColors val="0"/>
        <c:ser>
          <c:idx val="1"/>
          <c:order val="0"/>
          <c:tx>
            <c:v>TPI Total Blade Cost</c:v>
          </c:tx>
          <c:spPr>
            <a:ln w="28575">
              <a:noFill/>
            </a:ln>
          </c:spPr>
          <c:marker>
            <c:symbol val="square"/>
            <c:size val="7"/>
            <c:spPr>
              <a:solidFill>
                <a:srgbClr val="FF00FF"/>
              </a:solidFill>
              <a:ln>
                <a:solidFill>
                  <a:srgbClr val="FF00FF"/>
                </a:solidFill>
                <a:prstDash val="solid"/>
              </a:ln>
            </c:spPr>
          </c:marker>
          <c:xVal>
            <c:numRef>
              <c:f>'Blade Mass &amp; Cost'!$B$71:$B$73</c:f>
              <c:numCache>
                <c:formatCode>General</c:formatCode>
                <c:ptCount val="3"/>
                <c:pt idx="0">
                  <c:v>32</c:v>
                </c:pt>
                <c:pt idx="1">
                  <c:v>52</c:v>
                </c:pt>
                <c:pt idx="2">
                  <c:v>72</c:v>
                </c:pt>
              </c:numCache>
            </c:numRef>
          </c:xVal>
          <c:yVal>
            <c:numRef>
              <c:f>'Blade Mass &amp; Cost'!$G$71:$G$73</c:f>
              <c:numCache>
                <c:formatCode>_("$"* #,##0_);_("$"* \(#,##0\);_("$"* "-"??_);_(@_)</c:formatCode>
                <c:ptCount val="3"/>
                <c:pt idx="0">
                  <c:v>37383.10607706794</c:v>
                </c:pt>
                <c:pt idx="1">
                  <c:v>143914.13043478262</c:v>
                </c:pt>
                <c:pt idx="2">
                  <c:v>362754.52946350042</c:v>
                </c:pt>
              </c:numCache>
            </c:numRef>
          </c:yVal>
          <c:smooth val="0"/>
        </c:ser>
        <c:ser>
          <c:idx val="6"/>
          <c:order val="1"/>
          <c:tx>
            <c:v>Baseline Total Blade Cost Curve</c:v>
          </c:tx>
          <c:spPr>
            <a:ln w="28575">
              <a:noFill/>
            </a:ln>
          </c:spPr>
          <c:marker>
            <c:symbol val="dot"/>
            <c:size val="2"/>
            <c:spPr>
              <a:noFill/>
              <a:ln w="9525">
                <a:noFill/>
              </a:ln>
            </c:spPr>
          </c:marker>
          <c:trendline>
            <c:spPr>
              <a:ln w="38100">
                <a:solidFill>
                  <a:srgbClr val="0000FF"/>
                </a:solidFill>
                <a:prstDash val="solid"/>
              </a:ln>
            </c:spPr>
            <c:trendlineType val="power"/>
            <c:dispRSqr val="0"/>
            <c:dispEq val="0"/>
          </c:trendline>
          <c:xVal>
            <c:numRef>
              <c:f>'Blade Mass &amp; Cost'!$B$71:$B$73</c:f>
              <c:numCache>
                <c:formatCode>General</c:formatCode>
                <c:ptCount val="3"/>
                <c:pt idx="0">
                  <c:v>32</c:v>
                </c:pt>
                <c:pt idx="1">
                  <c:v>52</c:v>
                </c:pt>
                <c:pt idx="2">
                  <c:v>72</c:v>
                </c:pt>
              </c:numCache>
            </c:numRef>
          </c:xVal>
          <c:yVal>
            <c:numRef>
              <c:f>'Blade Mass &amp; Cost'!$I$71:$I$73</c:f>
              <c:numCache>
                <c:formatCode>_("$"* #,##0_);_("$"* \(#,##0\);_("$"* "-"??_);_(@_)</c:formatCode>
                <c:ptCount val="3"/>
                <c:pt idx="0">
                  <c:v>39340.235606123468</c:v>
                </c:pt>
                <c:pt idx="1">
                  <c:v>152625.93551660361</c:v>
                </c:pt>
                <c:pt idx="2">
                  <c:v>377489.95316964627</c:v>
                </c:pt>
              </c:numCache>
            </c:numRef>
          </c:yVal>
          <c:smooth val="0"/>
        </c:ser>
        <c:ser>
          <c:idx val="8"/>
          <c:order val="2"/>
          <c:tx>
            <c:v>Advanced Total Blade Cost Curve</c:v>
          </c:tx>
          <c:spPr>
            <a:ln w="28575">
              <a:noFill/>
            </a:ln>
          </c:spPr>
          <c:marker>
            <c:symbol val="dot"/>
            <c:size val="2"/>
            <c:spPr>
              <a:noFill/>
              <a:ln>
                <a:solidFill>
                  <a:srgbClr val="FF0000"/>
                </a:solidFill>
                <a:prstDash val="solid"/>
              </a:ln>
            </c:spPr>
          </c:marker>
          <c:trendline>
            <c:spPr>
              <a:ln w="38100">
                <a:solidFill>
                  <a:srgbClr val="FF0000"/>
                </a:solidFill>
                <a:prstDash val="solid"/>
              </a:ln>
            </c:spPr>
            <c:trendlineType val="power"/>
            <c:dispRSqr val="0"/>
            <c:dispEq val="0"/>
          </c:trendline>
          <c:xVal>
            <c:numRef>
              <c:f>'Blade Mass &amp; Cost'!$L$71:$L$73</c:f>
              <c:numCache>
                <c:formatCode>General</c:formatCode>
                <c:ptCount val="3"/>
                <c:pt idx="0">
                  <c:v>50</c:v>
                </c:pt>
                <c:pt idx="1">
                  <c:v>52</c:v>
                </c:pt>
                <c:pt idx="2">
                  <c:v>72</c:v>
                </c:pt>
              </c:numCache>
            </c:numRef>
          </c:xVal>
          <c:yVal>
            <c:numRef>
              <c:f>'Blade Mass &amp; Cost'!$O$71:$O$73</c:f>
              <c:numCache>
                <c:formatCode>_("$"* #,##0_);_("$"* \(#,##0\);_("$"* "-"??_);_(@_)</c:formatCode>
                <c:ptCount val="3"/>
                <c:pt idx="0">
                  <c:v>108871.23666344967</c:v>
                </c:pt>
                <c:pt idx="1">
                  <c:v>124642.64549351986</c:v>
                </c:pt>
                <c:pt idx="2">
                  <c:v>349506.66314656241</c:v>
                </c:pt>
              </c:numCache>
            </c:numRef>
          </c:yVal>
          <c:smooth val="0"/>
        </c:ser>
        <c:ser>
          <c:idx val="2"/>
          <c:order val="3"/>
          <c:tx>
            <c:v>TPI Labor Cost</c:v>
          </c:tx>
          <c:spPr>
            <a:ln w="28575">
              <a:noFill/>
            </a:ln>
          </c:spPr>
          <c:marker>
            <c:symbol val="diamond"/>
            <c:size val="8"/>
            <c:spPr>
              <a:solidFill>
                <a:srgbClr val="008080"/>
              </a:solidFill>
              <a:ln>
                <a:solidFill>
                  <a:srgbClr val="008080"/>
                </a:solidFill>
                <a:prstDash val="solid"/>
              </a:ln>
            </c:spPr>
          </c:marker>
          <c:trendline>
            <c:spPr>
              <a:ln w="25400">
                <a:solidFill>
                  <a:srgbClr val="008080"/>
                </a:solidFill>
                <a:prstDash val="lgDash"/>
              </a:ln>
            </c:spPr>
            <c:trendlineType val="power"/>
            <c:dispRSqr val="0"/>
            <c:dispEq val="1"/>
            <c:trendlineLbl>
              <c:layout>
                <c:manualLayout>
                  <c:x val="-0.428632381956288"/>
                  <c:y val="8.5871032742315903E-2"/>
                </c:manualLayout>
              </c:layout>
              <c:tx>
                <c:rich>
                  <a:bodyPr/>
                  <a:lstStyle/>
                  <a:p>
                    <a:pPr>
                      <a:defRPr sz="900" b="0" i="0" u="none" strike="noStrike" baseline="0">
                        <a:solidFill>
                          <a:srgbClr val="000000"/>
                        </a:solidFill>
                        <a:latin typeface="Arial"/>
                        <a:ea typeface="Arial"/>
                        <a:cs typeface="Arial"/>
                      </a:defRPr>
                    </a:pPr>
                    <a:r>
                      <a:rPr lang="en-US" sz="1100" b="0" i="0" u="none" strike="noStrike" baseline="0">
                        <a:solidFill>
                          <a:srgbClr val="000000"/>
                        </a:solidFill>
                        <a:latin typeface="Arial"/>
                        <a:cs typeface="Arial"/>
                      </a:rPr>
                      <a:t>TPI Labor Costs</a:t>
                    </a:r>
                  </a:p>
                  <a:p>
                    <a:pPr>
                      <a:defRPr sz="900" b="0" i="0" u="none" strike="noStrike" baseline="0">
                        <a:solidFill>
                          <a:srgbClr val="000000"/>
                        </a:solidFill>
                        <a:latin typeface="Arial"/>
                        <a:ea typeface="Arial"/>
                        <a:cs typeface="Arial"/>
                      </a:defRPr>
                    </a:pPr>
                    <a:r>
                      <a:rPr lang="en-US" sz="1100" b="0" i="0" u="none" strike="noStrike" baseline="0">
                        <a:solidFill>
                          <a:srgbClr val="000000"/>
                        </a:solidFill>
                        <a:latin typeface="Arial"/>
                        <a:cs typeface="Arial"/>
                      </a:rPr>
                      <a:t>2002$ = 2.7445R</a:t>
                    </a:r>
                    <a:r>
                      <a:rPr lang="en-US" sz="1100" b="0" i="0" u="none" strike="noStrike" baseline="30000">
                        <a:solidFill>
                          <a:srgbClr val="000000"/>
                        </a:solidFill>
                        <a:latin typeface="Arial"/>
                        <a:cs typeface="Arial"/>
                      </a:rPr>
                      <a:t>2.5025</a:t>
                    </a:r>
                  </a:p>
                </c:rich>
              </c:tx>
              <c:numFmt formatCode="General" sourceLinked="0"/>
              <c:spPr>
                <a:solidFill>
                  <a:srgbClr val="FFFFFF"/>
                </a:solidFill>
                <a:ln w="25400">
                  <a:noFill/>
                </a:ln>
              </c:spPr>
            </c:trendlineLbl>
          </c:trendline>
          <c:xVal>
            <c:numRef>
              <c:f>'Blade Mass &amp; Cost'!$B$71:$B$73</c:f>
              <c:numCache>
                <c:formatCode>General</c:formatCode>
                <c:ptCount val="3"/>
                <c:pt idx="0">
                  <c:v>32</c:v>
                </c:pt>
                <c:pt idx="1">
                  <c:v>52</c:v>
                </c:pt>
                <c:pt idx="2">
                  <c:v>72</c:v>
                </c:pt>
              </c:numCache>
            </c:numRef>
          </c:xVal>
          <c:yVal>
            <c:numRef>
              <c:f>'Blade Mass &amp; Cost'!$E$71:$E$73</c:f>
              <c:numCache>
                <c:formatCode>_("$"* #,##0_);_("$"* \(#,##0\);_("$"* "-"??_);_(@_)</c:formatCode>
                <c:ptCount val="3"/>
                <c:pt idx="0">
                  <c:v>14674.836375488918</c:v>
                </c:pt>
                <c:pt idx="1">
                  <c:v>48095.17391304348</c:v>
                </c:pt>
                <c:pt idx="2">
                  <c:v>112104.2612137203</c:v>
                </c:pt>
              </c:numCache>
            </c:numRef>
          </c:yVal>
          <c:smooth val="0"/>
        </c:ser>
        <c:ser>
          <c:idx val="0"/>
          <c:order val="4"/>
          <c:tx>
            <c:v>TPI Baseline Blade Material Cost</c:v>
          </c:tx>
          <c:spPr>
            <a:ln w="28575">
              <a:noFill/>
            </a:ln>
          </c:spPr>
          <c:marker>
            <c:symbol val="diamond"/>
            <c:size val="7"/>
            <c:spPr>
              <a:solidFill>
                <a:srgbClr val="0000FF"/>
              </a:solidFill>
              <a:ln>
                <a:solidFill>
                  <a:srgbClr val="0000FF"/>
                </a:solidFill>
                <a:prstDash val="solid"/>
              </a:ln>
            </c:spPr>
          </c:marker>
          <c:trendline>
            <c:spPr>
              <a:ln w="25400">
                <a:solidFill>
                  <a:srgbClr val="0000FF"/>
                </a:solidFill>
                <a:prstDash val="lgDash"/>
              </a:ln>
            </c:spPr>
            <c:trendlineType val="power"/>
            <c:dispRSqr val="0"/>
            <c:dispEq val="1"/>
            <c:trendlineLbl>
              <c:layout>
                <c:manualLayout>
                  <c:x val="9.8908929237445098E-2"/>
                  <c:y val="-3.88567644929756E-2"/>
                </c:manualLayout>
              </c:layout>
              <c:tx>
                <c:rich>
                  <a:bodyPr/>
                  <a:lstStyle/>
                  <a:p>
                    <a:pPr>
                      <a:defRPr sz="1100" b="0" i="0" u="none" strike="noStrike" baseline="0">
                        <a:solidFill>
                          <a:srgbClr val="000000"/>
                        </a:solidFill>
                        <a:latin typeface="Arial"/>
                        <a:ea typeface="Arial"/>
                        <a:cs typeface="Arial"/>
                      </a:defRPr>
                    </a:pPr>
                    <a:r>
                      <a:t>Baseline Material Cost:
2002$ = 0.4019R^3 - 955.24</a:t>
                    </a:r>
                  </a:p>
                </c:rich>
              </c:tx>
              <c:numFmt formatCode="General" sourceLinked="0"/>
              <c:spPr>
                <a:noFill/>
                <a:ln w="25400">
                  <a:noFill/>
                </a:ln>
              </c:spPr>
            </c:trendlineLbl>
          </c:trendline>
          <c:xVal>
            <c:numRef>
              <c:f>'Blade Mass &amp; Cost'!$B$71:$B$73</c:f>
              <c:numCache>
                <c:formatCode>General</c:formatCode>
                <c:ptCount val="3"/>
                <c:pt idx="0">
                  <c:v>32</c:v>
                </c:pt>
                <c:pt idx="1">
                  <c:v>52</c:v>
                </c:pt>
                <c:pt idx="2">
                  <c:v>72</c:v>
                </c:pt>
              </c:numCache>
            </c:numRef>
          </c:xVal>
          <c:yVal>
            <c:numRef>
              <c:f>'Blade Mass &amp; Cost'!$D$71:$D$73</c:f>
              <c:numCache>
                <c:formatCode>_("$"* #,##0_);_("$"* \(#,##0\);_("$"* "-"??_);_(@_)</c:formatCode>
                <c:ptCount val="3"/>
                <c:pt idx="0">
                  <c:v>12241</c:v>
                </c:pt>
                <c:pt idx="1">
                  <c:v>55523</c:v>
                </c:pt>
                <c:pt idx="2">
                  <c:v>149079</c:v>
                </c:pt>
              </c:numCache>
            </c:numRef>
          </c:yVal>
          <c:smooth val="0"/>
        </c:ser>
        <c:ser>
          <c:idx val="4"/>
          <c:order val="5"/>
          <c:tx>
            <c:v>TPI Advanced Blade Material Cost</c:v>
          </c:tx>
          <c:spPr>
            <a:ln w="28575">
              <a:noFill/>
            </a:ln>
          </c:spPr>
          <c:marker>
            <c:symbol val="diamond"/>
            <c:size val="8"/>
            <c:spPr>
              <a:solidFill>
                <a:srgbClr val="FF0000"/>
              </a:solidFill>
              <a:ln>
                <a:solidFill>
                  <a:srgbClr val="FF0000"/>
                </a:solidFill>
                <a:prstDash val="solid"/>
              </a:ln>
            </c:spPr>
          </c:marker>
          <c:xVal>
            <c:numRef>
              <c:f>'Blade Mass &amp; Cost'!$S$69:$S$72</c:f>
              <c:numCache>
                <c:formatCode>General</c:formatCode>
                <c:ptCount val="4"/>
                <c:pt idx="0">
                  <c:v>52</c:v>
                </c:pt>
                <c:pt idx="1">
                  <c:v>52</c:v>
                </c:pt>
                <c:pt idx="2">
                  <c:v>52</c:v>
                </c:pt>
                <c:pt idx="3">
                  <c:v>52</c:v>
                </c:pt>
              </c:numCache>
            </c:numRef>
          </c:xVal>
          <c:yVal>
            <c:numRef>
              <c:f>'Blade Mass &amp; Cost'!$W$69:$W$72</c:f>
              <c:numCache>
                <c:formatCode>_("$"* #,##0_);_("$"* \(#,##0\);_("$"* "-"??_);_(@_)</c:formatCode>
                <c:ptCount val="4"/>
                <c:pt idx="0">
                  <c:v>33500.939616000003</c:v>
                </c:pt>
                <c:pt idx="1">
                  <c:v>37257.657301200001</c:v>
                </c:pt>
                <c:pt idx="2">
                  <c:v>35312.539339800001</c:v>
                </c:pt>
                <c:pt idx="3">
                  <c:v>39069.257024999999</c:v>
                </c:pt>
              </c:numCache>
            </c:numRef>
          </c:yVal>
          <c:smooth val="0"/>
        </c:ser>
        <c:ser>
          <c:idx val="5"/>
          <c:order val="6"/>
          <c:tx>
            <c:v>WindPACT Blade Cost 2002 $</c:v>
          </c:tx>
          <c:spPr>
            <a:ln w="28575">
              <a:noFill/>
            </a:ln>
          </c:spPr>
          <c:marker>
            <c:symbol val="square"/>
            <c:size val="8"/>
            <c:spPr>
              <a:solidFill>
                <a:srgbClr val="800000"/>
              </a:solidFill>
              <a:ln>
                <a:solidFill>
                  <a:srgbClr val="800000"/>
                </a:solidFill>
                <a:prstDash val="solid"/>
              </a:ln>
            </c:spPr>
          </c:marker>
          <c:trendline>
            <c:spPr>
              <a:ln w="25400">
                <a:solidFill>
                  <a:srgbClr val="993300"/>
                </a:solidFill>
                <a:prstDash val="lgDash"/>
              </a:ln>
            </c:spPr>
            <c:trendlineType val="power"/>
            <c:dispRSqr val="0"/>
            <c:dispEq val="1"/>
            <c:trendlineLbl>
              <c:layout>
                <c:manualLayout>
                  <c:x val="9.6377206547200896E-3"/>
                  <c:y val="-6.55850282991952E-2"/>
                </c:manualLayout>
              </c:layout>
              <c:tx>
                <c:rich>
                  <a:bodyPr/>
                  <a:lstStyle/>
                  <a:p>
                    <a:pPr>
                      <a:defRPr sz="900" b="0" i="0" u="none" strike="noStrike" baseline="0">
                        <a:solidFill>
                          <a:srgbClr val="000000"/>
                        </a:solidFill>
                        <a:latin typeface="Arial"/>
                        <a:ea typeface="Arial"/>
                        <a:cs typeface="Arial"/>
                      </a:defRPr>
                    </a:pPr>
                    <a:r>
                      <a:rPr lang="en-US" sz="1100" b="0" i="0" u="none" strike="noStrike" baseline="0">
                        <a:solidFill>
                          <a:srgbClr val="000000"/>
                        </a:solidFill>
                        <a:latin typeface="Arial"/>
                        <a:cs typeface="Arial"/>
                      </a:rPr>
                      <a:t>WindPACT Blade Cost:</a:t>
                    </a:r>
                  </a:p>
                  <a:p>
                    <a:pPr>
                      <a:defRPr sz="900" b="0" i="0" u="none" strike="noStrike" baseline="0">
                        <a:solidFill>
                          <a:srgbClr val="000000"/>
                        </a:solidFill>
                        <a:latin typeface="Arial"/>
                        <a:ea typeface="Arial"/>
                        <a:cs typeface="Arial"/>
                      </a:defRPr>
                    </a:pPr>
                    <a:r>
                      <a:rPr lang="en-US" sz="1100" b="0" i="0" u="none" strike="noStrike" baseline="0">
                        <a:solidFill>
                          <a:srgbClr val="000000"/>
                        </a:solidFill>
                        <a:latin typeface="Arial"/>
                        <a:cs typeface="Arial"/>
                      </a:rPr>
                      <a:t>2002$ = 3.1225R</a:t>
                    </a:r>
                    <a:r>
                      <a:rPr lang="en-US" sz="1100" b="0" i="0" u="none" strike="noStrike" baseline="30000">
                        <a:solidFill>
                          <a:srgbClr val="000000"/>
                        </a:solidFill>
                        <a:latin typeface="Arial"/>
                        <a:cs typeface="Arial"/>
                      </a:rPr>
                      <a:t>2.879</a:t>
                    </a:r>
                  </a:p>
                </c:rich>
              </c:tx>
              <c:numFmt formatCode="General" sourceLinked="0"/>
              <c:spPr>
                <a:solidFill>
                  <a:srgbClr val="FFFFFF"/>
                </a:solidFill>
                <a:ln w="25400">
                  <a:noFill/>
                </a:ln>
              </c:spPr>
            </c:trendlineLbl>
          </c:trendline>
          <c:xVal>
            <c:numRef>
              <c:f>'Blade Mass &amp; Cost'!$C$81:$C$84</c:f>
              <c:numCache>
                <c:formatCode>General</c:formatCode>
                <c:ptCount val="4"/>
                <c:pt idx="0">
                  <c:v>25</c:v>
                </c:pt>
                <c:pt idx="1">
                  <c:v>35</c:v>
                </c:pt>
                <c:pt idx="2">
                  <c:v>49.5</c:v>
                </c:pt>
                <c:pt idx="3">
                  <c:v>64</c:v>
                </c:pt>
              </c:numCache>
            </c:numRef>
          </c:xVal>
          <c:yVal>
            <c:numRef>
              <c:f>'Blade Mass &amp; Cost'!$D$81:$D$84</c:f>
              <c:numCache>
                <c:formatCode>_("$"* #,##0_);_("$"* \(#,##0\);_("$"* "-"??_);_(@_)</c:formatCode>
                <c:ptCount val="4"/>
                <c:pt idx="0">
                  <c:v>21358</c:v>
                </c:pt>
                <c:pt idx="1">
                  <c:v>49263.666666666664</c:v>
                </c:pt>
                <c:pt idx="2">
                  <c:v>145821.33333333334</c:v>
                </c:pt>
                <c:pt idx="3">
                  <c:v>301967.66666666669</c:v>
                </c:pt>
              </c:numCache>
            </c:numRef>
          </c:yVal>
          <c:smooth val="0"/>
        </c:ser>
        <c:ser>
          <c:idx val="3"/>
          <c:order val="7"/>
          <c:tx>
            <c:v>Manufacturer quotes - not 2005 $</c:v>
          </c:tx>
          <c:spPr>
            <a:ln w="28575">
              <a:noFill/>
            </a:ln>
          </c:spPr>
          <c:marker>
            <c:symbol val="circle"/>
            <c:size val="8"/>
            <c:spPr>
              <a:solidFill>
                <a:srgbClr val="0000FF"/>
              </a:solidFill>
              <a:ln>
                <a:solidFill>
                  <a:srgbClr val="0000FF"/>
                </a:solidFill>
                <a:prstDash val="solid"/>
              </a:ln>
            </c:spPr>
          </c:marker>
          <c:xVal>
            <c:numRef>
              <c:f>'Blade Mass &amp; Cost'!$C$88:$C$90</c:f>
              <c:numCache>
                <c:formatCode>General</c:formatCode>
                <c:ptCount val="3"/>
                <c:pt idx="0">
                  <c:v>46.5</c:v>
                </c:pt>
                <c:pt idx="1">
                  <c:v>44.75</c:v>
                </c:pt>
                <c:pt idx="2">
                  <c:v>46.25</c:v>
                </c:pt>
              </c:numCache>
            </c:numRef>
          </c:xVal>
          <c:yVal>
            <c:numRef>
              <c:f>'Blade Mass &amp; Cost'!$D$88:$D$90</c:f>
              <c:numCache>
                <c:formatCode>_("$"* #,##0_);_("$"* \(#,##0\);_("$"* "-"??_);_(@_)</c:formatCode>
                <c:ptCount val="3"/>
                <c:pt idx="0">
                  <c:v>99900</c:v>
                </c:pt>
                <c:pt idx="1">
                  <c:v>136960</c:v>
                </c:pt>
                <c:pt idx="2">
                  <c:v>130896.66666666667</c:v>
                </c:pt>
              </c:numCache>
            </c:numRef>
          </c:yVal>
          <c:smooth val="0"/>
        </c:ser>
        <c:ser>
          <c:idx val="7"/>
          <c:order val="8"/>
          <c:tx>
            <c:v>Advanced blade material cost</c:v>
          </c:tx>
          <c:spPr>
            <a:ln w="28575">
              <a:noFill/>
            </a:ln>
          </c:spPr>
          <c:marker>
            <c:symbol val="square"/>
            <c:size val="2"/>
            <c:spPr>
              <a:solidFill>
                <a:srgbClr val="FF0000"/>
              </a:solidFill>
              <a:ln>
                <a:solidFill>
                  <a:srgbClr val="FF0000"/>
                </a:solidFill>
                <a:prstDash val="solid"/>
              </a:ln>
            </c:spPr>
          </c:marker>
          <c:trendline>
            <c:spPr>
              <a:ln w="25400">
                <a:solidFill>
                  <a:srgbClr val="FF0000"/>
                </a:solidFill>
                <a:prstDash val="lgDash"/>
              </a:ln>
            </c:spPr>
            <c:trendlineType val="power"/>
            <c:dispRSqr val="1"/>
            <c:dispEq val="1"/>
            <c:trendlineLbl>
              <c:layout>
                <c:manualLayout>
                  <c:x val="0.112909957166602"/>
                  <c:y val="0.203476439372965"/>
                </c:manualLayout>
              </c:layout>
              <c:tx>
                <c:rich>
                  <a:bodyPr/>
                  <a:lstStyle/>
                  <a:p>
                    <a:pPr>
                      <a:defRPr sz="1100" b="0" i="0" u="none" strike="noStrike" baseline="0">
                        <a:solidFill>
                          <a:srgbClr val="000000"/>
                        </a:solidFill>
                        <a:latin typeface="Arial"/>
                        <a:ea typeface="Arial"/>
                        <a:cs typeface="Arial"/>
                      </a:defRPr>
                    </a:pPr>
                    <a:r>
                      <a:t>Advanced Material Cost:
2002$ = 0.4019R^3 - 21051</a:t>
                    </a:r>
                  </a:p>
                </c:rich>
              </c:tx>
              <c:numFmt formatCode="General" sourceLinked="0"/>
              <c:spPr>
                <a:solidFill>
                  <a:srgbClr val="FFFFFF"/>
                </a:solidFill>
                <a:ln w="25400">
                  <a:noFill/>
                </a:ln>
              </c:spPr>
            </c:trendlineLbl>
          </c:trendline>
          <c:xVal>
            <c:numRef>
              <c:f>'Blade Mass &amp; Cost'!$L$71:$L$73</c:f>
              <c:numCache>
                <c:formatCode>General</c:formatCode>
                <c:ptCount val="3"/>
                <c:pt idx="0">
                  <c:v>50</c:v>
                </c:pt>
                <c:pt idx="1">
                  <c:v>52</c:v>
                </c:pt>
                <c:pt idx="2">
                  <c:v>72</c:v>
                </c:pt>
              </c:numCache>
            </c:numRef>
          </c:xVal>
          <c:yVal>
            <c:numRef>
              <c:f>'Blade Mass &amp; Cost'!$N$71:$N$73</c:f>
              <c:numCache>
                <c:formatCode>_("$"* #,##0.00_);_("$"* \(#,##0.00\);_("$"* "-"??_);_(@_)</c:formatCode>
                <c:ptCount val="3"/>
                <c:pt idx="0">
                  <c:v>29191.151583413506</c:v>
                </c:pt>
                <c:pt idx="1">
                  <c:v>35464.59334031833</c:v>
                </c:pt>
                <c:pt idx="2">
                  <c:v>128971.35207470701</c:v>
                </c:pt>
              </c:numCache>
            </c:numRef>
          </c:yVal>
          <c:smooth val="0"/>
        </c:ser>
        <c:ser>
          <c:idx val="9"/>
          <c:order val="9"/>
          <c:tx>
            <c:v>Current Design</c:v>
          </c:tx>
          <c:spPr>
            <a:ln w="28575">
              <a:noFill/>
            </a:ln>
          </c:spPr>
          <c:marker>
            <c:symbol val="circle"/>
            <c:size val="10"/>
            <c:spPr>
              <a:solidFill>
                <a:srgbClr val="00FF00"/>
              </a:solidFill>
              <a:ln>
                <a:solidFill>
                  <a:srgbClr val="00FF00"/>
                </a:solidFill>
                <a:prstDash val="solid"/>
              </a:ln>
            </c:spPr>
          </c:marker>
          <c:xVal>
            <c:numRef>
              <c:f>'Blade Mass &amp; Cost'!$D$7</c:f>
              <c:numCache>
                <c:formatCode>General</c:formatCode>
                <c:ptCount val="1"/>
                <c:pt idx="0">
                  <c:v>48.45</c:v>
                </c:pt>
              </c:numCache>
            </c:numRef>
          </c:xVal>
          <c:yVal>
            <c:numRef>
              <c:f>'Blade Mass &amp; Cost'!$F$7</c:f>
              <c:numCache>
                <c:formatCode>_("$"* #,##0_);_("$"* \(#,##0\);_("$"* "-"??_);_(@_)</c:formatCode>
                <c:ptCount val="1"/>
                <c:pt idx="0">
                  <c:v>107944.1451486295</c:v>
                </c:pt>
              </c:numCache>
            </c:numRef>
          </c:yVal>
          <c:smooth val="0"/>
        </c:ser>
        <c:dLbls>
          <c:showLegendKey val="0"/>
          <c:showVal val="0"/>
          <c:showCatName val="0"/>
          <c:showSerName val="0"/>
          <c:showPercent val="0"/>
          <c:showBubbleSize val="0"/>
        </c:dLbls>
        <c:axId val="135930624"/>
        <c:axId val="135932928"/>
      </c:scatterChart>
      <c:valAx>
        <c:axId val="135930624"/>
        <c:scaling>
          <c:orientation val="minMax"/>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t>Rotor Radius (m)</a:t>
                </a:r>
              </a:p>
            </c:rich>
          </c:tx>
          <c:layout>
            <c:manualLayout>
              <c:xMode val="edge"/>
              <c:yMode val="edge"/>
              <c:x val="0.479548956239428"/>
              <c:y val="0.9398389347672999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35932928"/>
        <c:crosses val="autoZero"/>
        <c:crossBetween val="midCat"/>
      </c:valAx>
      <c:valAx>
        <c:axId val="135932928"/>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t>Cost ($)</a:t>
                </a:r>
              </a:p>
            </c:rich>
          </c:tx>
          <c:layout>
            <c:manualLayout>
              <c:xMode val="edge"/>
              <c:yMode val="edge"/>
              <c:x val="1.2693935119887201E-2"/>
              <c:y val="0.45365921942684001"/>
            </c:manualLayout>
          </c:layout>
          <c:overlay val="0"/>
          <c:spPr>
            <a:noFill/>
            <a:ln w="25400">
              <a:noFill/>
            </a:ln>
          </c:spPr>
        </c:title>
        <c:numFmt formatCode="_(&quot;$&quot;* #,##0_);_(&quot;$&quot;* \(#,##0\);_(&quot;$&quot;* &quot;-&quot;??_);_(@_)"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135930624"/>
        <c:crosses val="autoZero"/>
        <c:crossBetween val="midCat"/>
      </c:valAx>
      <c:spPr>
        <a:noFill/>
        <a:ln w="25400">
          <a:noFill/>
        </a:ln>
      </c:spPr>
    </c:plotArea>
    <c:legend>
      <c:legendPos val="r"/>
      <c:legendEntry>
        <c:idx val="1"/>
        <c:delete val="1"/>
      </c:legendEntry>
      <c:legendEntry>
        <c:idx val="2"/>
        <c:delete val="1"/>
      </c:legendEntry>
      <c:legendEntry>
        <c:idx val="8"/>
        <c:delete val="1"/>
      </c:legendEntry>
      <c:legendEntry>
        <c:idx val="10"/>
        <c:delete val="1"/>
      </c:legendEntry>
      <c:legendEntry>
        <c:idx val="11"/>
        <c:delete val="1"/>
      </c:legendEntry>
      <c:legendEntry>
        <c:idx val="12"/>
        <c:delete val="1"/>
      </c:legendEntry>
      <c:legendEntry>
        <c:idx val="13"/>
        <c:delete val="1"/>
      </c:legendEntry>
      <c:layout>
        <c:manualLayout>
          <c:xMode val="edge"/>
          <c:yMode val="edge"/>
          <c:wMode val="edge"/>
          <c:hMode val="edge"/>
          <c:x val="0.23836404088417101"/>
          <c:y val="0.131707487783539"/>
          <c:w val="0.62200326510667103"/>
          <c:h val="0.46341531698781702"/>
        </c:manualLayout>
      </c:layout>
      <c:overlay val="0"/>
      <c:spPr>
        <a:solidFill>
          <a:srgbClr val="FFFFFF"/>
        </a:solidFill>
        <a:ln w="3175">
          <a:solidFill>
            <a:srgbClr val="000000"/>
          </a:solidFill>
          <a:prstDash val="solid"/>
        </a:ln>
      </c:spPr>
      <c:txPr>
        <a:bodyPr/>
        <a:lstStyle/>
        <a:p>
          <a:pPr>
            <a:defRPr sz="48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orientation="landscape"/>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PM Direct Drive</a:t>
            </a:r>
          </a:p>
        </c:rich>
      </c:tx>
      <c:overlay val="0"/>
    </c:title>
    <c:autoTitleDeleted val="0"/>
    <c:plotArea>
      <c:layout/>
      <c:scatterChart>
        <c:scatterStyle val="smoothMarker"/>
        <c:varyColors val="0"/>
        <c:ser>
          <c:idx val="0"/>
          <c:order val="0"/>
          <c:tx>
            <c:strRef>
              <c:f>'Drive Train Efficiency'!$S$3</c:f>
              <c:strCache>
                <c:ptCount val="1"/>
                <c:pt idx="0">
                  <c:v>Model</c:v>
                </c:pt>
              </c:strCache>
            </c:strRef>
          </c:tx>
          <c:spPr>
            <a:ln w="12700"/>
          </c:spPr>
          <c:marker>
            <c:symbol val="diamond"/>
            <c:size val="7"/>
            <c:spPr>
              <a:ln>
                <a:noFill/>
              </a:ln>
            </c:spPr>
          </c:marker>
          <c:xVal>
            <c:numRef>
              <c:f>'Drive Train Efficiency'!$H$4:$H$8</c:f>
              <c:numCache>
                <c:formatCode>0.00</c:formatCode>
                <c:ptCount val="5"/>
                <c:pt idx="0">
                  <c:v>1</c:v>
                </c:pt>
                <c:pt idx="1">
                  <c:v>0.75</c:v>
                </c:pt>
                <c:pt idx="2">
                  <c:v>0.5</c:v>
                </c:pt>
                <c:pt idx="3">
                  <c:v>0.25</c:v>
                </c:pt>
                <c:pt idx="4">
                  <c:v>0.06</c:v>
                </c:pt>
              </c:numCache>
            </c:numRef>
          </c:xVal>
          <c:yVal>
            <c:numRef>
              <c:f>'Drive Train Efficiency'!$S$4:$S$8</c:f>
              <c:numCache>
                <c:formatCode>0.0%</c:formatCode>
                <c:ptCount val="5"/>
                <c:pt idx="0">
                  <c:v>0.90094238546614913</c:v>
                </c:pt>
                <c:pt idx="1">
                  <c:v>0.91483268202330648</c:v>
                </c:pt>
                <c:pt idx="2">
                  <c:v>0.92536569374067734</c:v>
                </c:pt>
                <c:pt idx="3">
                  <c:v>0.92246956609890207</c:v>
                </c:pt>
                <c:pt idx="4">
                  <c:v>0.80800090404869052</c:v>
                </c:pt>
              </c:numCache>
            </c:numRef>
          </c:yVal>
          <c:smooth val="1"/>
        </c:ser>
        <c:ser>
          <c:idx val="1"/>
          <c:order val="1"/>
          <c:tx>
            <c:strRef>
              <c:f>'Drive Train Efficiency'!$R$3</c:f>
              <c:strCache>
                <c:ptCount val="1"/>
                <c:pt idx="0">
                  <c:v>WindPACT</c:v>
                </c:pt>
              </c:strCache>
            </c:strRef>
          </c:tx>
          <c:spPr>
            <a:ln w="12700"/>
          </c:spPr>
          <c:marker>
            <c:symbol val="square"/>
            <c:size val="5"/>
            <c:spPr>
              <a:solidFill>
                <a:srgbClr val="C00000">
                  <a:alpha val="50000"/>
                </a:srgbClr>
              </a:solidFill>
              <a:ln>
                <a:noFill/>
              </a:ln>
            </c:spPr>
          </c:marker>
          <c:xVal>
            <c:numRef>
              <c:f>'Drive Train Efficiency'!$H$4:$H$8</c:f>
              <c:numCache>
                <c:formatCode>0.00</c:formatCode>
                <c:ptCount val="5"/>
                <c:pt idx="0">
                  <c:v>1</c:v>
                </c:pt>
                <c:pt idx="1">
                  <c:v>0.75</c:v>
                </c:pt>
                <c:pt idx="2">
                  <c:v>0.5</c:v>
                </c:pt>
                <c:pt idx="3">
                  <c:v>0.25</c:v>
                </c:pt>
                <c:pt idx="4">
                  <c:v>0.06</c:v>
                </c:pt>
              </c:numCache>
            </c:numRef>
          </c:xVal>
          <c:yVal>
            <c:numRef>
              <c:f>'Drive Train Efficiency'!$R$4:$R$8</c:f>
              <c:numCache>
                <c:formatCode>0.0%</c:formatCode>
                <c:ptCount val="5"/>
                <c:pt idx="0">
                  <c:v>0.90100000000000002</c:v>
                </c:pt>
                <c:pt idx="1">
                  <c:v>0.91400000000000003</c:v>
                </c:pt>
                <c:pt idx="2">
                  <c:v>0.92400000000000004</c:v>
                </c:pt>
                <c:pt idx="3">
                  <c:v>0.92700000000000005</c:v>
                </c:pt>
                <c:pt idx="4">
                  <c:v>0.80800000000000005</c:v>
                </c:pt>
              </c:numCache>
            </c:numRef>
          </c:yVal>
          <c:smooth val="1"/>
        </c:ser>
        <c:dLbls>
          <c:showLegendKey val="0"/>
          <c:showVal val="0"/>
          <c:showCatName val="0"/>
          <c:showSerName val="0"/>
          <c:showPercent val="0"/>
          <c:showBubbleSize val="0"/>
        </c:dLbls>
        <c:axId val="68915200"/>
        <c:axId val="68917504"/>
      </c:scatterChart>
      <c:valAx>
        <c:axId val="68915200"/>
        <c:scaling>
          <c:orientation val="minMax"/>
        </c:scaling>
        <c:delete val="0"/>
        <c:axPos val="b"/>
        <c:title>
          <c:tx>
            <c:rich>
              <a:bodyPr/>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Calibri"/>
                  </a:rPr>
                  <a:t>P/P</a:t>
                </a:r>
                <a:r>
                  <a:rPr lang="en-US" sz="1000" b="1" i="0" u="none" strike="noStrike" baseline="-25000">
                    <a:solidFill>
                      <a:srgbClr val="000000"/>
                    </a:solidFill>
                    <a:latin typeface="Calibri"/>
                  </a:rPr>
                  <a:t>rated</a:t>
                </a:r>
              </a:p>
            </c:rich>
          </c:tx>
          <c:overlay val="0"/>
        </c:title>
        <c:numFmt formatCode="0.0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917504"/>
        <c:crosses val="autoZero"/>
        <c:crossBetween val="midCat"/>
      </c:valAx>
      <c:valAx>
        <c:axId val="68917504"/>
        <c:scaling>
          <c:orientation val="minMax"/>
          <c:max val="1.0000000000000011"/>
          <c:min val="0.60000000000000098"/>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Drive Trane Efficiency</a:t>
                </a:r>
              </a:p>
            </c:rich>
          </c:tx>
          <c:overlay val="0"/>
        </c:title>
        <c:numFmt formatCode="0.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915200"/>
        <c:crosses val="autoZero"/>
        <c:crossBetween val="midCat"/>
      </c:valAx>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 l="0.70000000000000095" r="0.70000000000000095" t="0.750000000000003"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Single Stage</a:t>
            </a:r>
          </a:p>
        </c:rich>
      </c:tx>
      <c:overlay val="0"/>
    </c:title>
    <c:autoTitleDeleted val="0"/>
    <c:plotArea>
      <c:layout/>
      <c:scatterChart>
        <c:scatterStyle val="smoothMarker"/>
        <c:varyColors val="0"/>
        <c:ser>
          <c:idx val="0"/>
          <c:order val="0"/>
          <c:tx>
            <c:strRef>
              <c:f>'Drive Train Efficiency'!$M$3</c:f>
              <c:strCache>
                <c:ptCount val="1"/>
                <c:pt idx="0">
                  <c:v>Model</c:v>
                </c:pt>
              </c:strCache>
            </c:strRef>
          </c:tx>
          <c:spPr>
            <a:ln w="12700"/>
          </c:spPr>
          <c:marker>
            <c:symbol val="diamond"/>
            <c:size val="7"/>
            <c:spPr>
              <a:ln>
                <a:noFill/>
              </a:ln>
            </c:spPr>
          </c:marker>
          <c:xVal>
            <c:numRef>
              <c:f>'Drive Train Efficiency'!$H$4:$H$8</c:f>
              <c:numCache>
                <c:formatCode>0.00</c:formatCode>
                <c:ptCount val="5"/>
                <c:pt idx="0">
                  <c:v>1</c:v>
                </c:pt>
                <c:pt idx="1">
                  <c:v>0.75</c:v>
                </c:pt>
                <c:pt idx="2">
                  <c:v>0.5</c:v>
                </c:pt>
                <c:pt idx="3">
                  <c:v>0.25</c:v>
                </c:pt>
                <c:pt idx="4">
                  <c:v>0.06</c:v>
                </c:pt>
              </c:numCache>
            </c:numRef>
          </c:xVal>
          <c:yVal>
            <c:numRef>
              <c:f>'Drive Train Efficiency'!$M$4:$M$8</c:f>
              <c:numCache>
                <c:formatCode>0.0%</c:formatCode>
                <c:ptCount val="5"/>
                <c:pt idx="0">
                  <c:v>0.88907894914012042</c:v>
                </c:pt>
                <c:pt idx="1">
                  <c:v>0.89990983457798823</c:v>
                </c:pt>
                <c:pt idx="2">
                  <c:v>0.90630494182824306</c:v>
                </c:pt>
                <c:pt idx="3">
                  <c:v>0.89495693632804585</c:v>
                </c:pt>
                <c:pt idx="4">
                  <c:v>0.7380000295541167</c:v>
                </c:pt>
              </c:numCache>
            </c:numRef>
          </c:yVal>
          <c:smooth val="1"/>
        </c:ser>
        <c:ser>
          <c:idx val="1"/>
          <c:order val="1"/>
          <c:tx>
            <c:strRef>
              <c:f>'Drive Train Efficiency'!$L$3</c:f>
              <c:strCache>
                <c:ptCount val="1"/>
                <c:pt idx="0">
                  <c:v>WindPACT</c:v>
                </c:pt>
              </c:strCache>
            </c:strRef>
          </c:tx>
          <c:spPr>
            <a:ln w="12700"/>
          </c:spPr>
          <c:marker>
            <c:symbol val="square"/>
            <c:size val="5"/>
            <c:spPr>
              <a:solidFill>
                <a:srgbClr val="C00000">
                  <a:alpha val="50000"/>
                </a:srgbClr>
              </a:solidFill>
              <a:ln>
                <a:noFill/>
              </a:ln>
            </c:spPr>
          </c:marker>
          <c:xVal>
            <c:numRef>
              <c:f>'Drive Train Efficiency'!$H$4:$H$8</c:f>
              <c:numCache>
                <c:formatCode>0.00</c:formatCode>
                <c:ptCount val="5"/>
                <c:pt idx="0">
                  <c:v>1</c:v>
                </c:pt>
                <c:pt idx="1">
                  <c:v>0.75</c:v>
                </c:pt>
                <c:pt idx="2">
                  <c:v>0.5</c:v>
                </c:pt>
                <c:pt idx="3">
                  <c:v>0.25</c:v>
                </c:pt>
                <c:pt idx="4">
                  <c:v>0.06</c:v>
                </c:pt>
              </c:numCache>
            </c:numRef>
          </c:xVal>
          <c:yVal>
            <c:numRef>
              <c:f>'Drive Train Efficiency'!$L$4:$L$8</c:f>
              <c:numCache>
                <c:formatCode>0.0%</c:formatCode>
                <c:ptCount val="5"/>
                <c:pt idx="0">
                  <c:v>0.88900000000000001</c:v>
                </c:pt>
                <c:pt idx="1">
                  <c:v>0.9</c:v>
                </c:pt>
                <c:pt idx="2">
                  <c:v>0.90800000000000003</c:v>
                </c:pt>
                <c:pt idx="3">
                  <c:v>0.89300000000000002</c:v>
                </c:pt>
                <c:pt idx="4">
                  <c:v>0.73799999999999999</c:v>
                </c:pt>
              </c:numCache>
            </c:numRef>
          </c:yVal>
          <c:smooth val="1"/>
        </c:ser>
        <c:dLbls>
          <c:showLegendKey val="0"/>
          <c:showVal val="0"/>
          <c:showCatName val="0"/>
          <c:showSerName val="0"/>
          <c:showPercent val="0"/>
          <c:showBubbleSize val="0"/>
        </c:dLbls>
        <c:axId val="71691264"/>
        <c:axId val="71693824"/>
      </c:scatterChart>
      <c:valAx>
        <c:axId val="71691264"/>
        <c:scaling>
          <c:orientation val="minMax"/>
        </c:scaling>
        <c:delete val="0"/>
        <c:axPos val="b"/>
        <c:title>
          <c:tx>
            <c:rich>
              <a:bodyPr/>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Calibri"/>
                  </a:rPr>
                  <a:t>P/P</a:t>
                </a:r>
                <a:r>
                  <a:rPr lang="en-US" sz="1000" b="1" i="0" u="none" strike="noStrike" baseline="-25000">
                    <a:solidFill>
                      <a:srgbClr val="000000"/>
                    </a:solidFill>
                    <a:latin typeface="Calibri"/>
                  </a:rPr>
                  <a:t>rated</a:t>
                </a:r>
              </a:p>
            </c:rich>
          </c:tx>
          <c:overlay val="0"/>
        </c:title>
        <c:numFmt formatCode="0.0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1693824"/>
        <c:crosses val="autoZero"/>
        <c:crossBetween val="midCat"/>
      </c:valAx>
      <c:valAx>
        <c:axId val="71693824"/>
        <c:scaling>
          <c:orientation val="minMax"/>
          <c:max val="1"/>
          <c:min val="0.60000000000000098"/>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Drive Trane Efficiency</a:t>
                </a:r>
              </a:p>
            </c:rich>
          </c:tx>
          <c:overlay val="0"/>
        </c:title>
        <c:numFmt formatCode="0.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1691264"/>
        <c:crosses val="autoZero"/>
        <c:crossBetween val="midCat"/>
      </c:valAx>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 l="0.70000000000000095" r="0.70000000000000095" t="0.750000000000003"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Multidrive (6)</a:t>
            </a:r>
          </a:p>
        </c:rich>
      </c:tx>
      <c:overlay val="0"/>
    </c:title>
    <c:autoTitleDeleted val="0"/>
    <c:plotArea>
      <c:layout/>
      <c:scatterChart>
        <c:scatterStyle val="smoothMarker"/>
        <c:varyColors val="0"/>
        <c:ser>
          <c:idx val="0"/>
          <c:order val="0"/>
          <c:tx>
            <c:strRef>
              <c:f>'Drive Train Efficiency'!$P$3</c:f>
              <c:strCache>
                <c:ptCount val="1"/>
                <c:pt idx="0">
                  <c:v>Model</c:v>
                </c:pt>
              </c:strCache>
            </c:strRef>
          </c:tx>
          <c:spPr>
            <a:ln w="12700"/>
          </c:spPr>
          <c:marker>
            <c:symbol val="diamond"/>
            <c:size val="7"/>
            <c:spPr>
              <a:ln>
                <a:noFill/>
              </a:ln>
            </c:spPr>
          </c:marker>
          <c:xVal>
            <c:numRef>
              <c:f>'Drive Train Efficiency'!$H$4:$H$8</c:f>
              <c:numCache>
                <c:formatCode>0.00</c:formatCode>
                <c:ptCount val="5"/>
                <c:pt idx="0">
                  <c:v>1</c:v>
                </c:pt>
                <c:pt idx="1">
                  <c:v>0.75</c:v>
                </c:pt>
                <c:pt idx="2">
                  <c:v>0.5</c:v>
                </c:pt>
                <c:pt idx="3">
                  <c:v>0.25</c:v>
                </c:pt>
                <c:pt idx="4">
                  <c:v>0.06</c:v>
                </c:pt>
              </c:numCache>
            </c:numRef>
          </c:xVal>
          <c:yVal>
            <c:numRef>
              <c:f>'Drive Train Efficiency'!$P$4:$P$8</c:f>
              <c:numCache>
                <c:formatCode>0.0%</c:formatCode>
                <c:ptCount val="5"/>
                <c:pt idx="0">
                  <c:v>0.88199786904477873</c:v>
                </c:pt>
                <c:pt idx="1">
                  <c:v>0.89131437321916207</c:v>
                </c:pt>
                <c:pt idx="2">
                  <c:v>0.89547297169148121</c:v>
                </c:pt>
                <c:pt idx="3">
                  <c:v>0.87899994735554465</c:v>
                </c:pt>
                <c:pt idx="4">
                  <c:v>0.69400008218321418</c:v>
                </c:pt>
              </c:numCache>
            </c:numRef>
          </c:yVal>
          <c:smooth val="1"/>
        </c:ser>
        <c:ser>
          <c:idx val="1"/>
          <c:order val="1"/>
          <c:tx>
            <c:strRef>
              <c:f>'Drive Train Efficiency'!$O$3</c:f>
              <c:strCache>
                <c:ptCount val="1"/>
                <c:pt idx="0">
                  <c:v>WindPACT</c:v>
                </c:pt>
              </c:strCache>
            </c:strRef>
          </c:tx>
          <c:spPr>
            <a:ln w="12700"/>
          </c:spPr>
          <c:marker>
            <c:symbol val="square"/>
            <c:size val="5"/>
            <c:spPr>
              <a:solidFill>
                <a:srgbClr val="C00000">
                  <a:alpha val="50000"/>
                </a:srgbClr>
              </a:solidFill>
              <a:ln>
                <a:noFill/>
              </a:ln>
            </c:spPr>
          </c:marker>
          <c:xVal>
            <c:numRef>
              <c:f>'Drive Train Efficiency'!$H$4:$H$8</c:f>
              <c:numCache>
                <c:formatCode>0.00</c:formatCode>
                <c:ptCount val="5"/>
                <c:pt idx="0">
                  <c:v>1</c:v>
                </c:pt>
                <c:pt idx="1">
                  <c:v>0.75</c:v>
                </c:pt>
                <c:pt idx="2">
                  <c:v>0.5</c:v>
                </c:pt>
                <c:pt idx="3">
                  <c:v>0.25</c:v>
                </c:pt>
                <c:pt idx="4">
                  <c:v>0.06</c:v>
                </c:pt>
              </c:numCache>
            </c:numRef>
          </c:xVal>
          <c:yVal>
            <c:numRef>
              <c:f>'Drive Train Efficiency'!$O$4:$O$8</c:f>
              <c:numCache>
                <c:formatCode>0.0%</c:formatCode>
                <c:ptCount val="5"/>
                <c:pt idx="0">
                  <c:v>0.88200000000000001</c:v>
                </c:pt>
                <c:pt idx="1">
                  <c:v>0.89100000000000001</c:v>
                </c:pt>
                <c:pt idx="2">
                  <c:v>0.89800000000000002</c:v>
                </c:pt>
                <c:pt idx="3">
                  <c:v>0.879</c:v>
                </c:pt>
                <c:pt idx="4">
                  <c:v>0.69399999999999995</c:v>
                </c:pt>
              </c:numCache>
            </c:numRef>
          </c:yVal>
          <c:smooth val="1"/>
        </c:ser>
        <c:dLbls>
          <c:showLegendKey val="0"/>
          <c:showVal val="0"/>
          <c:showCatName val="0"/>
          <c:showSerName val="0"/>
          <c:showPercent val="0"/>
          <c:showBubbleSize val="0"/>
        </c:dLbls>
        <c:axId val="71907584"/>
        <c:axId val="68973312"/>
      </c:scatterChart>
      <c:valAx>
        <c:axId val="71907584"/>
        <c:scaling>
          <c:orientation val="minMax"/>
        </c:scaling>
        <c:delete val="0"/>
        <c:axPos val="b"/>
        <c:title>
          <c:tx>
            <c:rich>
              <a:bodyPr/>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Calibri"/>
                  </a:rPr>
                  <a:t>P/P</a:t>
                </a:r>
                <a:r>
                  <a:rPr lang="en-US" sz="1000" b="1" i="0" u="none" strike="noStrike" baseline="-25000">
                    <a:solidFill>
                      <a:srgbClr val="000000"/>
                    </a:solidFill>
                    <a:latin typeface="Calibri"/>
                  </a:rPr>
                  <a:t>rated</a:t>
                </a:r>
              </a:p>
            </c:rich>
          </c:tx>
          <c:overlay val="0"/>
        </c:title>
        <c:numFmt formatCode="0.0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973312"/>
        <c:crosses val="autoZero"/>
        <c:crossBetween val="midCat"/>
      </c:valAx>
      <c:valAx>
        <c:axId val="68973312"/>
        <c:scaling>
          <c:orientation val="minMax"/>
          <c:max val="1"/>
          <c:min val="0.60000000000000098"/>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Drive Trane Efficiency</a:t>
                </a:r>
              </a:p>
            </c:rich>
          </c:tx>
          <c:overlay val="0"/>
        </c:title>
        <c:numFmt formatCode="0.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1907584"/>
        <c:crosses val="autoZero"/>
        <c:crossBetween val="midCat"/>
      </c:valAx>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 l="0.70000000000000095" r="0.70000000000000095" t="0.750000000000003"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Drive Train Efficiency </a:t>
            </a:r>
          </a:p>
        </c:rich>
      </c:tx>
      <c:overlay val="0"/>
    </c:title>
    <c:autoTitleDeleted val="0"/>
    <c:plotArea>
      <c:layout/>
      <c:scatterChart>
        <c:scatterStyle val="smoothMarker"/>
        <c:varyColors val="0"/>
        <c:ser>
          <c:idx val="0"/>
          <c:order val="0"/>
          <c:tx>
            <c:strRef>
              <c:f>'Drive Train Efficiency'!$I$2:$K$2</c:f>
              <c:strCache>
                <c:ptCount val="1"/>
                <c:pt idx="0">
                  <c:v>Geared</c:v>
                </c:pt>
              </c:strCache>
            </c:strRef>
          </c:tx>
          <c:spPr>
            <a:ln w="12700"/>
          </c:spPr>
          <c:marker>
            <c:spPr>
              <a:ln>
                <a:noFill/>
              </a:ln>
            </c:spPr>
          </c:marker>
          <c:xVal>
            <c:numRef>
              <c:f>'Drive Train Efficiency'!$H$4:$H$8</c:f>
              <c:numCache>
                <c:formatCode>0.00</c:formatCode>
                <c:ptCount val="5"/>
                <c:pt idx="0">
                  <c:v>1</c:v>
                </c:pt>
                <c:pt idx="1">
                  <c:v>0.75</c:v>
                </c:pt>
                <c:pt idx="2">
                  <c:v>0.5</c:v>
                </c:pt>
                <c:pt idx="3">
                  <c:v>0.25</c:v>
                </c:pt>
                <c:pt idx="4">
                  <c:v>0.06</c:v>
                </c:pt>
              </c:numCache>
            </c:numRef>
          </c:xVal>
          <c:yVal>
            <c:numRef>
              <c:f>'Drive Train Efficiency'!$J$4:$J$8</c:f>
              <c:numCache>
                <c:formatCode>0.0%</c:formatCode>
                <c:ptCount val="5"/>
                <c:pt idx="0">
                  <c:v>0.90201044301465383</c:v>
                </c:pt>
                <c:pt idx="1">
                  <c:v>0.89771235153136208</c:v>
                </c:pt>
                <c:pt idx="2">
                  <c:v>0.88911616856477849</c:v>
                </c:pt>
                <c:pt idx="3">
                  <c:v>0.86332761966502769</c:v>
                </c:pt>
                <c:pt idx="4">
                  <c:v>0.70000014329993931</c:v>
                </c:pt>
              </c:numCache>
            </c:numRef>
          </c:yVal>
          <c:smooth val="1"/>
        </c:ser>
        <c:ser>
          <c:idx val="1"/>
          <c:order val="1"/>
          <c:tx>
            <c:strRef>
              <c:f>'Drive Train Efficiency'!$R$2:$T$2</c:f>
              <c:strCache>
                <c:ptCount val="1"/>
                <c:pt idx="0">
                  <c:v>PM Direct Drive</c:v>
                </c:pt>
              </c:strCache>
            </c:strRef>
          </c:tx>
          <c:spPr>
            <a:ln w="12700"/>
          </c:spPr>
          <c:marker>
            <c:spPr>
              <a:ln>
                <a:noFill/>
              </a:ln>
            </c:spPr>
          </c:marker>
          <c:xVal>
            <c:numRef>
              <c:f>'Drive Train Efficiency'!$H$4:$H$8</c:f>
              <c:numCache>
                <c:formatCode>0.00</c:formatCode>
                <c:ptCount val="5"/>
                <c:pt idx="0">
                  <c:v>1</c:v>
                </c:pt>
                <c:pt idx="1">
                  <c:v>0.75</c:v>
                </c:pt>
                <c:pt idx="2">
                  <c:v>0.5</c:v>
                </c:pt>
                <c:pt idx="3">
                  <c:v>0.25</c:v>
                </c:pt>
                <c:pt idx="4">
                  <c:v>0.06</c:v>
                </c:pt>
              </c:numCache>
            </c:numRef>
          </c:xVal>
          <c:yVal>
            <c:numRef>
              <c:f>'Drive Train Efficiency'!$S$4:$S$8</c:f>
              <c:numCache>
                <c:formatCode>0.0%</c:formatCode>
                <c:ptCount val="5"/>
                <c:pt idx="0">
                  <c:v>0.90094238546614913</c:v>
                </c:pt>
                <c:pt idx="1">
                  <c:v>0.91483268202330648</c:v>
                </c:pt>
                <c:pt idx="2">
                  <c:v>0.92536569374067734</c:v>
                </c:pt>
                <c:pt idx="3">
                  <c:v>0.92246956609890207</c:v>
                </c:pt>
                <c:pt idx="4">
                  <c:v>0.80800090404869052</c:v>
                </c:pt>
              </c:numCache>
            </c:numRef>
          </c:yVal>
          <c:smooth val="1"/>
        </c:ser>
        <c:ser>
          <c:idx val="2"/>
          <c:order val="2"/>
          <c:tx>
            <c:strRef>
              <c:f>'Drive Train Efficiency'!$L$2:$N$2</c:f>
              <c:strCache>
                <c:ptCount val="1"/>
                <c:pt idx="0">
                  <c:v>Single Stage </c:v>
                </c:pt>
              </c:strCache>
            </c:strRef>
          </c:tx>
          <c:spPr>
            <a:ln w="12700"/>
          </c:spPr>
          <c:marker>
            <c:spPr>
              <a:ln>
                <a:noFill/>
              </a:ln>
            </c:spPr>
          </c:marker>
          <c:xVal>
            <c:numRef>
              <c:f>'Drive Train Efficiency'!$H$4:$H$8</c:f>
              <c:numCache>
                <c:formatCode>0.00</c:formatCode>
                <c:ptCount val="5"/>
                <c:pt idx="0">
                  <c:v>1</c:v>
                </c:pt>
                <c:pt idx="1">
                  <c:v>0.75</c:v>
                </c:pt>
                <c:pt idx="2">
                  <c:v>0.5</c:v>
                </c:pt>
                <c:pt idx="3">
                  <c:v>0.25</c:v>
                </c:pt>
                <c:pt idx="4">
                  <c:v>0.06</c:v>
                </c:pt>
              </c:numCache>
            </c:numRef>
          </c:xVal>
          <c:yVal>
            <c:numRef>
              <c:f>'Drive Train Efficiency'!$M$4:$M$8</c:f>
              <c:numCache>
                <c:formatCode>0.0%</c:formatCode>
                <c:ptCount val="5"/>
                <c:pt idx="0">
                  <c:v>0.88907894914012042</c:v>
                </c:pt>
                <c:pt idx="1">
                  <c:v>0.89990983457798823</c:v>
                </c:pt>
                <c:pt idx="2">
                  <c:v>0.90630494182824306</c:v>
                </c:pt>
                <c:pt idx="3">
                  <c:v>0.89495693632804585</c:v>
                </c:pt>
                <c:pt idx="4">
                  <c:v>0.7380000295541167</c:v>
                </c:pt>
              </c:numCache>
            </c:numRef>
          </c:yVal>
          <c:smooth val="1"/>
        </c:ser>
        <c:ser>
          <c:idx val="3"/>
          <c:order val="3"/>
          <c:tx>
            <c:strRef>
              <c:f>'Drive Train Efficiency'!$O$2:$Q$2</c:f>
              <c:strCache>
                <c:ptCount val="1"/>
                <c:pt idx="0">
                  <c:v>Multidrive (6)</c:v>
                </c:pt>
              </c:strCache>
            </c:strRef>
          </c:tx>
          <c:spPr>
            <a:ln w="12700"/>
          </c:spPr>
          <c:xVal>
            <c:numRef>
              <c:f>'Drive Train Efficiency'!$H$4:$H$8</c:f>
              <c:numCache>
                <c:formatCode>0.00</c:formatCode>
                <c:ptCount val="5"/>
                <c:pt idx="0">
                  <c:v>1</c:v>
                </c:pt>
                <c:pt idx="1">
                  <c:v>0.75</c:v>
                </c:pt>
                <c:pt idx="2">
                  <c:v>0.5</c:v>
                </c:pt>
                <c:pt idx="3">
                  <c:v>0.25</c:v>
                </c:pt>
                <c:pt idx="4">
                  <c:v>0.06</c:v>
                </c:pt>
              </c:numCache>
            </c:numRef>
          </c:xVal>
          <c:yVal>
            <c:numRef>
              <c:f>'Drive Train Efficiency'!$P$4:$P$8</c:f>
              <c:numCache>
                <c:formatCode>0.0%</c:formatCode>
                <c:ptCount val="5"/>
                <c:pt idx="0">
                  <c:v>0.88199786904477873</c:v>
                </c:pt>
                <c:pt idx="1">
                  <c:v>0.89131437321916207</c:v>
                </c:pt>
                <c:pt idx="2">
                  <c:v>0.89547297169148121</c:v>
                </c:pt>
                <c:pt idx="3">
                  <c:v>0.87899994735554465</c:v>
                </c:pt>
                <c:pt idx="4">
                  <c:v>0.69400008218321418</c:v>
                </c:pt>
              </c:numCache>
            </c:numRef>
          </c:yVal>
          <c:smooth val="1"/>
        </c:ser>
        <c:dLbls>
          <c:showLegendKey val="0"/>
          <c:showVal val="0"/>
          <c:showCatName val="0"/>
          <c:showSerName val="0"/>
          <c:showPercent val="0"/>
          <c:showBubbleSize val="0"/>
        </c:dLbls>
        <c:axId val="71245184"/>
        <c:axId val="71247360"/>
      </c:scatterChart>
      <c:valAx>
        <c:axId val="71245184"/>
        <c:scaling>
          <c:orientation val="minMax"/>
        </c:scaling>
        <c:delete val="0"/>
        <c:axPos val="b"/>
        <c:title>
          <c:tx>
            <c:rich>
              <a:bodyPr/>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Calibri"/>
                  </a:rPr>
                  <a:t>P/P</a:t>
                </a:r>
                <a:r>
                  <a:rPr lang="en-US" sz="1000" b="1" i="0" u="none" strike="noStrike" baseline="-25000">
                    <a:solidFill>
                      <a:srgbClr val="000000"/>
                    </a:solidFill>
                    <a:latin typeface="Calibri"/>
                  </a:rPr>
                  <a:t>rated</a:t>
                </a:r>
              </a:p>
            </c:rich>
          </c:tx>
          <c:overlay val="0"/>
        </c:title>
        <c:numFmt formatCode="0.0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1247360"/>
        <c:crosses val="autoZero"/>
        <c:crossBetween val="midCat"/>
      </c:valAx>
      <c:valAx>
        <c:axId val="71247360"/>
        <c:scaling>
          <c:orientation val="minMax"/>
          <c:max val="1"/>
          <c:min val="0.60000000000000098"/>
        </c:scaling>
        <c:delete val="0"/>
        <c:axPos val="l"/>
        <c:majorGridlines/>
        <c:title>
          <c:tx>
            <c:rich>
              <a:bodyPr/>
              <a:lstStyle/>
              <a:p>
                <a:pPr>
                  <a:defRPr sz="1100" b="1" i="0" u="none" strike="noStrike" baseline="0">
                    <a:solidFill>
                      <a:srgbClr val="000000"/>
                    </a:solidFill>
                    <a:latin typeface="Calibri"/>
                    <a:ea typeface="Calibri"/>
                    <a:cs typeface="Calibri"/>
                  </a:defRPr>
                </a:pPr>
                <a:r>
                  <a:rPr lang="en-US"/>
                  <a:t>Drive Trane Efficiency</a:t>
                </a:r>
              </a:p>
            </c:rich>
          </c:tx>
          <c:overlay val="0"/>
        </c:title>
        <c:numFmt formatCode="0.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1245184"/>
        <c:crosses val="autoZero"/>
        <c:crossBetween val="midCat"/>
      </c:valAx>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 l="0.70000000000000095" r="0.70000000000000095" t="0.750000000000003"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Error from WindPACT</a:t>
            </a:r>
          </a:p>
        </c:rich>
      </c:tx>
      <c:overlay val="0"/>
    </c:title>
    <c:autoTitleDeleted val="0"/>
    <c:plotArea>
      <c:layout/>
      <c:scatterChart>
        <c:scatterStyle val="smoothMarker"/>
        <c:varyColors val="0"/>
        <c:ser>
          <c:idx val="0"/>
          <c:order val="0"/>
          <c:tx>
            <c:strRef>
              <c:f>'Drive Train Efficiency'!$I$2:$K$2</c:f>
              <c:strCache>
                <c:ptCount val="1"/>
                <c:pt idx="0">
                  <c:v>Geared</c:v>
                </c:pt>
              </c:strCache>
            </c:strRef>
          </c:tx>
          <c:spPr>
            <a:ln w="12700"/>
          </c:spPr>
          <c:marker>
            <c:spPr>
              <a:ln>
                <a:noFill/>
              </a:ln>
            </c:spPr>
          </c:marker>
          <c:dLbls>
            <c:dLbl>
              <c:idx val="1"/>
              <c:layout>
                <c:manualLayout>
                  <c:x val="-0.27881079587499602"/>
                  <c:y val="-4.1592037194058899E-2"/>
                </c:manualLayout>
              </c:layout>
              <c:tx>
                <c:rich>
                  <a:bodyPr/>
                  <a:lstStyle/>
                  <a:p>
                    <a:pPr>
                      <a:defRPr sz="1000" b="0" i="0" u="none" strike="noStrike" baseline="0">
                        <a:solidFill>
                          <a:srgbClr val="000000"/>
                        </a:solidFill>
                        <a:latin typeface="Calibri"/>
                        <a:ea typeface="Calibri"/>
                        <a:cs typeface="Calibri"/>
                      </a:defRPr>
                    </a:pPr>
                    <a:r>
                      <a:rPr lang="en-US"/>
                      <a:t>1.53%</a:t>
                    </a:r>
                  </a:p>
                </c:rich>
              </c:tx>
              <c:spPr/>
              <c:dLblPos val="r"/>
              <c:showLegendKey val="0"/>
              <c:showVal val="0"/>
              <c:showCatName val="0"/>
              <c:showSerName val="0"/>
              <c:showPercent val="0"/>
              <c:showBubbleSize val="0"/>
            </c:dLbl>
            <c:dLbl>
              <c:idx val="3"/>
              <c:layout>
                <c:manualLayout>
                  <c:x val="-6.0088533593748501E-2"/>
                  <c:y val="0.43482584339243602"/>
                </c:manualLayout>
              </c:layout>
              <c:spPr/>
              <c:txPr>
                <a:bodyPr/>
                <a:lstStyle/>
                <a:p>
                  <a:pPr>
                    <a:defRPr sz="1000" b="0" i="0" u="none" strike="noStrike" baseline="0">
                      <a:solidFill>
                        <a:srgbClr val="000000"/>
                      </a:solidFill>
                      <a:latin typeface="Calibri"/>
                      <a:ea typeface="Calibri"/>
                      <a:cs typeface="Calibri"/>
                    </a:defRPr>
                  </a:pPr>
                  <a:endParaRPr lang="en-US"/>
                </a:p>
              </c:txPr>
              <c:dLblPos val="r"/>
              <c:showLegendKey val="0"/>
              <c:showVal val="1"/>
              <c:showCatName val="0"/>
              <c:showSerName val="0"/>
              <c:showPercent val="0"/>
              <c:showBubbleSize val="0"/>
            </c:dLbl>
            <c:showLegendKey val="0"/>
            <c:showVal val="0"/>
            <c:showCatName val="0"/>
            <c:showSerName val="0"/>
            <c:showPercent val="0"/>
            <c:showBubbleSize val="0"/>
          </c:dLbls>
          <c:xVal>
            <c:numRef>
              <c:f>'Drive Train Efficiency'!$H$4:$H$8</c:f>
              <c:numCache>
                <c:formatCode>0.00</c:formatCode>
                <c:ptCount val="5"/>
                <c:pt idx="0">
                  <c:v>1</c:v>
                </c:pt>
                <c:pt idx="1">
                  <c:v>0.75</c:v>
                </c:pt>
                <c:pt idx="2">
                  <c:v>0.5</c:v>
                </c:pt>
                <c:pt idx="3">
                  <c:v>0.25</c:v>
                </c:pt>
                <c:pt idx="4">
                  <c:v>0.06</c:v>
                </c:pt>
              </c:numCache>
            </c:numRef>
          </c:xVal>
          <c:yVal>
            <c:numRef>
              <c:f>'Drive Train Efficiency'!$K$4:$K$8</c:f>
              <c:numCache>
                <c:formatCode>0.0000%</c:formatCode>
                <c:ptCount val="5"/>
                <c:pt idx="0">
                  <c:v>1.0443014653804816E-5</c:v>
                </c:pt>
                <c:pt idx="1">
                  <c:v>5.2876484686379399E-3</c:v>
                </c:pt>
                <c:pt idx="2">
                  <c:v>1.1616856477847382E-4</c:v>
                </c:pt>
                <c:pt idx="3">
                  <c:v>1.5327619665027714E-2</c:v>
                </c:pt>
                <c:pt idx="4">
                  <c:v>1.4329993935913166E-7</c:v>
                </c:pt>
              </c:numCache>
            </c:numRef>
          </c:yVal>
          <c:smooth val="1"/>
        </c:ser>
        <c:ser>
          <c:idx val="1"/>
          <c:order val="1"/>
          <c:tx>
            <c:strRef>
              <c:f>'Drive Train Efficiency'!$R$2:$T$2</c:f>
              <c:strCache>
                <c:ptCount val="1"/>
                <c:pt idx="0">
                  <c:v>PM Direct Drive</c:v>
                </c:pt>
              </c:strCache>
            </c:strRef>
          </c:tx>
          <c:spPr>
            <a:ln w="12700"/>
          </c:spPr>
          <c:marker>
            <c:spPr>
              <a:ln>
                <a:noFill/>
              </a:ln>
            </c:spPr>
          </c:marker>
          <c:xVal>
            <c:numRef>
              <c:f>'Drive Train Efficiency'!$H$4:$H$8</c:f>
              <c:numCache>
                <c:formatCode>0.00</c:formatCode>
                <c:ptCount val="5"/>
                <c:pt idx="0">
                  <c:v>1</c:v>
                </c:pt>
                <c:pt idx="1">
                  <c:v>0.75</c:v>
                </c:pt>
                <c:pt idx="2">
                  <c:v>0.5</c:v>
                </c:pt>
                <c:pt idx="3">
                  <c:v>0.25</c:v>
                </c:pt>
                <c:pt idx="4">
                  <c:v>0.06</c:v>
                </c:pt>
              </c:numCache>
            </c:numRef>
          </c:xVal>
          <c:yVal>
            <c:numRef>
              <c:f>'Drive Train Efficiency'!$T$4:$T$8</c:f>
              <c:numCache>
                <c:formatCode>0.0000%</c:formatCode>
                <c:ptCount val="5"/>
                <c:pt idx="0">
                  <c:v>5.7614533850891547E-5</c:v>
                </c:pt>
                <c:pt idx="1">
                  <c:v>8.3268202330644137E-4</c:v>
                </c:pt>
                <c:pt idx="2">
                  <c:v>1.3656937406772984E-3</c:v>
                </c:pt>
                <c:pt idx="3">
                  <c:v>4.5304339010979744E-3</c:v>
                </c:pt>
                <c:pt idx="4">
                  <c:v>9.04048690464343E-7</c:v>
                </c:pt>
              </c:numCache>
            </c:numRef>
          </c:yVal>
          <c:smooth val="1"/>
        </c:ser>
        <c:ser>
          <c:idx val="2"/>
          <c:order val="2"/>
          <c:tx>
            <c:strRef>
              <c:f>'Drive Train Efficiency'!$L$2:$N$2</c:f>
              <c:strCache>
                <c:ptCount val="1"/>
                <c:pt idx="0">
                  <c:v>Single Stage </c:v>
                </c:pt>
              </c:strCache>
            </c:strRef>
          </c:tx>
          <c:spPr>
            <a:ln w="12700"/>
          </c:spPr>
          <c:marker>
            <c:spPr>
              <a:ln>
                <a:noFill/>
              </a:ln>
            </c:spPr>
          </c:marker>
          <c:xVal>
            <c:numRef>
              <c:f>'Drive Train Efficiency'!$H$4:$H$8</c:f>
              <c:numCache>
                <c:formatCode>0.00</c:formatCode>
                <c:ptCount val="5"/>
                <c:pt idx="0">
                  <c:v>1</c:v>
                </c:pt>
                <c:pt idx="1">
                  <c:v>0.75</c:v>
                </c:pt>
                <c:pt idx="2">
                  <c:v>0.5</c:v>
                </c:pt>
                <c:pt idx="3">
                  <c:v>0.25</c:v>
                </c:pt>
                <c:pt idx="4">
                  <c:v>0.06</c:v>
                </c:pt>
              </c:numCache>
            </c:numRef>
          </c:xVal>
          <c:yVal>
            <c:numRef>
              <c:f>'Drive Train Efficiency'!$N$4:$N$8</c:f>
              <c:numCache>
                <c:formatCode>0.0000%</c:formatCode>
                <c:ptCount val="5"/>
                <c:pt idx="0">
                  <c:v>7.89491401204101E-5</c:v>
                </c:pt>
                <c:pt idx="1">
                  <c:v>9.0165422011789786E-5</c:v>
                </c:pt>
                <c:pt idx="2">
                  <c:v>1.695058171756969E-3</c:v>
                </c:pt>
                <c:pt idx="3">
                  <c:v>1.956936328045833E-3</c:v>
                </c:pt>
                <c:pt idx="4">
                  <c:v>2.9554116709462619E-8</c:v>
                </c:pt>
              </c:numCache>
            </c:numRef>
          </c:yVal>
          <c:smooth val="1"/>
        </c:ser>
        <c:ser>
          <c:idx val="3"/>
          <c:order val="3"/>
          <c:tx>
            <c:strRef>
              <c:f>'Drive Train Efficiency'!$O$2:$Q$2</c:f>
              <c:strCache>
                <c:ptCount val="1"/>
                <c:pt idx="0">
                  <c:v>Multidrive (6)</c:v>
                </c:pt>
              </c:strCache>
            </c:strRef>
          </c:tx>
          <c:spPr>
            <a:ln w="12700"/>
          </c:spPr>
          <c:xVal>
            <c:numRef>
              <c:f>'Drive Train Efficiency'!$H$4:$H$8</c:f>
              <c:numCache>
                <c:formatCode>0.00</c:formatCode>
                <c:ptCount val="5"/>
                <c:pt idx="0">
                  <c:v>1</c:v>
                </c:pt>
                <c:pt idx="1">
                  <c:v>0.75</c:v>
                </c:pt>
                <c:pt idx="2">
                  <c:v>0.5</c:v>
                </c:pt>
                <c:pt idx="3">
                  <c:v>0.25</c:v>
                </c:pt>
                <c:pt idx="4">
                  <c:v>0.06</c:v>
                </c:pt>
              </c:numCache>
            </c:numRef>
          </c:xVal>
          <c:yVal>
            <c:numRef>
              <c:f>'Drive Train Efficiency'!$Q$4:$Q$8</c:f>
              <c:numCache>
                <c:formatCode>0.0000%</c:formatCode>
                <c:ptCount val="5"/>
                <c:pt idx="0">
                  <c:v>2.1309552212800398E-6</c:v>
                </c:pt>
                <c:pt idx="1">
                  <c:v>3.1437321916205629E-4</c:v>
                </c:pt>
                <c:pt idx="2">
                  <c:v>2.5270283085188083E-3</c:v>
                </c:pt>
                <c:pt idx="3">
                  <c:v>5.2644455350581154E-8</c:v>
                </c:pt>
                <c:pt idx="4">
                  <c:v>8.2183214233921831E-8</c:v>
                </c:pt>
              </c:numCache>
            </c:numRef>
          </c:yVal>
          <c:smooth val="1"/>
        </c:ser>
        <c:dLbls>
          <c:showLegendKey val="0"/>
          <c:showVal val="0"/>
          <c:showCatName val="0"/>
          <c:showSerName val="0"/>
          <c:showPercent val="0"/>
          <c:showBubbleSize val="0"/>
        </c:dLbls>
        <c:axId val="71296896"/>
        <c:axId val="71827456"/>
      </c:scatterChart>
      <c:valAx>
        <c:axId val="71296896"/>
        <c:scaling>
          <c:orientation val="minMax"/>
        </c:scaling>
        <c:delete val="0"/>
        <c:axPos val="b"/>
        <c:title>
          <c:tx>
            <c:rich>
              <a:bodyPr/>
              <a:lstStyle/>
              <a:p>
                <a:pPr>
                  <a:defRPr sz="1100" b="0" i="0" u="none" strike="noStrike" baseline="0">
                    <a:solidFill>
                      <a:srgbClr val="000000"/>
                    </a:solidFill>
                    <a:latin typeface="Calibri"/>
                    <a:ea typeface="Calibri"/>
                    <a:cs typeface="Calibri"/>
                  </a:defRPr>
                </a:pPr>
                <a:r>
                  <a:rPr lang="en-US" sz="1000" b="1" i="0" u="none" strike="noStrike" baseline="0">
                    <a:solidFill>
                      <a:srgbClr val="000000"/>
                    </a:solidFill>
                    <a:latin typeface="Calibri"/>
                  </a:rPr>
                  <a:t>P/P</a:t>
                </a:r>
                <a:r>
                  <a:rPr lang="en-US" sz="1000" b="1" i="0" u="none" strike="noStrike" baseline="-25000">
                    <a:solidFill>
                      <a:srgbClr val="000000"/>
                    </a:solidFill>
                    <a:latin typeface="Calibri"/>
                  </a:rPr>
                  <a:t>rated</a:t>
                </a:r>
              </a:p>
            </c:rich>
          </c:tx>
          <c:overlay val="0"/>
        </c:title>
        <c:numFmt formatCode="0.0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1827456"/>
        <c:crosses val="autoZero"/>
        <c:crossBetween val="midCat"/>
      </c:valAx>
      <c:valAx>
        <c:axId val="71827456"/>
        <c:scaling>
          <c:orientation val="minMax"/>
          <c:max val="6.0000000000000097E-3"/>
          <c:min val="0"/>
        </c:scaling>
        <c:delete val="0"/>
        <c:axPos val="l"/>
        <c:majorGridlines/>
        <c:title>
          <c:tx>
            <c:rich>
              <a:bodyPr/>
              <a:lstStyle/>
              <a:p>
                <a:pPr>
                  <a:defRPr sz="1100" b="1" i="0" u="none" strike="noStrike" baseline="0">
                    <a:solidFill>
                      <a:srgbClr val="000000"/>
                    </a:solidFill>
                    <a:latin typeface="Calibri"/>
                    <a:ea typeface="Calibri"/>
                    <a:cs typeface="Calibri"/>
                  </a:defRPr>
                </a:pPr>
                <a:r>
                  <a:rPr lang="en-US"/>
                  <a:t>Error from WindPACT </a:t>
                </a:r>
              </a:p>
            </c:rich>
          </c:tx>
          <c:overlay val="0"/>
        </c:title>
        <c:numFmt formatCode="0.0%"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1296896"/>
        <c:crosses val="autoZero"/>
        <c:crossBetween val="midCat"/>
      </c:valAx>
    </c:plotArea>
    <c:legend>
      <c:legendPos val="r"/>
      <c:overlay val="0"/>
      <c:txPr>
        <a:bodyPr/>
        <a:lstStyle/>
        <a:p>
          <a:pPr>
            <a:defRPr sz="84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3" l="0.70000000000000095" r="0.70000000000000095" t="0.750000000000003"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n-US"/>
              <a:t>Wind, Energy</a:t>
            </a:r>
          </a:p>
        </c:rich>
      </c:tx>
      <c:layout>
        <c:manualLayout>
          <c:xMode val="edge"/>
          <c:yMode val="edge"/>
          <c:x val="0.43865595878970898"/>
          <c:y val="3.40557275541798E-2"/>
        </c:manualLayout>
      </c:layout>
      <c:overlay val="0"/>
      <c:spPr>
        <a:noFill/>
        <a:ln w="25400">
          <a:noFill/>
        </a:ln>
      </c:spPr>
    </c:title>
    <c:autoTitleDeleted val="0"/>
    <c:plotArea>
      <c:layout>
        <c:manualLayout>
          <c:layoutTarget val="inner"/>
          <c:xMode val="edge"/>
          <c:yMode val="edge"/>
          <c:x val="3.8655493907147703E-2"/>
          <c:y val="0.15170278637771001"/>
          <c:w val="0.92437050647527197"/>
          <c:h val="0.57275541795665696"/>
        </c:manualLayout>
      </c:layout>
      <c:scatterChart>
        <c:scatterStyle val="lineMarker"/>
        <c:varyColors val="0"/>
        <c:ser>
          <c:idx val="0"/>
          <c:order val="0"/>
          <c:tx>
            <c:strRef>
              <c:f>'AEP Input Output sheet'!$B$50</c:f>
              <c:strCache>
                <c:ptCount val="1"/>
                <c:pt idx="0">
                  <c:v>Rayleigh Probability</c:v>
                </c:pt>
              </c:strCache>
            </c:strRef>
          </c:tx>
          <c:spPr>
            <a:ln w="28575">
              <a:noFill/>
            </a:ln>
          </c:spPr>
          <c:marker>
            <c:symbol val="x"/>
            <c:size val="5"/>
            <c:spPr>
              <a:noFill/>
              <a:ln>
                <a:solidFill>
                  <a:srgbClr val="333399"/>
                </a:solidFill>
                <a:prstDash val="solid"/>
              </a:ln>
            </c:spPr>
          </c:marker>
          <c:xVal>
            <c:numRef>
              <c:f>'AEP Input Output sheet'!$A$51:$A$211</c:f>
              <c:numCache>
                <c:formatCode>0.00</c:formatCode>
                <c:ptCount val="161"/>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pt idx="96">
                  <c:v>24</c:v>
                </c:pt>
                <c:pt idx="97">
                  <c:v>24.25</c:v>
                </c:pt>
                <c:pt idx="98">
                  <c:v>24.5</c:v>
                </c:pt>
                <c:pt idx="99">
                  <c:v>24.75</c:v>
                </c:pt>
                <c:pt idx="100">
                  <c:v>25</c:v>
                </c:pt>
                <c:pt idx="101">
                  <c:v>25.25</c:v>
                </c:pt>
                <c:pt idx="102">
                  <c:v>25.5</c:v>
                </c:pt>
                <c:pt idx="103">
                  <c:v>25.75</c:v>
                </c:pt>
                <c:pt idx="104">
                  <c:v>26</c:v>
                </c:pt>
                <c:pt idx="105">
                  <c:v>26.25</c:v>
                </c:pt>
                <c:pt idx="106">
                  <c:v>26.5</c:v>
                </c:pt>
                <c:pt idx="107">
                  <c:v>26.75</c:v>
                </c:pt>
                <c:pt idx="108">
                  <c:v>27</c:v>
                </c:pt>
                <c:pt idx="109">
                  <c:v>27.25</c:v>
                </c:pt>
                <c:pt idx="110">
                  <c:v>27.5</c:v>
                </c:pt>
                <c:pt idx="111">
                  <c:v>27.75</c:v>
                </c:pt>
                <c:pt idx="112">
                  <c:v>28</c:v>
                </c:pt>
                <c:pt idx="113">
                  <c:v>28.25</c:v>
                </c:pt>
                <c:pt idx="114">
                  <c:v>28.5</c:v>
                </c:pt>
                <c:pt idx="115">
                  <c:v>28.75</c:v>
                </c:pt>
                <c:pt idx="116">
                  <c:v>29</c:v>
                </c:pt>
                <c:pt idx="117">
                  <c:v>29.25</c:v>
                </c:pt>
                <c:pt idx="118">
                  <c:v>29.5</c:v>
                </c:pt>
                <c:pt idx="119">
                  <c:v>29.75</c:v>
                </c:pt>
                <c:pt idx="120">
                  <c:v>30</c:v>
                </c:pt>
                <c:pt idx="121">
                  <c:v>30.25</c:v>
                </c:pt>
                <c:pt idx="122">
                  <c:v>30.5</c:v>
                </c:pt>
                <c:pt idx="123">
                  <c:v>30.75</c:v>
                </c:pt>
                <c:pt idx="124">
                  <c:v>31</c:v>
                </c:pt>
                <c:pt idx="125">
                  <c:v>31.25</c:v>
                </c:pt>
                <c:pt idx="126">
                  <c:v>31.5</c:v>
                </c:pt>
                <c:pt idx="127">
                  <c:v>31.75</c:v>
                </c:pt>
                <c:pt idx="128">
                  <c:v>32</c:v>
                </c:pt>
                <c:pt idx="129">
                  <c:v>32.25</c:v>
                </c:pt>
                <c:pt idx="130">
                  <c:v>32.5</c:v>
                </c:pt>
                <c:pt idx="131">
                  <c:v>32.75</c:v>
                </c:pt>
                <c:pt idx="132">
                  <c:v>33</c:v>
                </c:pt>
                <c:pt idx="133">
                  <c:v>33.25</c:v>
                </c:pt>
                <c:pt idx="134">
                  <c:v>33.5</c:v>
                </c:pt>
                <c:pt idx="135">
                  <c:v>33.75</c:v>
                </c:pt>
                <c:pt idx="136">
                  <c:v>34</c:v>
                </c:pt>
                <c:pt idx="137">
                  <c:v>34.25</c:v>
                </c:pt>
                <c:pt idx="138">
                  <c:v>34.5</c:v>
                </c:pt>
                <c:pt idx="139">
                  <c:v>34.75</c:v>
                </c:pt>
                <c:pt idx="140">
                  <c:v>35</c:v>
                </c:pt>
                <c:pt idx="141">
                  <c:v>35.25</c:v>
                </c:pt>
                <c:pt idx="142">
                  <c:v>35.5</c:v>
                </c:pt>
                <c:pt idx="143">
                  <c:v>35.75</c:v>
                </c:pt>
                <c:pt idx="144">
                  <c:v>36</c:v>
                </c:pt>
                <c:pt idx="145">
                  <c:v>36.25</c:v>
                </c:pt>
                <c:pt idx="146">
                  <c:v>36.5</c:v>
                </c:pt>
                <c:pt idx="147">
                  <c:v>36.75</c:v>
                </c:pt>
                <c:pt idx="148">
                  <c:v>37</c:v>
                </c:pt>
                <c:pt idx="149">
                  <c:v>37.25</c:v>
                </c:pt>
                <c:pt idx="150">
                  <c:v>37.5</c:v>
                </c:pt>
                <c:pt idx="151">
                  <c:v>37.75</c:v>
                </c:pt>
                <c:pt idx="152">
                  <c:v>38</c:v>
                </c:pt>
                <c:pt idx="153">
                  <c:v>38.25</c:v>
                </c:pt>
                <c:pt idx="154">
                  <c:v>38.5</c:v>
                </c:pt>
                <c:pt idx="155">
                  <c:v>38.75</c:v>
                </c:pt>
                <c:pt idx="156">
                  <c:v>39</c:v>
                </c:pt>
                <c:pt idx="157">
                  <c:v>39.25</c:v>
                </c:pt>
                <c:pt idx="158">
                  <c:v>39.5</c:v>
                </c:pt>
                <c:pt idx="159">
                  <c:v>39.75</c:v>
                </c:pt>
                <c:pt idx="160">
                  <c:v>40</c:v>
                </c:pt>
              </c:numCache>
            </c:numRef>
          </c:xVal>
          <c:yVal>
            <c:numRef>
              <c:f>'AEP Input Output sheet'!$B$51:$B$211</c:f>
              <c:numCache>
                <c:formatCode>0.0000</c:formatCode>
                <c:ptCount val="161"/>
                <c:pt idx="0">
                  <c:v>0</c:v>
                </c:pt>
                <c:pt idx="1">
                  <c:v>6.464448796393206E-3</c:v>
                </c:pt>
                <c:pt idx="2">
                  <c:v>1.2897568432080727E-2</c:v>
                </c:pt>
                <c:pt idx="3">
                  <c:v>1.9268282664974129E-2</c:v>
                </c:pt>
                <c:pt idx="4">
                  <c:v>2.5546018233240958E-2</c:v>
                </c:pt>
                <c:pt idx="5">
                  <c:v>3.1700949244457322E-2</c:v>
                </c:pt>
                <c:pt idx="6">
                  <c:v>3.7704233158973297E-2</c:v>
                </c:pt>
                <c:pt idx="7">
                  <c:v>4.352823575567679E-2</c:v>
                </c:pt>
                <c:pt idx="8">
                  <c:v>4.9146742626963821E-2</c:v>
                </c:pt>
                <c:pt idx="9">
                  <c:v>5.4535154942691108E-2</c:v>
                </c:pt>
                <c:pt idx="10">
                  <c:v>5.9670667446824352E-2</c:v>
                </c:pt>
                <c:pt idx="11">
                  <c:v>6.4532426901508635E-2</c:v>
                </c:pt>
                <c:pt idx="12">
                  <c:v>6.9101669467045823E-2</c:v>
                </c:pt>
                <c:pt idx="13">
                  <c:v>7.3361835798087555E-2</c:v>
                </c:pt>
                <c:pt idx="14">
                  <c:v>7.7298662941307869E-2</c:v>
                </c:pt>
                <c:pt idx="15">
                  <c:v>8.0900252432817024E-2</c:v>
                </c:pt>
                <c:pt idx="16">
                  <c:v>8.4157114309469566E-2</c:v>
                </c:pt>
                <c:pt idx="17">
                  <c:v>8.7062187061906771E-2</c:v>
                </c:pt>
                <c:pt idx="18">
                  <c:v>8.9610833863691494E-2</c:v>
                </c:pt>
                <c:pt idx="19">
                  <c:v>9.1800815705515168E-2</c:v>
                </c:pt>
                <c:pt idx="20">
                  <c:v>9.3632242341772101E-2</c:v>
                </c:pt>
                <c:pt idx="21">
                  <c:v>9.5107502214787823E-2</c:v>
                </c:pt>
                <c:pt idx="22">
                  <c:v>9.6231172756104003E-2</c:v>
                </c:pt>
                <c:pt idx="23">
                  <c:v>9.7009912671422296E-2</c:v>
                </c:pt>
                <c:pt idx="24">
                  <c:v>9.7452337993616411E-2</c:v>
                </c:pt>
                <c:pt idx="25">
                  <c:v>9.756888383474939E-2</c:v>
                </c:pt>
                <c:pt idx="26">
                  <c:v>9.7371653881997033E-2</c:v>
                </c:pt>
                <c:pt idx="27">
                  <c:v>9.6874259763115103E-2</c:v>
                </c:pt>
                <c:pt idx="28">
                  <c:v>9.6091652454524473E-2</c:v>
                </c:pt>
                <c:pt idx="29">
                  <c:v>9.503994791974707E-2</c:v>
                </c:pt>
                <c:pt idx="30">
                  <c:v>9.3736249148866496E-2</c:v>
                </c:pt>
                <c:pt idx="31">
                  <c:v>9.2198466722488007E-2</c:v>
                </c:pt>
                <c:pt idx="32">
                  <c:v>9.0445139948363534E-2</c:v>
                </c:pt>
                <c:pt idx="33">
                  <c:v>8.8495260517859026E-2</c:v>
                </c:pt>
                <c:pt idx="34">
                  <c:v>8.6368100505540724E-2</c:v>
                </c:pt>
                <c:pt idx="35">
                  <c:v>8.4083046391379423E-2</c:v>
                </c:pt>
                <c:pt idx="36">
                  <c:v>8.1659440624649332E-2</c:v>
                </c:pt>
                <c:pt idx="37">
                  <c:v>7.9116432074891926E-2</c:v>
                </c:pt>
                <c:pt idx="38">
                  <c:v>7.6472836531744262E-2</c:v>
                </c:pt>
                <c:pt idx="39">
                  <c:v>7.3747008225401159E-2</c:v>
                </c:pt>
                <c:pt idx="40">
                  <c:v>7.095672314633221E-2</c:v>
                </c:pt>
                <c:pt idx="41">
                  <c:v>6.8119074749803429E-2</c:v>
                </c:pt>
                <c:pt idx="42">
                  <c:v>6.5250382440785265E-2</c:v>
                </c:pt>
                <c:pt idx="43">
                  <c:v>6.2366113050746068E-2</c:v>
                </c:pt>
                <c:pt idx="44">
                  <c:v>5.9480815342153485E-2</c:v>
                </c:pt>
                <c:pt idx="45">
                  <c:v>5.6608067411454292E-2</c:v>
                </c:pt>
                <c:pt idx="46">
                  <c:v>5.3760436708768337E-2</c:v>
                </c:pt>
                <c:pt idx="47">
                  <c:v>5.0949452254076759E-2</c:v>
                </c:pt>
                <c:pt idx="48">
                  <c:v>4.8185588506516441E-2</c:v>
                </c:pt>
                <c:pt idx="49">
                  <c:v>4.5478260236384405E-2</c:v>
                </c:pt>
                <c:pt idx="50">
                  <c:v>4.2835827659137037E-2</c:v>
                </c:pt>
                <c:pt idx="51">
                  <c:v>4.0265611017250028E-2</c:v>
                </c:pt>
                <c:pt idx="52">
                  <c:v>3.7773913739189299E-2</c:v>
                </c:pt>
                <c:pt idx="53">
                  <c:v>3.5366053264556468E-2</c:v>
                </c:pt>
                <c:pt idx="54">
                  <c:v>3.3046398600088428E-2</c:v>
                </c:pt>
                <c:pt idx="55">
                  <c:v>3.0818413661758536E-2</c:v>
                </c:pt>
                <c:pt idx="56">
                  <c:v>2.8684705462713962E-2</c:v>
                </c:pt>
                <c:pt idx="57">
                  <c:v>2.6647076223994384E-2</c:v>
                </c:pt>
                <c:pt idx="58">
                  <c:v>2.470657851360673E-2</c:v>
                </c:pt>
                <c:pt idx="59">
                  <c:v>2.2863572558176979E-2</c:v>
                </c:pt>
                <c:pt idx="60">
                  <c:v>2.1117784918621259E-2</c:v>
                </c:pt>
                <c:pt idx="61">
                  <c:v>1.9468367775598305E-2</c:v>
                </c:pt>
                <c:pt idx="62">
                  <c:v>1.7913958130468383E-2</c:v>
                </c:pt>
                <c:pt idx="63">
                  <c:v>1.6452736291656622E-2</c:v>
                </c:pt>
                <c:pt idx="64">
                  <c:v>1.508248308333528E-2</c:v>
                </c:pt>
                <c:pt idx="65">
                  <c:v>1.3800635281904419E-2</c:v>
                </c:pt>
                <c:pt idx="66">
                  <c:v>1.2604338854666176E-2</c:v>
                </c:pt>
                <c:pt idx="67">
                  <c:v>1.1490499643263092E-2</c:v>
                </c:pt>
                <c:pt idx="68">
                  <c:v>1.0455831200911115E-2</c:v>
                </c:pt>
                <c:pt idx="69">
                  <c:v>9.4968995563543285E-3</c:v>
                </c:pt>
                <c:pt idx="70">
                  <c:v>8.610164738076246E-3</c:v>
                </c:pt>
                <c:pt idx="71">
                  <c:v>7.7920189490292644E-3</c:v>
                </c:pt>
                <c:pt idx="72">
                  <c:v>7.0388213345182167E-3</c:v>
                </c:pt>
                <c:pt idx="73">
                  <c:v>6.3469293335503925E-3</c:v>
                </c:pt>
                <c:pt idx="74">
                  <c:v>5.7127266467096628E-3</c:v>
                </c:pt>
                <c:pt idx="75">
                  <c:v>5.1326478913019842E-3</c:v>
                </c:pt>
                <c:pt idx="76">
                  <c:v>4.6032000471272127E-3</c:v>
                </c:pt>
                <c:pt idx="77">
                  <c:v>4.1209808238192478E-3</c:v>
                </c:pt>
                <c:pt idx="78">
                  <c:v>3.6826941034015714E-3</c:v>
                </c:pt>
                <c:pt idx="79">
                  <c:v>3.2851626297331921E-3</c:v>
                </c:pt>
                <c:pt idx="80">
                  <c:v>2.9253381301311038E-3</c:v>
                </c:pt>
                <c:pt idx="81">
                  <c:v>2.600309063952479E-3</c:v>
                </c:pt>
                <c:pt idx="82">
                  <c:v>2.3073061986410275E-3</c:v>
                </c:pt>
                <c:pt idx="83">
                  <c:v>2.0437062160466677E-3</c:v>
                </c:pt>
                <c:pt idx="84">
                  <c:v>1.8070335510911271E-3</c:v>
                </c:pt>
                <c:pt idx="85">
                  <c:v>1.5949606614535903E-3</c:v>
                </c:pt>
                <c:pt idx="86">
                  <c:v>1.4053069212681933E-3</c:v>
                </c:pt>
                <c:pt idx="87">
                  <c:v>1.2360363242281942E-3</c:v>
                </c:pt>
                <c:pt idx="88">
                  <c:v>1.08525417233486E-3</c:v>
                </c:pt>
                <c:pt idx="89">
                  <c:v>9.5120291614871598E-4</c:v>
                </c:pt>
                <c:pt idx="90">
                  <c:v>8.3225730111013442E-4</c:v>
                </c:pt>
                <c:pt idx="91">
                  <c:v>7.2691896258341403E-4</c:v>
                </c:pt>
                <c:pt idx="92">
                  <c:v>6.3381060000448008E-4</c:v>
                </c:pt>
                <c:pt idx="93">
                  <c:v>5.5166984810934661E-4</c:v>
                </c:pt>
                <c:pt idx="94">
                  <c:v>4.7934295089234908E-4</c:v>
                </c:pt>
                <c:pt idx="95">
                  <c:v>4.1577833186470683E-4</c:v>
                </c:pt>
                <c:pt idx="96">
                  <c:v>3.6002014250226651E-4</c:v>
                </c:pt>
                <c:pt idx="97">
                  <c:v>3.1120185960671772E-4</c:v>
                </c:pt>
                <c:pt idx="98">
                  <c:v>2.68539991752101E-4</c:v>
                </c:pt>
                <c:pt idx="99">
                  <c:v>2.3132794511984629E-4</c:v>
                </c:pt>
                <c:pt idx="100">
                  <c:v>1.9893008989109963E-4</c:v>
                </c:pt>
                <c:pt idx="101">
                  <c:v>1.7077605999577287E-4</c:v>
                </c:pt>
                <c:pt idx="102">
                  <c:v>1.4635531142756492E-4</c:v>
                </c:pt>
                <c:pt idx="103">
                  <c:v>1.2521195752228522E-4</c:v>
                </c:pt>
                <c:pt idx="104">
                  <c:v>1.0693989354971427E-4</c:v>
                </c:pt>
                <c:pt idx="105">
                  <c:v>9.1178217662916554E-5</c:v>
                </c:pt>
                <c:pt idx="106">
                  <c:v>7.7606950650848029E-5</c:v>
                </c:pt>
                <c:pt idx="107">
                  <c:v>6.594305301105231E-5</c:v>
                </c:pt>
                <c:pt idx="108">
                  <c:v>5.5936734555058551E-5</c:v>
                </c:pt>
                <c:pt idx="109">
                  <c:v>4.7368049032199536E-5</c:v>
                </c:pt>
                <c:pt idx="110">
                  <c:v>4.0043764058352275E-5</c:v>
                </c:pt>
                <c:pt idx="111">
                  <c:v>3.3794494914123845E-5</c:v>
                </c:pt>
                <c:pt idx="112">
                  <c:v>2.8472089482018845E-5</c:v>
                </c:pt>
                <c:pt idx="113">
                  <c:v>2.3947250674932041E-5</c:v>
                </c:pt>
                <c:pt idx="114">
                  <c:v>2.0107382121485545E-5</c:v>
                </c:pt>
                <c:pt idx="115">
                  <c:v>1.6854642572157581E-5</c:v>
                </c:pt>
                <c:pt idx="116">
                  <c:v>1.4104194431459147E-5</c:v>
                </c:pt>
                <c:pt idx="117">
                  <c:v>1.1782631966270008E-5</c:v>
                </c:pt>
                <c:pt idx="118">
                  <c:v>9.8265750527497493E-6</c:v>
                </c:pt>
                <c:pt idx="119">
                  <c:v>8.1814147712274839E-6</c:v>
                </c:pt>
                <c:pt idx="120">
                  <c:v>6.8001977107292336E-6</c:v>
                </c:pt>
                <c:pt idx="121">
                  <c:v>5.6426364762159389E-6</c:v>
                </c:pt>
                <c:pt idx="122">
                  <c:v>4.6742345792595591E-6</c:v>
                </c:pt>
                <c:pt idx="123">
                  <c:v>3.8655146169255421E-6</c:v>
                </c:pt>
                <c:pt idx="124">
                  <c:v>3.1913393870633078E-6</c:v>
                </c:pt>
                <c:pt idx="125">
                  <c:v>2.630316336715637E-6</c:v>
                </c:pt>
                <c:pt idx="126">
                  <c:v>2.1642764820749715E-6</c:v>
                </c:pt>
                <c:pt idx="127">
                  <c:v>1.7778196636938843E-6</c:v>
                </c:pt>
                <c:pt idx="128">
                  <c:v>1.4579187018516745E-6</c:v>
                </c:pt>
                <c:pt idx="129">
                  <c:v>1.1935756882104754E-6</c:v>
                </c:pt>
                <c:pt idx="130">
                  <c:v>9.7552428683749602E-7</c:v>
                </c:pt>
                <c:pt idx="131">
                  <c:v>7.9597251734315605E-7</c:v>
                </c:pt>
                <c:pt idx="132">
                  <c:v>6.4838105345633052E-7</c:v>
                </c:pt>
                <c:pt idx="133">
                  <c:v>5.2727259096225569E-7</c:v>
                </c:pt>
                <c:pt idx="134">
                  <c:v>4.280683195047195E-7</c:v>
                </c:pt>
                <c:pt idx="135">
                  <c:v>3.4694797389119182E-7</c:v>
                </c:pt>
                <c:pt idx="136">
                  <c:v>2.8073034334729767E-7</c:v>
                </c:pt>
                <c:pt idx="137">
                  <c:v>2.267714831540824E-7</c:v>
                </c:pt>
                <c:pt idx="138">
                  <c:v>1.8287820407473605E-7</c:v>
                </c:pt>
                <c:pt idx="139">
                  <c:v>1.4723471295139288E-7</c:v>
                </c:pt>
                <c:pt idx="140">
                  <c:v>1.1834054497485156E-7</c:v>
                </c:pt>
                <c:pt idx="141">
                  <c:v>9.495816661747274E-8</c:v>
                </c:pt>
                <c:pt idx="142">
                  <c:v>7.6068840306202681E-8</c:v>
                </c:pt>
                <c:pt idx="143">
                  <c:v>6.0835529807718073E-8</c:v>
                </c:pt>
                <c:pt idx="144">
                  <c:v>4.857179115194291E-8</c:v>
                </c:pt>
                <c:pt idx="145">
                  <c:v>3.8715739800594505E-8</c:v>
                </c:pt>
                <c:pt idx="146">
                  <c:v>3.0808312638244925E-8</c:v>
                </c:pt>
                <c:pt idx="147">
                  <c:v>2.4475155073205139E-8</c:v>
                </c:pt>
                <c:pt idx="148">
                  <c:v>1.941156080888625E-8</c:v>
                </c:pt>
                <c:pt idx="149">
                  <c:v>1.5369976279505345E-8</c:v>
                </c:pt>
                <c:pt idx="150">
                  <c:v>1.2149654804290391E-8</c:v>
                </c:pt>
                <c:pt idx="151">
                  <c:v>9.5881085413576387E-9</c:v>
                </c:pt>
                <c:pt idx="152">
                  <c:v>7.5540605320741239E-9</c:v>
                </c:pt>
                <c:pt idx="153">
                  <c:v>5.9416456162750208E-9</c:v>
                </c:pt>
                <c:pt idx="154">
                  <c:v>4.6656487532060932E-9</c:v>
                </c:pt>
                <c:pt idx="155">
                  <c:v>3.6576031823790748E-9</c:v>
                </c:pt>
                <c:pt idx="156">
                  <c:v>2.8625996848378231E-9</c:v>
                </c:pt>
                <c:pt idx="157">
                  <c:v>2.2366826508640119E-9</c:v>
                </c:pt>
                <c:pt idx="158">
                  <c:v>1.7447293348733211E-9</c:v>
                </c:pt>
                <c:pt idx="159">
                  <c:v>1.3587261174314251E-9</c:v>
                </c:pt>
                <c:pt idx="160">
                  <c:v>1.056370265801009E-9</c:v>
                </c:pt>
              </c:numCache>
            </c:numRef>
          </c:yVal>
          <c:smooth val="0"/>
        </c:ser>
        <c:ser>
          <c:idx val="1"/>
          <c:order val="1"/>
          <c:tx>
            <c:strRef>
              <c:f>'AEP Input Output sheet'!$C$50</c:f>
              <c:strCache>
                <c:ptCount val="1"/>
                <c:pt idx="0">
                  <c:v>Weibull Probability</c:v>
                </c:pt>
              </c:strCache>
            </c:strRef>
          </c:tx>
          <c:spPr>
            <a:ln w="38100">
              <a:solidFill>
                <a:srgbClr val="00FF00"/>
              </a:solidFill>
              <a:prstDash val="solid"/>
            </a:ln>
          </c:spPr>
          <c:marker>
            <c:symbol val="none"/>
          </c:marker>
          <c:xVal>
            <c:numRef>
              <c:f>'AEP Input Output sheet'!$A$51:$A$211</c:f>
              <c:numCache>
                <c:formatCode>0.00</c:formatCode>
                <c:ptCount val="161"/>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pt idx="96">
                  <c:v>24</c:v>
                </c:pt>
                <c:pt idx="97">
                  <c:v>24.25</c:v>
                </c:pt>
                <c:pt idx="98">
                  <c:v>24.5</c:v>
                </c:pt>
                <c:pt idx="99">
                  <c:v>24.75</c:v>
                </c:pt>
                <c:pt idx="100">
                  <c:v>25</c:v>
                </c:pt>
                <c:pt idx="101">
                  <c:v>25.25</c:v>
                </c:pt>
                <c:pt idx="102">
                  <c:v>25.5</c:v>
                </c:pt>
                <c:pt idx="103">
                  <c:v>25.75</c:v>
                </c:pt>
                <c:pt idx="104">
                  <c:v>26</c:v>
                </c:pt>
                <c:pt idx="105">
                  <c:v>26.25</c:v>
                </c:pt>
                <c:pt idx="106">
                  <c:v>26.5</c:v>
                </c:pt>
                <c:pt idx="107">
                  <c:v>26.75</c:v>
                </c:pt>
                <c:pt idx="108">
                  <c:v>27</c:v>
                </c:pt>
                <c:pt idx="109">
                  <c:v>27.25</c:v>
                </c:pt>
                <c:pt idx="110">
                  <c:v>27.5</c:v>
                </c:pt>
                <c:pt idx="111">
                  <c:v>27.75</c:v>
                </c:pt>
                <c:pt idx="112">
                  <c:v>28</c:v>
                </c:pt>
                <c:pt idx="113">
                  <c:v>28.25</c:v>
                </c:pt>
                <c:pt idx="114">
                  <c:v>28.5</c:v>
                </c:pt>
                <c:pt idx="115">
                  <c:v>28.75</c:v>
                </c:pt>
                <c:pt idx="116">
                  <c:v>29</c:v>
                </c:pt>
                <c:pt idx="117">
                  <c:v>29.25</c:v>
                </c:pt>
                <c:pt idx="118">
                  <c:v>29.5</c:v>
                </c:pt>
                <c:pt idx="119">
                  <c:v>29.75</c:v>
                </c:pt>
                <c:pt idx="120">
                  <c:v>30</c:v>
                </c:pt>
                <c:pt idx="121">
                  <c:v>30.25</c:v>
                </c:pt>
                <c:pt idx="122">
                  <c:v>30.5</c:v>
                </c:pt>
                <c:pt idx="123">
                  <c:v>30.75</c:v>
                </c:pt>
                <c:pt idx="124">
                  <c:v>31</c:v>
                </c:pt>
                <c:pt idx="125">
                  <c:v>31.25</c:v>
                </c:pt>
                <c:pt idx="126">
                  <c:v>31.5</c:v>
                </c:pt>
                <c:pt idx="127">
                  <c:v>31.75</c:v>
                </c:pt>
                <c:pt idx="128">
                  <c:v>32</c:v>
                </c:pt>
                <c:pt idx="129">
                  <c:v>32.25</c:v>
                </c:pt>
                <c:pt idx="130">
                  <c:v>32.5</c:v>
                </c:pt>
                <c:pt idx="131">
                  <c:v>32.75</c:v>
                </c:pt>
                <c:pt idx="132">
                  <c:v>33</c:v>
                </c:pt>
                <c:pt idx="133">
                  <c:v>33.25</c:v>
                </c:pt>
                <c:pt idx="134">
                  <c:v>33.5</c:v>
                </c:pt>
                <c:pt idx="135">
                  <c:v>33.75</c:v>
                </c:pt>
                <c:pt idx="136">
                  <c:v>34</c:v>
                </c:pt>
                <c:pt idx="137">
                  <c:v>34.25</c:v>
                </c:pt>
                <c:pt idx="138">
                  <c:v>34.5</c:v>
                </c:pt>
                <c:pt idx="139">
                  <c:v>34.75</c:v>
                </c:pt>
                <c:pt idx="140">
                  <c:v>35</c:v>
                </c:pt>
                <c:pt idx="141">
                  <c:v>35.25</c:v>
                </c:pt>
                <c:pt idx="142">
                  <c:v>35.5</c:v>
                </c:pt>
                <c:pt idx="143">
                  <c:v>35.75</c:v>
                </c:pt>
                <c:pt idx="144">
                  <c:v>36</c:v>
                </c:pt>
                <c:pt idx="145">
                  <c:v>36.25</c:v>
                </c:pt>
                <c:pt idx="146">
                  <c:v>36.5</c:v>
                </c:pt>
                <c:pt idx="147">
                  <c:v>36.75</c:v>
                </c:pt>
                <c:pt idx="148">
                  <c:v>37</c:v>
                </c:pt>
                <c:pt idx="149">
                  <c:v>37.25</c:v>
                </c:pt>
                <c:pt idx="150">
                  <c:v>37.5</c:v>
                </c:pt>
                <c:pt idx="151">
                  <c:v>37.75</c:v>
                </c:pt>
                <c:pt idx="152">
                  <c:v>38</c:v>
                </c:pt>
                <c:pt idx="153">
                  <c:v>38.25</c:v>
                </c:pt>
                <c:pt idx="154">
                  <c:v>38.5</c:v>
                </c:pt>
                <c:pt idx="155">
                  <c:v>38.75</c:v>
                </c:pt>
                <c:pt idx="156">
                  <c:v>39</c:v>
                </c:pt>
                <c:pt idx="157">
                  <c:v>39.25</c:v>
                </c:pt>
                <c:pt idx="158">
                  <c:v>39.5</c:v>
                </c:pt>
                <c:pt idx="159">
                  <c:v>39.75</c:v>
                </c:pt>
                <c:pt idx="160">
                  <c:v>40</c:v>
                </c:pt>
              </c:numCache>
            </c:numRef>
          </c:xVal>
          <c:yVal>
            <c:numRef>
              <c:f>'AEP Input Output sheet'!$C$51:$C$211</c:f>
              <c:numCache>
                <c:formatCode>0.0000</c:formatCode>
                <c:ptCount val="161"/>
                <c:pt idx="0">
                  <c:v>0</c:v>
                </c:pt>
                <c:pt idx="1">
                  <c:v>6.4644487963932051E-3</c:v>
                </c:pt>
                <c:pt idx="2">
                  <c:v>1.2897568432080725E-2</c:v>
                </c:pt>
                <c:pt idx="3">
                  <c:v>1.9268282664974129E-2</c:v>
                </c:pt>
                <c:pt idx="4">
                  <c:v>2.5546018233240955E-2</c:v>
                </c:pt>
                <c:pt idx="5">
                  <c:v>3.1700949244457315E-2</c:v>
                </c:pt>
                <c:pt idx="6">
                  <c:v>3.7704233158973297E-2</c:v>
                </c:pt>
                <c:pt idx="7">
                  <c:v>4.3528235755676783E-2</c:v>
                </c:pt>
                <c:pt idx="8">
                  <c:v>4.9146742626963814E-2</c:v>
                </c:pt>
                <c:pt idx="9">
                  <c:v>5.4535154942691101E-2</c:v>
                </c:pt>
                <c:pt idx="10">
                  <c:v>5.9670667446824338E-2</c:v>
                </c:pt>
                <c:pt idx="11">
                  <c:v>6.4532426901508622E-2</c:v>
                </c:pt>
                <c:pt idx="12">
                  <c:v>6.9101669467045837E-2</c:v>
                </c:pt>
                <c:pt idx="13">
                  <c:v>7.3361835798087541E-2</c:v>
                </c:pt>
                <c:pt idx="14">
                  <c:v>7.7298662941307841E-2</c:v>
                </c:pt>
                <c:pt idx="15">
                  <c:v>8.090025243281701E-2</c:v>
                </c:pt>
                <c:pt idx="16">
                  <c:v>8.4157114309469552E-2</c:v>
                </c:pt>
                <c:pt idx="17">
                  <c:v>8.7062187061906743E-2</c:v>
                </c:pt>
                <c:pt idx="18">
                  <c:v>8.961083386369148E-2</c:v>
                </c:pt>
                <c:pt idx="19">
                  <c:v>9.1800815705515168E-2</c:v>
                </c:pt>
                <c:pt idx="20">
                  <c:v>9.363224234177206E-2</c:v>
                </c:pt>
                <c:pt idx="21">
                  <c:v>9.5107502214787795E-2</c:v>
                </c:pt>
                <c:pt idx="22">
                  <c:v>9.6231172756103989E-2</c:v>
                </c:pt>
                <c:pt idx="23">
                  <c:v>9.7009912671422255E-2</c:v>
                </c:pt>
                <c:pt idx="24">
                  <c:v>9.7452337993616411E-2</c:v>
                </c:pt>
                <c:pt idx="25">
                  <c:v>9.756888383474939E-2</c:v>
                </c:pt>
                <c:pt idx="26">
                  <c:v>9.737165388199702E-2</c:v>
                </c:pt>
                <c:pt idx="27">
                  <c:v>9.6874259763115103E-2</c:v>
                </c:pt>
                <c:pt idx="28">
                  <c:v>9.6091652454524445E-2</c:v>
                </c:pt>
                <c:pt idx="29">
                  <c:v>9.5039947919747056E-2</c:v>
                </c:pt>
                <c:pt idx="30">
                  <c:v>9.3736249148866468E-2</c:v>
                </c:pt>
                <c:pt idx="31">
                  <c:v>9.2198466722487993E-2</c:v>
                </c:pt>
                <c:pt idx="32">
                  <c:v>9.0445139948363493E-2</c:v>
                </c:pt>
                <c:pt idx="33">
                  <c:v>8.8495260517859012E-2</c:v>
                </c:pt>
                <c:pt idx="34">
                  <c:v>8.6368100505540696E-2</c:v>
                </c:pt>
                <c:pt idx="35">
                  <c:v>8.4083046391379437E-2</c:v>
                </c:pt>
                <c:pt idx="36">
                  <c:v>8.1659440624649332E-2</c:v>
                </c:pt>
                <c:pt idx="37">
                  <c:v>7.9116432074891926E-2</c:v>
                </c:pt>
                <c:pt idx="38">
                  <c:v>7.6472836531744276E-2</c:v>
                </c:pt>
                <c:pt idx="39">
                  <c:v>7.3747008225401173E-2</c:v>
                </c:pt>
                <c:pt idx="40">
                  <c:v>7.0956723146332182E-2</c:v>
                </c:pt>
                <c:pt idx="41">
                  <c:v>6.8119074749803415E-2</c:v>
                </c:pt>
                <c:pt idx="42">
                  <c:v>6.5250382440785265E-2</c:v>
                </c:pt>
                <c:pt idx="43">
                  <c:v>6.2366113050746026E-2</c:v>
                </c:pt>
                <c:pt idx="44">
                  <c:v>5.9480815342153485E-2</c:v>
                </c:pt>
                <c:pt idx="45">
                  <c:v>5.6608067411454292E-2</c:v>
                </c:pt>
                <c:pt idx="46">
                  <c:v>5.3760436708768296E-2</c:v>
                </c:pt>
                <c:pt idx="47">
                  <c:v>5.0949452254076759E-2</c:v>
                </c:pt>
                <c:pt idx="48">
                  <c:v>4.8185588506516441E-2</c:v>
                </c:pt>
                <c:pt idx="49">
                  <c:v>4.5478260236384425E-2</c:v>
                </c:pt>
                <c:pt idx="50">
                  <c:v>4.2835827659137037E-2</c:v>
                </c:pt>
                <c:pt idx="51">
                  <c:v>4.0265611017250034E-2</c:v>
                </c:pt>
                <c:pt idx="52">
                  <c:v>3.7773913739189306E-2</c:v>
                </c:pt>
                <c:pt idx="53">
                  <c:v>3.5366053264556475E-2</c:v>
                </c:pt>
                <c:pt idx="54">
                  <c:v>3.3046398600088414E-2</c:v>
                </c:pt>
                <c:pt idx="55">
                  <c:v>3.081841366175855E-2</c:v>
                </c:pt>
                <c:pt idx="56">
                  <c:v>2.8684705462713941E-2</c:v>
                </c:pt>
                <c:pt idx="57">
                  <c:v>2.6647076223994374E-2</c:v>
                </c:pt>
                <c:pt idx="58">
                  <c:v>2.4706578513606737E-2</c:v>
                </c:pt>
                <c:pt idx="59">
                  <c:v>2.2863572558176989E-2</c:v>
                </c:pt>
                <c:pt idx="60">
                  <c:v>2.1117784918621249E-2</c:v>
                </c:pt>
                <c:pt idx="61">
                  <c:v>1.9468367775598301E-2</c:v>
                </c:pt>
                <c:pt idx="62">
                  <c:v>1.7913958130468373E-2</c:v>
                </c:pt>
                <c:pt idx="63">
                  <c:v>1.6452736291656625E-2</c:v>
                </c:pt>
                <c:pt idx="64">
                  <c:v>1.5082483083335282E-2</c:v>
                </c:pt>
                <c:pt idx="65">
                  <c:v>1.380063528190441E-2</c:v>
                </c:pt>
                <c:pt idx="66">
                  <c:v>1.2604338854666181E-2</c:v>
                </c:pt>
                <c:pt idx="67">
                  <c:v>1.149049964326309E-2</c:v>
                </c:pt>
                <c:pt idx="68">
                  <c:v>1.0455831200911116E-2</c:v>
                </c:pt>
                <c:pt idx="69">
                  <c:v>9.4968995563543337E-3</c:v>
                </c:pt>
                <c:pt idx="70">
                  <c:v>8.6101647380762477E-3</c:v>
                </c:pt>
                <c:pt idx="71">
                  <c:v>7.7920189490292679E-3</c:v>
                </c:pt>
                <c:pt idx="72">
                  <c:v>7.0388213345182141E-3</c:v>
                </c:pt>
                <c:pt idx="73">
                  <c:v>6.3469293335503864E-3</c:v>
                </c:pt>
                <c:pt idx="74">
                  <c:v>5.7127266467096602E-3</c:v>
                </c:pt>
                <c:pt idx="75">
                  <c:v>5.1326478913019833E-3</c:v>
                </c:pt>
                <c:pt idx="76">
                  <c:v>4.603200047127211E-3</c:v>
                </c:pt>
                <c:pt idx="77">
                  <c:v>4.1209808238192513E-3</c:v>
                </c:pt>
                <c:pt idx="78">
                  <c:v>3.6826941034015675E-3</c:v>
                </c:pt>
                <c:pt idx="79">
                  <c:v>3.2851626297331913E-3</c:v>
                </c:pt>
                <c:pt idx="80">
                  <c:v>2.9253381301310999E-3</c:v>
                </c:pt>
                <c:pt idx="81">
                  <c:v>2.6003090639524747E-3</c:v>
                </c:pt>
                <c:pt idx="82">
                  <c:v>2.3073061986410271E-3</c:v>
                </c:pt>
                <c:pt idx="83">
                  <c:v>2.0437062160466694E-3</c:v>
                </c:pt>
                <c:pt idx="84">
                  <c:v>1.8070335510911269E-3</c:v>
                </c:pt>
                <c:pt idx="85">
                  <c:v>1.5949606614535888E-3</c:v>
                </c:pt>
                <c:pt idx="86">
                  <c:v>1.4053069212681905E-3</c:v>
                </c:pt>
                <c:pt idx="87">
                  <c:v>1.2360363242281949E-3</c:v>
                </c:pt>
                <c:pt idx="88">
                  <c:v>1.0852541723348611E-3</c:v>
                </c:pt>
                <c:pt idx="89">
                  <c:v>9.5120291614871652E-4</c:v>
                </c:pt>
                <c:pt idx="90">
                  <c:v>8.322573011101341E-4</c:v>
                </c:pt>
                <c:pt idx="91">
                  <c:v>7.2691896258341392E-4</c:v>
                </c:pt>
                <c:pt idx="92">
                  <c:v>6.3381060000447889E-4</c:v>
                </c:pt>
                <c:pt idx="93">
                  <c:v>5.5166984810934617E-4</c:v>
                </c:pt>
                <c:pt idx="94">
                  <c:v>4.7934295089234897E-4</c:v>
                </c:pt>
                <c:pt idx="95">
                  <c:v>4.1577833186470683E-4</c:v>
                </c:pt>
                <c:pt idx="96">
                  <c:v>3.6002014250226624E-4</c:v>
                </c:pt>
                <c:pt idx="97">
                  <c:v>3.1120185960671767E-4</c:v>
                </c:pt>
                <c:pt idx="98">
                  <c:v>2.6853999175210133E-4</c:v>
                </c:pt>
                <c:pt idx="99">
                  <c:v>2.3132794511984629E-4</c:v>
                </c:pt>
                <c:pt idx="100">
                  <c:v>1.9893008989109958E-4</c:v>
                </c:pt>
                <c:pt idx="101">
                  <c:v>1.7077605999577284E-4</c:v>
                </c:pt>
                <c:pt idx="102">
                  <c:v>1.4635531142756489E-4</c:v>
                </c:pt>
                <c:pt idx="103">
                  <c:v>1.2521195752228519E-4</c:v>
                </c:pt>
                <c:pt idx="104">
                  <c:v>1.0693989354971427E-4</c:v>
                </c:pt>
                <c:pt idx="105">
                  <c:v>9.1178217662916703E-5</c:v>
                </c:pt>
                <c:pt idx="106">
                  <c:v>7.7606950650848151E-5</c:v>
                </c:pt>
                <c:pt idx="107">
                  <c:v>6.5943053011052283E-5</c:v>
                </c:pt>
                <c:pt idx="108">
                  <c:v>5.5936734555058551E-5</c:v>
                </c:pt>
                <c:pt idx="109">
                  <c:v>4.7368049032199529E-5</c:v>
                </c:pt>
                <c:pt idx="110">
                  <c:v>4.0043764058352411E-5</c:v>
                </c:pt>
                <c:pt idx="111">
                  <c:v>3.3794494914123845E-5</c:v>
                </c:pt>
                <c:pt idx="112">
                  <c:v>2.8472089482018791E-5</c:v>
                </c:pt>
                <c:pt idx="113">
                  <c:v>2.3947250674932041E-5</c:v>
                </c:pt>
                <c:pt idx="114">
                  <c:v>2.0107382121485579E-5</c:v>
                </c:pt>
                <c:pt idx="115">
                  <c:v>1.6854642572157635E-5</c:v>
                </c:pt>
                <c:pt idx="116">
                  <c:v>1.4104194431459125E-5</c:v>
                </c:pt>
                <c:pt idx="117">
                  <c:v>1.1782631966270007E-5</c:v>
                </c:pt>
                <c:pt idx="118">
                  <c:v>9.8265750527497307E-6</c:v>
                </c:pt>
                <c:pt idx="119">
                  <c:v>8.1814147712274669E-6</c:v>
                </c:pt>
                <c:pt idx="120">
                  <c:v>6.8001977107292226E-6</c:v>
                </c:pt>
                <c:pt idx="121">
                  <c:v>5.6426364762159381E-6</c:v>
                </c:pt>
                <c:pt idx="122">
                  <c:v>4.6742345792595583E-6</c:v>
                </c:pt>
                <c:pt idx="123">
                  <c:v>3.8655146169255412E-6</c:v>
                </c:pt>
                <c:pt idx="124">
                  <c:v>3.1913393870633128E-6</c:v>
                </c:pt>
                <c:pt idx="125">
                  <c:v>2.6303163367156285E-6</c:v>
                </c:pt>
                <c:pt idx="126">
                  <c:v>2.1642764820749745E-6</c:v>
                </c:pt>
                <c:pt idx="127">
                  <c:v>1.7778196636938941E-6</c:v>
                </c:pt>
                <c:pt idx="128">
                  <c:v>1.457918701851677E-6</c:v>
                </c:pt>
                <c:pt idx="129">
                  <c:v>1.1935756882104754E-6</c:v>
                </c:pt>
                <c:pt idx="130">
                  <c:v>9.7552428683749432E-7</c:v>
                </c:pt>
                <c:pt idx="131">
                  <c:v>7.9597251734315594E-7</c:v>
                </c:pt>
                <c:pt idx="132">
                  <c:v>6.4838105345633158E-7</c:v>
                </c:pt>
                <c:pt idx="133">
                  <c:v>5.272725909622576E-7</c:v>
                </c:pt>
                <c:pt idx="134">
                  <c:v>4.2806831950471944E-7</c:v>
                </c:pt>
                <c:pt idx="135">
                  <c:v>3.469479738911924E-7</c:v>
                </c:pt>
                <c:pt idx="136">
                  <c:v>2.8073034334729714E-7</c:v>
                </c:pt>
                <c:pt idx="137">
                  <c:v>2.2677148315408317E-7</c:v>
                </c:pt>
                <c:pt idx="138">
                  <c:v>1.8287820407473637E-7</c:v>
                </c:pt>
                <c:pt idx="139">
                  <c:v>1.4723471295139315E-7</c:v>
                </c:pt>
                <c:pt idx="140">
                  <c:v>1.1834054497485152E-7</c:v>
                </c:pt>
                <c:pt idx="141">
                  <c:v>9.495816661747241E-8</c:v>
                </c:pt>
                <c:pt idx="142">
                  <c:v>7.6068840306203211E-8</c:v>
                </c:pt>
                <c:pt idx="143">
                  <c:v>6.0835529807717862E-8</c:v>
                </c:pt>
                <c:pt idx="144">
                  <c:v>4.8571791151942731E-8</c:v>
                </c:pt>
                <c:pt idx="145">
                  <c:v>3.8715739800594227E-8</c:v>
                </c:pt>
                <c:pt idx="146">
                  <c:v>3.0808312638244706E-8</c:v>
                </c:pt>
                <c:pt idx="147">
                  <c:v>2.4475155073205222E-8</c:v>
                </c:pt>
                <c:pt idx="148">
                  <c:v>1.9411560808886243E-8</c:v>
                </c:pt>
                <c:pt idx="149">
                  <c:v>1.5369976279505342E-8</c:v>
                </c:pt>
                <c:pt idx="150">
                  <c:v>1.2149654804290346E-8</c:v>
                </c:pt>
                <c:pt idx="151">
                  <c:v>9.5881085413576371E-9</c:v>
                </c:pt>
                <c:pt idx="152">
                  <c:v>7.5540605320741487E-9</c:v>
                </c:pt>
                <c:pt idx="153">
                  <c:v>5.94164561627502E-9</c:v>
                </c:pt>
                <c:pt idx="154">
                  <c:v>4.6656487532061098E-9</c:v>
                </c:pt>
                <c:pt idx="155">
                  <c:v>3.6576031823790479E-9</c:v>
                </c:pt>
                <c:pt idx="156">
                  <c:v>2.8625996848378128E-9</c:v>
                </c:pt>
                <c:pt idx="157">
                  <c:v>2.2366826508640197E-9</c:v>
                </c:pt>
                <c:pt idx="158">
                  <c:v>1.7447293348733207E-9</c:v>
                </c:pt>
                <c:pt idx="159">
                  <c:v>1.3587261174314249E-9</c:v>
                </c:pt>
                <c:pt idx="160">
                  <c:v>1.0563702658010049E-9</c:v>
                </c:pt>
              </c:numCache>
            </c:numRef>
          </c:yVal>
          <c:smooth val="0"/>
        </c:ser>
        <c:dLbls>
          <c:showLegendKey val="0"/>
          <c:showVal val="0"/>
          <c:showCatName val="0"/>
          <c:showSerName val="0"/>
          <c:showPercent val="0"/>
          <c:showBubbleSize val="0"/>
        </c:dLbls>
        <c:axId val="72734592"/>
        <c:axId val="72740864"/>
      </c:scatterChart>
      <c:scatterChart>
        <c:scatterStyle val="lineMarker"/>
        <c:varyColors val="0"/>
        <c:ser>
          <c:idx val="2"/>
          <c:order val="2"/>
          <c:tx>
            <c:strRef>
              <c:f>'AEP Input Output sheet'!$E$50</c:f>
              <c:strCache>
                <c:ptCount val="1"/>
                <c:pt idx="0">
                  <c:v>Weibull Betz</c:v>
                </c:pt>
              </c:strCache>
            </c:strRef>
          </c:tx>
          <c:spPr>
            <a:ln w="38100">
              <a:solidFill>
                <a:srgbClr val="FF0000"/>
              </a:solidFill>
              <a:prstDash val="solid"/>
            </a:ln>
          </c:spPr>
          <c:marker>
            <c:symbol val="none"/>
          </c:marker>
          <c:xVal>
            <c:numRef>
              <c:f>'AEP Input Output sheet'!$A$51:$A$211</c:f>
              <c:numCache>
                <c:formatCode>0.00</c:formatCode>
                <c:ptCount val="161"/>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pt idx="96">
                  <c:v>24</c:v>
                </c:pt>
                <c:pt idx="97">
                  <c:v>24.25</c:v>
                </c:pt>
                <c:pt idx="98">
                  <c:v>24.5</c:v>
                </c:pt>
                <c:pt idx="99">
                  <c:v>24.75</c:v>
                </c:pt>
                <c:pt idx="100">
                  <c:v>25</c:v>
                </c:pt>
                <c:pt idx="101">
                  <c:v>25.25</c:v>
                </c:pt>
                <c:pt idx="102">
                  <c:v>25.5</c:v>
                </c:pt>
                <c:pt idx="103">
                  <c:v>25.75</c:v>
                </c:pt>
                <c:pt idx="104">
                  <c:v>26</c:v>
                </c:pt>
                <c:pt idx="105">
                  <c:v>26.25</c:v>
                </c:pt>
                <c:pt idx="106">
                  <c:v>26.5</c:v>
                </c:pt>
                <c:pt idx="107">
                  <c:v>26.75</c:v>
                </c:pt>
                <c:pt idx="108">
                  <c:v>27</c:v>
                </c:pt>
                <c:pt idx="109">
                  <c:v>27.25</c:v>
                </c:pt>
                <c:pt idx="110">
                  <c:v>27.5</c:v>
                </c:pt>
                <c:pt idx="111">
                  <c:v>27.75</c:v>
                </c:pt>
                <c:pt idx="112">
                  <c:v>28</c:v>
                </c:pt>
                <c:pt idx="113">
                  <c:v>28.25</c:v>
                </c:pt>
                <c:pt idx="114">
                  <c:v>28.5</c:v>
                </c:pt>
                <c:pt idx="115">
                  <c:v>28.75</c:v>
                </c:pt>
                <c:pt idx="116">
                  <c:v>29</c:v>
                </c:pt>
                <c:pt idx="117">
                  <c:v>29.25</c:v>
                </c:pt>
                <c:pt idx="118">
                  <c:v>29.5</c:v>
                </c:pt>
                <c:pt idx="119">
                  <c:v>29.75</c:v>
                </c:pt>
                <c:pt idx="120">
                  <c:v>30</c:v>
                </c:pt>
                <c:pt idx="121">
                  <c:v>30.25</c:v>
                </c:pt>
                <c:pt idx="122">
                  <c:v>30.5</c:v>
                </c:pt>
                <c:pt idx="123">
                  <c:v>30.75</c:v>
                </c:pt>
                <c:pt idx="124">
                  <c:v>31</c:v>
                </c:pt>
                <c:pt idx="125">
                  <c:v>31.25</c:v>
                </c:pt>
                <c:pt idx="126">
                  <c:v>31.5</c:v>
                </c:pt>
                <c:pt idx="127">
                  <c:v>31.75</c:v>
                </c:pt>
                <c:pt idx="128">
                  <c:v>32</c:v>
                </c:pt>
                <c:pt idx="129">
                  <c:v>32.25</c:v>
                </c:pt>
                <c:pt idx="130">
                  <c:v>32.5</c:v>
                </c:pt>
                <c:pt idx="131">
                  <c:v>32.75</c:v>
                </c:pt>
                <c:pt idx="132">
                  <c:v>33</c:v>
                </c:pt>
                <c:pt idx="133">
                  <c:v>33.25</c:v>
                </c:pt>
                <c:pt idx="134">
                  <c:v>33.5</c:v>
                </c:pt>
                <c:pt idx="135">
                  <c:v>33.75</c:v>
                </c:pt>
                <c:pt idx="136">
                  <c:v>34</c:v>
                </c:pt>
                <c:pt idx="137">
                  <c:v>34.25</c:v>
                </c:pt>
                <c:pt idx="138">
                  <c:v>34.5</c:v>
                </c:pt>
                <c:pt idx="139">
                  <c:v>34.75</c:v>
                </c:pt>
                <c:pt idx="140">
                  <c:v>35</c:v>
                </c:pt>
                <c:pt idx="141">
                  <c:v>35.25</c:v>
                </c:pt>
                <c:pt idx="142">
                  <c:v>35.5</c:v>
                </c:pt>
                <c:pt idx="143">
                  <c:v>35.75</c:v>
                </c:pt>
                <c:pt idx="144">
                  <c:v>36</c:v>
                </c:pt>
                <c:pt idx="145">
                  <c:v>36.25</c:v>
                </c:pt>
                <c:pt idx="146">
                  <c:v>36.5</c:v>
                </c:pt>
                <c:pt idx="147">
                  <c:v>36.75</c:v>
                </c:pt>
                <c:pt idx="148">
                  <c:v>37</c:v>
                </c:pt>
                <c:pt idx="149">
                  <c:v>37.25</c:v>
                </c:pt>
                <c:pt idx="150">
                  <c:v>37.5</c:v>
                </c:pt>
                <c:pt idx="151">
                  <c:v>37.75</c:v>
                </c:pt>
                <c:pt idx="152">
                  <c:v>38</c:v>
                </c:pt>
                <c:pt idx="153">
                  <c:v>38.25</c:v>
                </c:pt>
                <c:pt idx="154">
                  <c:v>38.5</c:v>
                </c:pt>
                <c:pt idx="155">
                  <c:v>38.75</c:v>
                </c:pt>
                <c:pt idx="156">
                  <c:v>39</c:v>
                </c:pt>
                <c:pt idx="157">
                  <c:v>39.25</c:v>
                </c:pt>
                <c:pt idx="158">
                  <c:v>39.5</c:v>
                </c:pt>
                <c:pt idx="159">
                  <c:v>39.75</c:v>
                </c:pt>
                <c:pt idx="160">
                  <c:v>40</c:v>
                </c:pt>
              </c:numCache>
            </c:numRef>
          </c:xVal>
          <c:yVal>
            <c:numRef>
              <c:f>'AEP Input Output sheet'!$E$51:$E$211</c:f>
              <c:numCache>
                <c:formatCode>0.0000</c:formatCode>
                <c:ptCount val="161"/>
                <c:pt idx="0">
                  <c:v>0</c:v>
                </c:pt>
                <c:pt idx="1">
                  <c:v>2.5666217296580087E-4</c:v>
                </c:pt>
                <c:pt idx="2">
                  <c:v>4.0966437127322296E-3</c:v>
                </c:pt>
                <c:pt idx="3">
                  <c:v>2.0655567899851228E-2</c:v>
                </c:pt>
                <c:pt idx="4">
                  <c:v>6.4913280689554667E-2</c:v>
                </c:pt>
                <c:pt idx="5">
                  <c:v>0.15733039997742432</c:v>
                </c:pt>
                <c:pt idx="6">
                  <c:v>0.32335101645262926</c:v>
                </c:pt>
                <c:pt idx="7">
                  <c:v>0.59278274307996581</c:v>
                </c:pt>
                <c:pt idx="8">
                  <c:v>0.99906804105233316</c:v>
                </c:pt>
                <c:pt idx="9">
                  <c:v>1.5784631467532888</c:v>
                </c:pt>
                <c:pt idx="10">
                  <c:v>2.3691429310673207</c:v>
                </c:pt>
                <c:pt idx="11">
                  <c:v>3.4102515936952877</c:v>
                </c:pt>
                <c:pt idx="12">
                  <c:v>4.740920196739272</c:v>
                </c:pt>
                <c:pt idx="13">
                  <c:v>6.39927265162176</c:v>
                </c:pt>
                <c:pt idx="14">
                  <c:v>8.4214418819005434</c:v>
                </c:pt>
                <c:pt idx="15">
                  <c:v>10.840617494928416</c:v>
                </c:pt>
                <c:pt idx="16">
                  <c:v>13.686145423220816</c:v>
                </c:pt>
                <c:pt idx="17">
                  <c:v>16.982698669314985</c:v>
                </c:pt>
                <c:pt idx="18">
                  <c:v>20.749536544243469</c:v>
                </c:pt>
                <c:pt idx="19">
                  <c:v>24.999867677649902</c:v>
                </c:pt>
                <c:pt idx="20">
                  <c:v>29.740329653483332</c:v>
                </c:pt>
                <c:pt idx="21">
                  <c:v>34.970595452202701</c:v>
                </c:pt>
                <c:pt idx="22">
                  <c:v>40.683114026445928</c:v>
                </c:pt>
                <c:pt idx="23">
                  <c:v>46.862989373082577</c:v>
                </c:pt>
                <c:pt idx="24">
                  <c:v>53.487999462441877</c:v>
                </c:pt>
                <c:pt idx="25">
                  <c:v>60.528753416413487</c:v>
                </c:pt>
                <c:pt idx="26">
                  <c:v>67.948982459513331</c:v>
                </c:pt>
                <c:pt idx="27">
                  <c:v>75.705957464975455</c:v>
                </c:pt>
                <c:pt idx="28">
                  <c:v>83.751023439668487</c:v>
                </c:pt>
                <c:pt idx="29">
                  <c:v>92.030239088111188</c:v>
                </c:pt>
                <c:pt idx="30">
                  <c:v>100.48510770974734</c:v>
                </c:pt>
                <c:pt idx="31">
                  <c:v>109.05338414849211</c:v>
                </c:pt>
                <c:pt idx="32">
                  <c:v>117.66994135326011</c:v>
                </c:pt>
                <c:pt idx="33">
                  <c:v>126.26767933670004</c:v>
                </c:pt>
                <c:pt idx="34">
                  <c:v>134.77845894073363</c:v>
                </c:pt>
                <c:pt idx="35">
                  <c:v>143.13404282616025</c:v>
                </c:pt>
                <c:pt idx="36">
                  <c:v>151.26702648485687</c:v>
                </c:pt>
                <c:pt idx="37">
                  <c:v>159.11174280396801</c:v>
                </c:pt>
                <c:pt idx="38">
                  <c:v>166.60512476150484</c:v>
                </c:pt>
                <c:pt idx="39">
                  <c:v>173.68751216524234</c:v>
                </c:pt>
                <c:pt idx="40">
                  <c:v>180.30338991989854</c:v>
                </c:pt>
                <c:pt idx="41">
                  <c:v>186.40204707569254</c:v>
                </c:pt>
                <c:pt idx="42">
                  <c:v>191.93814782644301</c:v>
                </c:pt>
                <c:pt idx="43">
                  <c:v>196.87220763818979</c:v>
                </c:pt>
                <c:pt idx="44">
                  <c:v>201.17096975084394</c:v>
                </c:pt>
                <c:pt idx="45">
                  <c:v>204.80767935794088</c:v>
                </c:pt>
                <c:pt idx="46">
                  <c:v>207.7622547880066</c:v>
                </c:pt>
                <c:pt idx="47">
                  <c:v>210.02135694364148</c:v>
                </c:pt>
                <c:pt idx="48">
                  <c:v>211.57836006379452</c:v>
                </c:pt>
                <c:pt idx="49">
                  <c:v>212.43322852845088</c:v>
                </c:pt>
                <c:pt idx="50">
                  <c:v>212.5923058961516</c:v>
                </c:pt>
                <c:pt idx="51">
                  <c:v>212.06802363235306</c:v>
                </c:pt>
                <c:pt idx="52">
                  <c:v>210.87853803546406</c:v>
                </c:pt>
                <c:pt idx="53">
                  <c:v>209.04730468834879</c:v>
                </c:pt>
                <c:pt idx="54">
                  <c:v>206.60260035279114</c:v>
                </c:pt>
                <c:pt idx="55">
                  <c:v>203.57700258502862</c:v>
                </c:pt>
                <c:pt idx="56">
                  <c:v>200.0068374892123</c:v>
                </c:pt>
                <c:pt idx="57">
                  <c:v>195.93160595428543</c:v>
                </c:pt>
                <c:pt idx="58">
                  <c:v>191.39339845399786</c:v>
                </c:pt>
                <c:pt idx="59">
                  <c:v>186.43630804857736</c:v>
                </c:pt>
                <c:pt idx="60">
                  <c:v>181.10585063149779</c:v>
                </c:pt>
                <c:pt idx="61">
                  <c:v>175.44840073923226</c:v>
                </c:pt>
                <c:pt idx="62">
                  <c:v>169.51065041045652</c:v>
                </c:pt>
                <c:pt idx="63">
                  <c:v>163.33909766890721</c:v>
                </c:pt>
                <c:pt idx="64">
                  <c:v>156.97957023590959</c:v>
                </c:pt>
                <c:pt idx="65">
                  <c:v>150.47678907866069</c:v>
                </c:pt>
                <c:pt idx="66">
                  <c:v>143.87397539156734</c:v>
                </c:pt>
                <c:pt idx="67">
                  <c:v>137.21250361156288</c:v>
                </c:pt>
                <c:pt idx="68">
                  <c:v>130.5316021035184</c:v>
                </c:pt>
                <c:pt idx="69">
                  <c:v>123.86810223549298</c:v>
                </c:pt>
                <c:pt idx="70">
                  <c:v>117.25623570998039</c:v>
                </c:pt>
                <c:pt idx="71">
                  <c:v>110.72747923821353</c:v>
                </c:pt>
                <c:pt idx="72">
                  <c:v>104.31044494902841</c:v>
                </c:pt>
                <c:pt idx="73">
                  <c:v>98.030814318199589</c:v>
                </c:pt>
                <c:pt idx="74">
                  <c:v>91.911312892392829</c:v>
                </c:pt>
                <c:pt idx="75">
                  <c:v>85.971722665455275</c:v>
                </c:pt>
                <c:pt idx="76">
                  <c:v>80.228928642963879</c:v>
                </c:pt>
                <c:pt idx="77">
                  <c:v>74.696995901129711</c:v>
                </c:pt>
                <c:pt idx="78">
                  <c:v>69.387273303934379</c:v>
                </c:pt>
                <c:pt idx="79">
                  <c:v>64.308519981960643</c:v>
                </c:pt>
                <c:pt idx="80">
                  <c:v>59.467050690808449</c:v>
                </c:pt>
                <c:pt idx="81">
                  <c:v>54.86689624843892</c:v>
                </c:pt>
                <c:pt idx="82">
                  <c:v>50.509975390804989</c:v>
                </c:pt>
                <c:pt idx="83">
                  <c:v>46.396274574935674</c:v>
                </c:pt>
                <c:pt idx="84">
                  <c:v>42.52403248933318</c:v>
                </c:pt>
                <c:pt idx="85">
                  <c:v>38.889926294318244</c:v>
                </c:pt>
                <c:pt idx="86">
                  <c:v>35.48925690131486</c:v>
                </c:pt>
                <c:pt idx="87">
                  <c:v>32.316130901943033</c:v>
                </c:pt>
                <c:pt idx="88">
                  <c:v>29.363637067702545</c:v>
                </c:pt>
                <c:pt idx="89">
                  <c:v>26.624015652199798</c:v>
                </c:pt>
                <c:pt idx="90">
                  <c:v>24.08881903423957</c:v>
                </c:pt>
                <c:pt idx="91">
                  <c:v>21.749062536450499</c:v>
                </c:pt>
                <c:pt idx="92">
                  <c:v>19.595364536016518</c:v>
                </c:pt>
                <c:pt idx="93">
                  <c:v>17.618075247959013</c:v>
                </c:pt>
                <c:pt idx="94">
                  <c:v>15.807393804470204</c:v>
                </c:pt>
                <c:pt idx="95">
                  <c:v>14.153473474020572</c:v>
                </c:pt>
                <c:pt idx="96">
                  <c:v>12.64651506003905</c:v>
                </c:pt>
                <c:pt idx="97">
                  <c:v>11.276848690256621</c:v>
                </c:pt>
                <c:pt idx="98">
                  <c:v>10.035004354236529</c:v>
                </c:pt>
                <c:pt idx="99">
                  <c:v>8.9117716686435209</c:v>
                </c:pt>
                <c:pt idx="100">
                  <c:v>7.8982494483085821</c:v>
                </c:pt>
                <c:pt idx="101">
                  <c:v>6.9858857373687684</c:v>
                </c:pt>
                <c:pt idx="102">
                  <c:v>6.1665090102310209</c:v>
                </c:pt>
                <c:pt idx="103">
                  <c:v>5.4323512885604357</c:v>
                </c:pt>
                <c:pt idx="104">
                  <c:v>4.7760639398158142</c:v>
                </c:pt>
                <c:pt idx="105">
                  <c:v>4.1907269270170282</c:v>
                </c:pt>
                <c:pt idx="106">
                  <c:v>3.6698522704314454</c:v>
                </c:pt>
                <c:pt idx="107">
                  <c:v>3.2073824616950359</c:v>
                </c:pt>
                <c:pt idx="108">
                  <c:v>2.7976845414648004</c:v>
                </c:pt>
                <c:pt idx="109">
                  <c:v>2.4355405148699694</c:v>
                </c:pt>
                <c:pt idx="110">
                  <c:v>2.1161347365096841</c:v>
                </c:pt>
                <c:pt idx="111">
                  <c:v>1.8350388501171859</c:v>
                </c:pt>
                <c:pt idx="112">
                  <c:v>1.5881948187087043</c:v>
                </c:pt>
                <c:pt idx="113">
                  <c:v>1.3718965303310862</c:v>
                </c:pt>
                <c:pt idx="114">
                  <c:v>1.1827704135290242</c:v>
                </c:pt>
                <c:pt idx="115">
                  <c:v>1.0177554463189535</c:v>
                </c:pt>
                <c:pt idx="116">
                  <c:v>0.87408289357629565</c:v>
                </c:pt>
                <c:pt idx="117">
                  <c:v>0.74925606095883046</c:v>
                </c:pt>
                <c:pt idx="118">
                  <c:v>0.64103030930455418</c:v>
                </c:pt>
                <c:pt idx="119">
                  <c:v>0.54739353223262244</c:v>
                </c:pt>
                <c:pt idx="120">
                  <c:v>0.46654726169808397</c:v>
                </c:pt>
                <c:pt idx="121">
                  <c:v>0.39688853166101518</c:v>
                </c:pt>
                <c:pt idx="122">
                  <c:v>0.33699259889224265</c:v>
                </c:pt>
                <c:pt idx="123">
                  <c:v>0.28559659224006589</c:v>
                </c:pt>
                <c:pt idx="124">
                  <c:v>0.24158413734886444</c:v>
                </c:pt>
                <c:pt idx="125">
                  <c:v>0.20397098272369671</c:v>
                </c:pt>
                <c:pt idx="126">
                  <c:v>0.1718916350066014</c:v>
                </c:pt>
                <c:pt idx="127">
                  <c:v>0.14458699617141801</c:v>
                </c:pt>
                <c:pt idx="128">
                  <c:v>0.12139298283500492</c:v>
                </c:pt>
                <c:pt idx="129">
                  <c:v>0.10173009779063572</c:v>
                </c:pt>
                <c:pt idx="130">
                  <c:v>8.5093915955613789E-2</c:v>
                </c:pt>
                <c:pt idx="131">
                  <c:v>7.1046440950846182E-2</c:v>
                </c:pt>
                <c:pt idx="132">
                  <c:v>5.9208284261447114E-2</c:v>
                </c:pt>
                <c:pt idx="133">
                  <c:v>4.9251616139369826E-2</c:v>
                </c:pt>
                <c:pt idx="134">
                  <c:v>4.089383588848497E-2</c:v>
                </c:pt>
                <c:pt idx="135">
                  <c:v>3.3891908720378713E-2</c:v>
                </c:pt>
                <c:pt idx="136">
                  <c:v>2.803731680213073E-2</c:v>
                </c:pt>
                <c:pt idx="137">
                  <c:v>2.3151573268631036E-2</c:v>
                </c:pt>
                <c:pt idx="138">
                  <c:v>1.9082249691745701E-2</c:v>
                </c:pt>
                <c:pt idx="139">
                  <c:v>1.5699469653890331E-2</c:v>
                </c:pt>
                <c:pt idx="140">
                  <c:v>1.2892823547735325E-2</c:v>
                </c:pt>
                <c:pt idx="141">
                  <c:v>1.0568662416105304E-2</c:v>
                </c:pt>
                <c:pt idx="142">
                  <c:v>8.6477314706524689E-3</c:v>
                </c:pt>
                <c:pt idx="143">
                  <c:v>7.0631068123993288E-3</c:v>
                </c:pt>
                <c:pt idx="144">
                  <c:v>5.7584017621634571E-3</c:v>
                </c:pt>
                <c:pt idx="145">
                  <c:v>4.686212045973615E-3</c:v>
                </c:pt>
                <c:pt idx="146">
                  <c:v>3.8067718318298897E-3</c:v>
                </c:pt>
                <c:pt idx="147">
                  <c:v>3.086795250424876E-3</c:v>
                </c:pt>
                <c:pt idx="148">
                  <c:v>2.4984805324271692E-3</c:v>
                </c:pt>
                <c:pt idx="149">
                  <c:v>2.0186562439766967E-3</c:v>
                </c:pt>
                <c:pt idx="150">
                  <c:v>1.6280512911638733E-3</c:v>
                </c:pt>
                <c:pt idx="151">
                  <c:v>1.3106723891663343E-3</c:v>
                </c:pt>
                <c:pt idx="152">
                  <c:v>1.0532745519424226E-3</c:v>
                </c:pt>
                <c:pt idx="153">
                  <c:v>8.4491185656022331E-4</c:v>
                </c:pt>
                <c:pt idx="154">
                  <c:v>6.7655727739369563E-4</c:v>
                </c:pt>
                <c:pt idx="155">
                  <c:v>5.4078177638153832E-4</c:v>
                </c:pt>
                <c:pt idx="156">
                  <c:v>4.314840844546549E-4</c:v>
                </c:pt>
                <c:pt idx="157">
                  <c:v>3.4366372510425167E-4</c:v>
                </c:pt>
                <c:pt idx="158">
                  <c:v>2.732308234102283E-4</c:v>
                </c:pt>
                <c:pt idx="159">
                  <c:v>2.1684712242038158E-4</c:v>
                </c:pt>
                <c:pt idx="160">
                  <c:v>1.717934032927288E-4</c:v>
                </c:pt>
              </c:numCache>
            </c:numRef>
          </c:yVal>
          <c:smooth val="0"/>
        </c:ser>
        <c:ser>
          <c:idx val="3"/>
          <c:order val="3"/>
          <c:tx>
            <c:strRef>
              <c:f>'AEP Input Output sheet'!$G$50</c:f>
              <c:strCache>
                <c:ptCount val="1"/>
                <c:pt idx="0">
                  <c:v>Turbine Energy</c:v>
                </c:pt>
              </c:strCache>
            </c:strRef>
          </c:tx>
          <c:spPr>
            <a:ln w="38100">
              <a:solidFill>
                <a:srgbClr val="0000FF"/>
              </a:solidFill>
              <a:prstDash val="solid"/>
            </a:ln>
          </c:spPr>
          <c:marker>
            <c:symbol val="diamond"/>
            <c:size val="5"/>
            <c:spPr>
              <a:noFill/>
              <a:ln>
                <a:solidFill>
                  <a:srgbClr val="0000FF"/>
                </a:solidFill>
                <a:prstDash val="solid"/>
              </a:ln>
            </c:spPr>
          </c:marker>
          <c:xVal>
            <c:numRef>
              <c:f>'AEP Input Output sheet'!$A$51:$A$211</c:f>
              <c:numCache>
                <c:formatCode>0.00</c:formatCode>
                <c:ptCount val="161"/>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pt idx="96">
                  <c:v>24</c:v>
                </c:pt>
                <c:pt idx="97">
                  <c:v>24.25</c:v>
                </c:pt>
                <c:pt idx="98">
                  <c:v>24.5</c:v>
                </c:pt>
                <c:pt idx="99">
                  <c:v>24.75</c:v>
                </c:pt>
                <c:pt idx="100">
                  <c:v>25</c:v>
                </c:pt>
                <c:pt idx="101">
                  <c:v>25.25</c:v>
                </c:pt>
                <c:pt idx="102">
                  <c:v>25.5</c:v>
                </c:pt>
                <c:pt idx="103">
                  <c:v>25.75</c:v>
                </c:pt>
                <c:pt idx="104">
                  <c:v>26</c:v>
                </c:pt>
                <c:pt idx="105">
                  <c:v>26.25</c:v>
                </c:pt>
                <c:pt idx="106">
                  <c:v>26.5</c:v>
                </c:pt>
                <c:pt idx="107">
                  <c:v>26.75</c:v>
                </c:pt>
                <c:pt idx="108">
                  <c:v>27</c:v>
                </c:pt>
                <c:pt idx="109">
                  <c:v>27.25</c:v>
                </c:pt>
                <c:pt idx="110">
                  <c:v>27.5</c:v>
                </c:pt>
                <c:pt idx="111">
                  <c:v>27.75</c:v>
                </c:pt>
                <c:pt idx="112">
                  <c:v>28</c:v>
                </c:pt>
                <c:pt idx="113">
                  <c:v>28.25</c:v>
                </c:pt>
                <c:pt idx="114">
                  <c:v>28.5</c:v>
                </c:pt>
                <c:pt idx="115">
                  <c:v>28.75</c:v>
                </c:pt>
                <c:pt idx="116">
                  <c:v>29</c:v>
                </c:pt>
                <c:pt idx="117">
                  <c:v>29.25</c:v>
                </c:pt>
                <c:pt idx="118">
                  <c:v>29.5</c:v>
                </c:pt>
                <c:pt idx="119">
                  <c:v>29.75</c:v>
                </c:pt>
                <c:pt idx="120">
                  <c:v>30</c:v>
                </c:pt>
                <c:pt idx="121">
                  <c:v>30.25</c:v>
                </c:pt>
                <c:pt idx="122">
                  <c:v>30.5</c:v>
                </c:pt>
                <c:pt idx="123">
                  <c:v>30.75</c:v>
                </c:pt>
                <c:pt idx="124">
                  <c:v>31</c:v>
                </c:pt>
                <c:pt idx="125">
                  <c:v>31.25</c:v>
                </c:pt>
                <c:pt idx="126">
                  <c:v>31.5</c:v>
                </c:pt>
                <c:pt idx="127">
                  <c:v>31.75</c:v>
                </c:pt>
                <c:pt idx="128">
                  <c:v>32</c:v>
                </c:pt>
                <c:pt idx="129">
                  <c:v>32.25</c:v>
                </c:pt>
                <c:pt idx="130">
                  <c:v>32.5</c:v>
                </c:pt>
                <c:pt idx="131">
                  <c:v>32.75</c:v>
                </c:pt>
                <c:pt idx="132">
                  <c:v>33</c:v>
                </c:pt>
                <c:pt idx="133">
                  <c:v>33.25</c:v>
                </c:pt>
                <c:pt idx="134">
                  <c:v>33.5</c:v>
                </c:pt>
                <c:pt idx="135">
                  <c:v>33.75</c:v>
                </c:pt>
                <c:pt idx="136">
                  <c:v>34</c:v>
                </c:pt>
                <c:pt idx="137">
                  <c:v>34.25</c:v>
                </c:pt>
                <c:pt idx="138">
                  <c:v>34.5</c:v>
                </c:pt>
                <c:pt idx="139">
                  <c:v>34.75</c:v>
                </c:pt>
                <c:pt idx="140">
                  <c:v>35</c:v>
                </c:pt>
                <c:pt idx="141">
                  <c:v>35.25</c:v>
                </c:pt>
                <c:pt idx="142">
                  <c:v>35.5</c:v>
                </c:pt>
                <c:pt idx="143">
                  <c:v>35.75</c:v>
                </c:pt>
                <c:pt idx="144">
                  <c:v>36</c:v>
                </c:pt>
                <c:pt idx="145">
                  <c:v>36.25</c:v>
                </c:pt>
                <c:pt idx="146">
                  <c:v>36.5</c:v>
                </c:pt>
                <c:pt idx="147">
                  <c:v>36.75</c:v>
                </c:pt>
                <c:pt idx="148">
                  <c:v>37</c:v>
                </c:pt>
                <c:pt idx="149">
                  <c:v>37.25</c:v>
                </c:pt>
                <c:pt idx="150">
                  <c:v>37.5</c:v>
                </c:pt>
                <c:pt idx="151">
                  <c:v>37.75</c:v>
                </c:pt>
                <c:pt idx="152">
                  <c:v>38</c:v>
                </c:pt>
                <c:pt idx="153">
                  <c:v>38.25</c:v>
                </c:pt>
                <c:pt idx="154">
                  <c:v>38.5</c:v>
                </c:pt>
                <c:pt idx="155">
                  <c:v>38.75</c:v>
                </c:pt>
                <c:pt idx="156">
                  <c:v>39</c:v>
                </c:pt>
                <c:pt idx="157">
                  <c:v>39.25</c:v>
                </c:pt>
                <c:pt idx="158">
                  <c:v>39.5</c:v>
                </c:pt>
                <c:pt idx="159">
                  <c:v>39.75</c:v>
                </c:pt>
                <c:pt idx="160">
                  <c:v>40</c:v>
                </c:pt>
              </c:numCache>
            </c:numRef>
          </c:xVal>
          <c:yVal>
            <c:numRef>
              <c:f>'AEP Input Output sheet'!$G$51:$G$211</c:f>
              <c:numCache>
                <c:formatCode>0.0000</c:formatCode>
                <c:ptCount val="1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9.9461156837727813</c:v>
                </c:pt>
                <c:pt idx="18">
                  <c:v>12.609873539848296</c:v>
                </c:pt>
                <c:pt idx="19">
                  <c:v>15.634263265809743</c:v>
                </c:pt>
                <c:pt idx="20">
                  <c:v>19.024098320265875</c:v>
                </c:pt>
                <c:pt idx="21">
                  <c:v>22.779076193889662</c:v>
                </c:pt>
                <c:pt idx="22">
                  <c:v>26.893592611445214</c:v>
                </c:pt>
                <c:pt idx="23">
                  <c:v>31.356656723381942</c:v>
                </c:pt>
                <c:pt idx="24">
                  <c:v>36.151908225712013</c:v>
                </c:pt>
                <c:pt idx="25">
                  <c:v>41.257735188410692</c:v>
                </c:pt>
                <c:pt idx="26">
                  <c:v>46.647489288636692</c:v>
                </c:pt>
                <c:pt idx="27">
                  <c:v>52.28979318218007</c:v>
                </c:pt>
                <c:pt idx="28">
                  <c:v>58.148932946938963</c:v>
                </c:pt>
                <c:pt idx="29">
                  <c:v>64.18532693287419</c:v>
                </c:pt>
                <c:pt idx="30">
                  <c:v>70.35606098472924</c:v>
                </c:pt>
                <c:pt idx="31">
                  <c:v>76.615478891135524</c:v>
                </c:pt>
                <c:pt idx="32">
                  <c:v>82.915816073825312</c:v>
                </c:pt>
                <c:pt idx="33">
                  <c:v>89.207863973616071</c:v>
                </c:pt>
                <c:pt idx="34">
                  <c:v>95.441652318467959</c:v>
                </c:pt>
                <c:pt idx="35">
                  <c:v>101.56713646912917</c:v>
                </c:pt>
                <c:pt idx="36">
                  <c:v>107.53487731892403</c:v>
                </c:pt>
                <c:pt idx="37">
                  <c:v>113.29670175932301</c:v>
                </c:pt>
                <c:pt idx="38">
                  <c:v>118.8063324898781</c:v>
                </c:pt>
                <c:pt idx="39">
                  <c:v>124.01997692318223</c:v>
                </c:pt>
                <c:pt idx="40">
                  <c:v>128.90057196299307</c:v>
                </c:pt>
                <c:pt idx="41">
                  <c:v>130.10743277212453</c:v>
                </c:pt>
                <c:pt idx="42">
                  <c:v>124.62823046189986</c:v>
                </c:pt>
                <c:pt idx="43">
                  <c:v>119.11927592692491</c:v>
                </c:pt>
                <c:pt idx="44">
                  <c:v>113.60835730351316</c:v>
                </c:pt>
                <c:pt idx="45">
                  <c:v>108.1214087558777</c:v>
                </c:pt>
                <c:pt idx="46">
                  <c:v>102.68243411374745</c:v>
                </c:pt>
                <c:pt idx="47">
                  <c:v>97.313453805286613</c:v>
                </c:pt>
                <c:pt idx="48">
                  <c:v>92.034474047446409</c:v>
                </c:pt>
                <c:pt idx="49">
                  <c:v>86.863477051494257</c:v>
                </c:pt>
                <c:pt idx="50">
                  <c:v>81.816430828951738</c:v>
                </c:pt>
                <c:pt idx="51">
                  <c:v>76.907317042947568</c:v>
                </c:pt>
                <c:pt idx="52">
                  <c:v>72.148175241851575</c:v>
                </c:pt>
                <c:pt idx="53">
                  <c:v>67.549161735302874</c:v>
                </c:pt>
                <c:pt idx="54">
                  <c:v>63.118621326168871</c:v>
                </c:pt>
                <c:pt idx="55">
                  <c:v>58.863170093958828</c:v>
                </c:pt>
                <c:pt idx="56">
                  <c:v>54.787787433783627</c:v>
                </c:pt>
                <c:pt idx="57">
                  <c:v>50.895915587829251</c:v>
                </c:pt>
                <c:pt idx="58">
                  <c:v>47.189564960988868</c:v>
                </c:pt>
                <c:pt idx="59">
                  <c:v>43.66942358611805</c:v>
                </c:pt>
                <c:pt idx="60">
                  <c:v>40.334969194566582</c:v>
                </c:pt>
                <c:pt idx="61">
                  <c:v>37.184582451392757</c:v>
                </c:pt>
                <c:pt idx="62">
                  <c:v>34.215660029194595</c:v>
                </c:pt>
                <c:pt idx="63">
                  <c:v>31.424726317064152</c:v>
                </c:pt>
                <c:pt idx="64">
                  <c:v>28.80754268917039</c:v>
                </c:pt>
                <c:pt idx="65">
                  <c:v>26.359213388437421</c:v>
                </c:pt>
                <c:pt idx="66">
                  <c:v>24.074287212412408</c:v>
                </c:pt>
                <c:pt idx="67">
                  <c:v>21.9468543186325</c:v>
                </c:pt>
                <c:pt idx="68">
                  <c:v>19.970637593740232</c:v>
                </c:pt>
                <c:pt idx="69">
                  <c:v>18.139078152636777</c:v>
                </c:pt>
                <c:pt idx="70">
                  <c:v>16.445414649725635</c:v>
                </c:pt>
                <c:pt idx="71">
                  <c:v>14.882756192645902</c:v>
                </c:pt>
                <c:pt idx="72">
                  <c:v>13.44414874892979</c:v>
                </c:pt>
                <c:pt idx="73">
                  <c:v>12.122635027081238</c:v>
                </c:pt>
                <c:pt idx="74">
                  <c:v>10.911307895215451</c:v>
                </c:pt>
                <c:pt idx="75">
                  <c:v>9.8033574723867876</c:v>
                </c:pt>
                <c:pt idx="76">
                  <c:v>8.7921120900129726</c:v>
                </c:pt>
                <c:pt idx="77">
                  <c:v>7.8710733734947702</c:v>
                </c:pt>
                <c:pt idx="78">
                  <c:v>7.0339457374969943</c:v>
                </c:pt>
                <c:pt idx="79">
                  <c:v>6.2746606227903952</c:v>
                </c:pt>
                <c:pt idx="80">
                  <c:v>5.5873958285504006</c:v>
                </c:pt>
                <c:pt idx="81">
                  <c:v>4.9665903121492265</c:v>
                </c:pt>
                <c:pt idx="82">
                  <c:v>4.4069548394043618</c:v>
                </c:pt>
                <c:pt idx="83">
                  <c:v>3.9034788726491385</c:v>
                </c:pt>
                <c:pt idx="84">
                  <c:v>3.4514340825840524</c:v>
                </c:pt>
                <c:pt idx="85">
                  <c:v>3.0463748633763545</c:v>
                </c:pt>
                <c:pt idx="86">
                  <c:v>2.6841362196222436</c:v>
                </c:pt>
                <c:pt idx="87">
                  <c:v>2.3608293792758523</c:v>
                </c:pt>
                <c:pt idx="88">
                  <c:v>2.0728354691595849</c:v>
                </c:pt>
                <c:pt idx="89">
                  <c:v>1.8167975698440486</c:v>
                </c:pt>
                <c:pt idx="90">
                  <c:v>1.5896114451203562</c:v>
                </c:pt>
                <c:pt idx="91">
                  <c:v>1.3884152185343206</c:v>
                </c:pt>
                <c:pt idx="92">
                  <c:v>1.2105782460085546</c:v>
                </c:pt>
                <c:pt idx="93">
                  <c:v>1.0536894098888512</c:v>
                </c:pt>
                <c:pt idx="94">
                  <c:v>0.91554503620438654</c:v>
                </c:pt>
                <c:pt idx="95">
                  <c:v>0.79413661386159007</c:v>
                </c:pt>
                <c:pt idx="96">
                  <c:v>0.6876384721793285</c:v>
                </c:pt>
                <c:pt idx="97">
                  <c:v>0.59439555184883075</c:v>
                </c:pt>
                <c:pt idx="98">
                  <c:v>0.5129113842465135</c:v>
                </c:pt>
                <c:pt idx="99">
                  <c:v>0.44183637517890639</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numCache>
            </c:numRef>
          </c:yVal>
          <c:smooth val="0"/>
        </c:ser>
        <c:ser>
          <c:idx val="4"/>
          <c:order val="4"/>
          <c:tx>
            <c:strRef>
              <c:f>'AEP Input Output sheet'!$F$50</c:f>
              <c:strCache>
                <c:ptCount val="1"/>
                <c:pt idx="0">
                  <c:v>Weibull Cp</c:v>
                </c:pt>
              </c:strCache>
            </c:strRef>
          </c:tx>
          <c:spPr>
            <a:ln w="38100">
              <a:solidFill>
                <a:srgbClr val="333399"/>
              </a:solidFill>
              <a:prstDash val="solid"/>
            </a:ln>
          </c:spPr>
          <c:marker>
            <c:symbol val="none"/>
          </c:marker>
          <c:xVal>
            <c:numRef>
              <c:f>'AEP Input Output sheet'!$A$51:$A$211</c:f>
              <c:numCache>
                <c:formatCode>0.00</c:formatCode>
                <c:ptCount val="161"/>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pt idx="96">
                  <c:v>24</c:v>
                </c:pt>
                <c:pt idx="97">
                  <c:v>24.25</c:v>
                </c:pt>
                <c:pt idx="98">
                  <c:v>24.5</c:v>
                </c:pt>
                <c:pt idx="99">
                  <c:v>24.75</c:v>
                </c:pt>
                <c:pt idx="100">
                  <c:v>25</c:v>
                </c:pt>
                <c:pt idx="101">
                  <c:v>25.25</c:v>
                </c:pt>
                <c:pt idx="102">
                  <c:v>25.5</c:v>
                </c:pt>
                <c:pt idx="103">
                  <c:v>25.75</c:v>
                </c:pt>
                <c:pt idx="104">
                  <c:v>26</c:v>
                </c:pt>
                <c:pt idx="105">
                  <c:v>26.25</c:v>
                </c:pt>
                <c:pt idx="106">
                  <c:v>26.5</c:v>
                </c:pt>
                <c:pt idx="107">
                  <c:v>26.75</c:v>
                </c:pt>
                <c:pt idx="108">
                  <c:v>27</c:v>
                </c:pt>
                <c:pt idx="109">
                  <c:v>27.25</c:v>
                </c:pt>
                <c:pt idx="110">
                  <c:v>27.5</c:v>
                </c:pt>
                <c:pt idx="111">
                  <c:v>27.75</c:v>
                </c:pt>
                <c:pt idx="112">
                  <c:v>28</c:v>
                </c:pt>
                <c:pt idx="113">
                  <c:v>28.25</c:v>
                </c:pt>
                <c:pt idx="114">
                  <c:v>28.5</c:v>
                </c:pt>
                <c:pt idx="115">
                  <c:v>28.75</c:v>
                </c:pt>
                <c:pt idx="116">
                  <c:v>29</c:v>
                </c:pt>
                <c:pt idx="117">
                  <c:v>29.25</c:v>
                </c:pt>
                <c:pt idx="118">
                  <c:v>29.5</c:v>
                </c:pt>
                <c:pt idx="119">
                  <c:v>29.75</c:v>
                </c:pt>
                <c:pt idx="120">
                  <c:v>30</c:v>
                </c:pt>
                <c:pt idx="121">
                  <c:v>30.25</c:v>
                </c:pt>
                <c:pt idx="122">
                  <c:v>30.5</c:v>
                </c:pt>
                <c:pt idx="123">
                  <c:v>30.75</c:v>
                </c:pt>
                <c:pt idx="124">
                  <c:v>31</c:v>
                </c:pt>
                <c:pt idx="125">
                  <c:v>31.25</c:v>
                </c:pt>
                <c:pt idx="126">
                  <c:v>31.5</c:v>
                </c:pt>
                <c:pt idx="127">
                  <c:v>31.75</c:v>
                </c:pt>
                <c:pt idx="128">
                  <c:v>32</c:v>
                </c:pt>
                <c:pt idx="129">
                  <c:v>32.25</c:v>
                </c:pt>
                <c:pt idx="130">
                  <c:v>32.5</c:v>
                </c:pt>
                <c:pt idx="131">
                  <c:v>32.75</c:v>
                </c:pt>
                <c:pt idx="132">
                  <c:v>33</c:v>
                </c:pt>
                <c:pt idx="133">
                  <c:v>33.25</c:v>
                </c:pt>
                <c:pt idx="134">
                  <c:v>33.5</c:v>
                </c:pt>
                <c:pt idx="135">
                  <c:v>33.75</c:v>
                </c:pt>
                <c:pt idx="136">
                  <c:v>34</c:v>
                </c:pt>
                <c:pt idx="137">
                  <c:v>34.25</c:v>
                </c:pt>
                <c:pt idx="138">
                  <c:v>34.5</c:v>
                </c:pt>
                <c:pt idx="139">
                  <c:v>34.75</c:v>
                </c:pt>
                <c:pt idx="140">
                  <c:v>35</c:v>
                </c:pt>
                <c:pt idx="141">
                  <c:v>35.25</c:v>
                </c:pt>
                <c:pt idx="142">
                  <c:v>35.5</c:v>
                </c:pt>
                <c:pt idx="143">
                  <c:v>35.75</c:v>
                </c:pt>
                <c:pt idx="144">
                  <c:v>36</c:v>
                </c:pt>
                <c:pt idx="145">
                  <c:v>36.25</c:v>
                </c:pt>
                <c:pt idx="146">
                  <c:v>36.5</c:v>
                </c:pt>
                <c:pt idx="147">
                  <c:v>36.75</c:v>
                </c:pt>
                <c:pt idx="148">
                  <c:v>37</c:v>
                </c:pt>
                <c:pt idx="149">
                  <c:v>37.25</c:v>
                </c:pt>
                <c:pt idx="150">
                  <c:v>37.5</c:v>
                </c:pt>
                <c:pt idx="151">
                  <c:v>37.75</c:v>
                </c:pt>
                <c:pt idx="152">
                  <c:v>38</c:v>
                </c:pt>
                <c:pt idx="153">
                  <c:v>38.25</c:v>
                </c:pt>
                <c:pt idx="154">
                  <c:v>38.5</c:v>
                </c:pt>
                <c:pt idx="155">
                  <c:v>38.75</c:v>
                </c:pt>
                <c:pt idx="156">
                  <c:v>39</c:v>
                </c:pt>
                <c:pt idx="157">
                  <c:v>39.25</c:v>
                </c:pt>
                <c:pt idx="158">
                  <c:v>39.5</c:v>
                </c:pt>
                <c:pt idx="159">
                  <c:v>39.75</c:v>
                </c:pt>
                <c:pt idx="160">
                  <c:v>40</c:v>
                </c:pt>
              </c:numCache>
            </c:numRef>
          </c:xVal>
          <c:yVal>
            <c:numRef>
              <c:f>'AEP Input Output sheet'!$F$51:$F$211</c:f>
              <c:numCache>
                <c:formatCode>0.0000</c:formatCode>
                <c:ptCount val="1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9.9461156837727813</c:v>
                </c:pt>
                <c:pt idx="18">
                  <c:v>12.609873539848303</c:v>
                </c:pt>
                <c:pt idx="19">
                  <c:v>15.634263265809739</c:v>
                </c:pt>
                <c:pt idx="20">
                  <c:v>19.024098320265878</c:v>
                </c:pt>
                <c:pt idx="21">
                  <c:v>22.779076193889672</c:v>
                </c:pt>
                <c:pt idx="22">
                  <c:v>26.893592611445211</c:v>
                </c:pt>
                <c:pt idx="23">
                  <c:v>31.356656723381938</c:v>
                </c:pt>
                <c:pt idx="24">
                  <c:v>36.151908225712027</c:v>
                </c:pt>
                <c:pt idx="25">
                  <c:v>41.257735188410699</c:v>
                </c:pt>
                <c:pt idx="26">
                  <c:v>46.647489288636685</c:v>
                </c:pt>
                <c:pt idx="27">
                  <c:v>52.289793182180077</c:v>
                </c:pt>
                <c:pt idx="28">
                  <c:v>58.14893294693897</c:v>
                </c:pt>
                <c:pt idx="29">
                  <c:v>64.185326932874204</c:v>
                </c:pt>
                <c:pt idx="30">
                  <c:v>70.356060984729254</c:v>
                </c:pt>
                <c:pt idx="31">
                  <c:v>76.615478891135538</c:v>
                </c:pt>
                <c:pt idx="32">
                  <c:v>82.915816073825326</c:v>
                </c:pt>
                <c:pt idx="33">
                  <c:v>89.207863973616057</c:v>
                </c:pt>
                <c:pt idx="34">
                  <c:v>95.441652318467973</c:v>
                </c:pt>
                <c:pt idx="35">
                  <c:v>101.56713646912921</c:v>
                </c:pt>
                <c:pt idx="36">
                  <c:v>107.53487731892409</c:v>
                </c:pt>
                <c:pt idx="37">
                  <c:v>113.296701759323</c:v>
                </c:pt>
                <c:pt idx="38">
                  <c:v>118.8063324898781</c:v>
                </c:pt>
                <c:pt idx="39">
                  <c:v>124.01997692318224</c:v>
                </c:pt>
                <c:pt idx="40">
                  <c:v>128.89692095670088</c:v>
                </c:pt>
                <c:pt idx="41">
                  <c:v>133.35333537196865</c:v>
                </c:pt>
                <c:pt idx="42">
                  <c:v>137.31390078232624</c:v>
                </c:pt>
                <c:pt idx="43">
                  <c:v>140.84376187099781</c:v>
                </c:pt>
                <c:pt idx="44">
                  <c:v>143.91912651793382</c:v>
                </c:pt>
                <c:pt idx="45">
                  <c:v>146.52085414643315</c:v>
                </c:pt>
                <c:pt idx="46">
                  <c:v>148.63457818749657</c:v>
                </c:pt>
                <c:pt idx="47">
                  <c:v>150.25075575703573</c:v>
                </c:pt>
                <c:pt idx="48">
                  <c:v>151.36464673899826</c:v>
                </c:pt>
                <c:pt idx="49">
                  <c:v>151.97622565057506</c:v>
                </c:pt>
                <c:pt idx="50">
                  <c:v>152.0900307181582</c:v>
                </c:pt>
                <c:pt idx="51">
                  <c:v>151.71495549956089</c:v>
                </c:pt>
                <c:pt idx="52">
                  <c:v>150.86398913835106</c:v>
                </c:pt>
                <c:pt idx="53">
                  <c:v>149.55391192346386</c:v>
                </c:pt>
                <c:pt idx="54">
                  <c:v>147.80495324913912</c:v>
                </c:pt>
                <c:pt idx="55">
                  <c:v>145.64041932821453</c:v>
                </c:pt>
                <c:pt idx="56">
                  <c:v>143.08629811106738</c:v>
                </c:pt>
                <c:pt idx="57">
                  <c:v>140.1708488114422</c:v>
                </c:pt>
                <c:pt idx="58">
                  <c:v>136.9241832502658</c:v>
                </c:pt>
                <c:pt idx="59">
                  <c:v>133.37784591291469</c:v>
                </c:pt>
                <c:pt idx="60">
                  <c:v>129.56439918967587</c:v>
                </c:pt>
                <c:pt idx="61">
                  <c:v>125.51701975007649</c:v>
                </c:pt>
                <c:pt idx="62">
                  <c:v>121.26911140695236</c:v>
                </c:pt>
                <c:pt idx="63">
                  <c:v>116.85393917348749</c:v>
                </c:pt>
                <c:pt idx="64">
                  <c:v>112.30428852380662</c:v>
                </c:pt>
                <c:pt idx="65">
                  <c:v>107.65215315234795</c:v>
                </c:pt>
                <c:pt idx="66">
                  <c:v>102.9284538055482</c:v>
                </c:pt>
                <c:pt idx="67">
                  <c:v>98.162790046560019</c:v>
                </c:pt>
                <c:pt idx="68">
                  <c:v>93.383226123490175</c:v>
                </c:pt>
                <c:pt idx="69">
                  <c:v>88.616111456069007</c:v>
                </c:pt>
                <c:pt idx="70">
                  <c:v>83.885935644998995</c:v>
                </c:pt>
                <c:pt idx="71">
                  <c:v>79.215217350859788</c:v>
                </c:pt>
                <c:pt idx="72">
                  <c:v>74.624425891838754</c:v>
                </c:pt>
                <c:pt idx="73">
                  <c:v>70.131933976312993</c:v>
                </c:pt>
                <c:pt idx="74">
                  <c:v>65.753999620187216</c:v>
                </c:pt>
                <c:pt idx="75">
                  <c:v>61.504775000978832</c:v>
                </c:pt>
                <c:pt idx="76">
                  <c:v>57.396339770423374</c:v>
                </c:pt>
                <c:pt idx="77">
                  <c:v>53.438756182956517</c:v>
                </c:pt>
                <c:pt idx="78">
                  <c:v>49.640143295682897</c:v>
                </c:pt>
                <c:pt idx="79">
                  <c:v>46.006767452221034</c:v>
                </c:pt>
                <c:pt idx="80">
                  <c:v>42.543146273136365</c:v>
                </c:pt>
                <c:pt idx="81">
                  <c:v>39.252163433945483</c:v>
                </c:pt>
                <c:pt idx="82">
                  <c:v>36.135191611842842</c:v>
                </c:pt>
                <c:pt idx="83">
                  <c:v>33.192221118091773</c:v>
                </c:pt>
                <c:pt idx="84">
                  <c:v>30.421991898060107</c:v>
                </c:pt>
                <c:pt idx="85">
                  <c:v>27.822126768873066</c:v>
                </c:pt>
                <c:pt idx="86">
                  <c:v>25.38926396951647</c:v>
                </c:pt>
                <c:pt idx="87">
                  <c:v>23.119187314189197</c:v>
                </c:pt>
                <c:pt idx="88">
                  <c:v>21.00695246141818</c:v>
                </c:pt>
                <c:pt idx="89">
                  <c:v>19.047008034062124</c:v>
                </c:pt>
                <c:pt idx="90">
                  <c:v>17.233310544509084</c:v>
                </c:pt>
                <c:pt idx="91">
                  <c:v>15.559432291381809</c:v>
                </c:pt>
                <c:pt idx="92">
                  <c:v>14.018661595740326</c:v>
                </c:pt>
                <c:pt idx="93">
                  <c:v>12.604094933547708</c:v>
                </c:pt>
                <c:pt idx="94">
                  <c:v>11.308720695048528</c:v>
                </c:pt>
                <c:pt idx="95">
                  <c:v>10.125494459258286</c:v>
                </c:pt>
                <c:pt idx="96">
                  <c:v>9.0474058120360574</c:v>
                </c:pt>
                <c:pt idx="97">
                  <c:v>8.0675368587560854</c:v>
                </c:pt>
                <c:pt idx="98">
                  <c:v>7.1791126873529674</c:v>
                </c:pt>
                <c:pt idx="99">
                  <c:v>6.3755441248155762</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numCache>
            </c:numRef>
          </c:yVal>
          <c:smooth val="0"/>
        </c:ser>
        <c:dLbls>
          <c:showLegendKey val="0"/>
          <c:showVal val="0"/>
          <c:showCatName val="0"/>
          <c:showSerName val="0"/>
          <c:showPercent val="0"/>
          <c:showBubbleSize val="0"/>
        </c:dLbls>
        <c:axId val="72742400"/>
        <c:axId val="72743936"/>
      </c:scatterChart>
      <c:valAx>
        <c:axId val="72734592"/>
        <c:scaling>
          <c:orientation val="minMax"/>
          <c:max val="40"/>
          <c:min val="0"/>
        </c:scaling>
        <c:delete val="0"/>
        <c:axPos val="b"/>
        <c:title>
          <c:tx>
            <c:rich>
              <a:bodyPr/>
              <a:lstStyle/>
              <a:p>
                <a:pPr>
                  <a:defRPr sz="800" b="1" i="0" u="none" strike="noStrike" baseline="0">
                    <a:solidFill>
                      <a:srgbClr val="000000"/>
                    </a:solidFill>
                    <a:latin typeface="Arial"/>
                    <a:ea typeface="Arial"/>
                    <a:cs typeface="Arial"/>
                  </a:defRPr>
                </a:pPr>
                <a:r>
                  <a:rPr lang="en-US"/>
                  <a:t>Windspeed (m/s)</a:t>
                </a:r>
              </a:p>
            </c:rich>
          </c:tx>
          <c:layout>
            <c:manualLayout>
              <c:xMode val="edge"/>
              <c:yMode val="edge"/>
              <c:x val="0.418487626780153"/>
              <c:y val="0.808049535603718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2740864"/>
        <c:crosses val="autoZero"/>
        <c:crossBetween val="midCat"/>
      </c:valAx>
      <c:valAx>
        <c:axId val="72740864"/>
        <c:scaling>
          <c:orientation val="minMax"/>
        </c:scaling>
        <c:delete val="0"/>
        <c:axPos val="l"/>
        <c:majorGridlines>
          <c:spPr>
            <a:ln w="3175">
              <a:solidFill>
                <a:srgbClr val="000000"/>
              </a:solidFill>
              <a:prstDash val="solid"/>
            </a:ln>
          </c:spPr>
        </c:majorGridlines>
        <c:numFmt formatCode="0.0000" sourceLinked="1"/>
        <c:majorTickMark val="out"/>
        <c:minorTickMark val="none"/>
        <c:tickLblPos val="none"/>
        <c:spPr>
          <a:ln w="3175">
            <a:solidFill>
              <a:srgbClr val="000000"/>
            </a:solidFill>
            <a:prstDash val="solid"/>
          </a:ln>
        </c:spPr>
        <c:crossAx val="72734592"/>
        <c:crosses val="autoZero"/>
        <c:crossBetween val="midCat"/>
      </c:valAx>
      <c:valAx>
        <c:axId val="72742400"/>
        <c:scaling>
          <c:orientation val="minMax"/>
        </c:scaling>
        <c:delete val="1"/>
        <c:axPos val="b"/>
        <c:numFmt formatCode="0.00" sourceLinked="1"/>
        <c:majorTickMark val="out"/>
        <c:minorTickMark val="none"/>
        <c:tickLblPos val="none"/>
        <c:crossAx val="72743936"/>
        <c:crosses val="autoZero"/>
        <c:crossBetween val="midCat"/>
      </c:valAx>
      <c:valAx>
        <c:axId val="72743936"/>
        <c:scaling>
          <c:orientation val="minMax"/>
        </c:scaling>
        <c:delete val="0"/>
        <c:axPos val="r"/>
        <c:numFmt formatCode="0.0000" sourceLinked="1"/>
        <c:majorTickMark val="cross"/>
        <c:minorTickMark val="none"/>
        <c:tickLblPos val="none"/>
        <c:spPr>
          <a:ln w="3175">
            <a:solidFill>
              <a:srgbClr val="000000"/>
            </a:solidFill>
            <a:prstDash val="solid"/>
          </a:ln>
        </c:spPr>
        <c:crossAx val="72742400"/>
        <c:crosses val="max"/>
        <c:crossBetween val="midCat"/>
      </c:valAx>
      <c:spPr>
        <a:solidFill>
          <a:srgbClr val="C0C0C0"/>
        </a:solidFill>
        <a:ln w="12700">
          <a:solidFill>
            <a:srgbClr val="808080"/>
          </a:solidFill>
          <a:prstDash val="solid"/>
        </a:ln>
      </c:spPr>
    </c:plotArea>
    <c:legend>
      <c:legendPos val="b"/>
      <c:layout>
        <c:manualLayout>
          <c:xMode val="edge"/>
          <c:yMode val="edge"/>
          <c:x val="4.5377995247480797E-2"/>
          <c:y val="0.86480908152734803"/>
          <c:w val="0.90924440173496401"/>
          <c:h val="0.113519091847265"/>
        </c:manualLayout>
      </c:layout>
      <c:overlay val="0"/>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Power Curve</a:t>
            </a:r>
          </a:p>
        </c:rich>
      </c:tx>
      <c:layout>
        <c:manualLayout>
          <c:xMode val="edge"/>
          <c:yMode val="edge"/>
          <c:x val="0.43386324077911298"/>
          <c:y val="3.40557275541798E-2"/>
        </c:manualLayout>
      </c:layout>
      <c:overlay val="0"/>
      <c:spPr>
        <a:noFill/>
        <a:ln w="25400">
          <a:noFill/>
        </a:ln>
      </c:spPr>
    </c:title>
    <c:autoTitleDeleted val="0"/>
    <c:plotArea>
      <c:layout>
        <c:manualLayout>
          <c:layoutTarget val="inner"/>
          <c:xMode val="edge"/>
          <c:yMode val="edge"/>
          <c:x val="0.130511688629314"/>
          <c:y val="0.18266253869969001"/>
          <c:w val="0.83068926141090305"/>
          <c:h val="0.54179566563467896"/>
        </c:manualLayout>
      </c:layout>
      <c:scatterChart>
        <c:scatterStyle val="lineMarker"/>
        <c:varyColors val="0"/>
        <c:ser>
          <c:idx val="0"/>
          <c:order val="0"/>
          <c:tx>
            <c:strRef>
              <c:f>'AEP Input Output sheet'!$I$50</c:f>
              <c:strCache>
                <c:ptCount val="1"/>
                <c:pt idx="0">
                  <c:v>Idealized Turbine power</c:v>
                </c:pt>
              </c:strCache>
            </c:strRef>
          </c:tx>
          <c:spPr>
            <a:ln w="38100">
              <a:solidFill>
                <a:srgbClr val="0000FF"/>
              </a:solidFill>
              <a:prstDash val="solid"/>
            </a:ln>
          </c:spPr>
          <c:marker>
            <c:symbol val="none"/>
          </c:marker>
          <c:xVal>
            <c:numRef>
              <c:f>'AEP Input Output sheet'!$A$51:$A$211</c:f>
              <c:numCache>
                <c:formatCode>0.00</c:formatCode>
                <c:ptCount val="161"/>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pt idx="96">
                  <c:v>24</c:v>
                </c:pt>
                <c:pt idx="97">
                  <c:v>24.25</c:v>
                </c:pt>
                <c:pt idx="98">
                  <c:v>24.5</c:v>
                </c:pt>
                <c:pt idx="99">
                  <c:v>24.75</c:v>
                </c:pt>
                <c:pt idx="100">
                  <c:v>25</c:v>
                </c:pt>
                <c:pt idx="101">
                  <c:v>25.25</c:v>
                </c:pt>
                <c:pt idx="102">
                  <c:v>25.5</c:v>
                </c:pt>
                <c:pt idx="103">
                  <c:v>25.75</c:v>
                </c:pt>
                <c:pt idx="104">
                  <c:v>26</c:v>
                </c:pt>
                <c:pt idx="105">
                  <c:v>26.25</c:v>
                </c:pt>
                <c:pt idx="106">
                  <c:v>26.5</c:v>
                </c:pt>
                <c:pt idx="107">
                  <c:v>26.75</c:v>
                </c:pt>
                <c:pt idx="108">
                  <c:v>27</c:v>
                </c:pt>
                <c:pt idx="109">
                  <c:v>27.25</c:v>
                </c:pt>
                <c:pt idx="110">
                  <c:v>27.5</c:v>
                </c:pt>
                <c:pt idx="111">
                  <c:v>27.75</c:v>
                </c:pt>
                <c:pt idx="112">
                  <c:v>28</c:v>
                </c:pt>
                <c:pt idx="113">
                  <c:v>28.25</c:v>
                </c:pt>
                <c:pt idx="114">
                  <c:v>28.5</c:v>
                </c:pt>
                <c:pt idx="115">
                  <c:v>28.75</c:v>
                </c:pt>
                <c:pt idx="116">
                  <c:v>29</c:v>
                </c:pt>
                <c:pt idx="117">
                  <c:v>29.25</c:v>
                </c:pt>
                <c:pt idx="118">
                  <c:v>29.5</c:v>
                </c:pt>
                <c:pt idx="119">
                  <c:v>29.75</c:v>
                </c:pt>
                <c:pt idx="120">
                  <c:v>30</c:v>
                </c:pt>
                <c:pt idx="121">
                  <c:v>30.25</c:v>
                </c:pt>
                <c:pt idx="122">
                  <c:v>30.5</c:v>
                </c:pt>
                <c:pt idx="123">
                  <c:v>30.75</c:v>
                </c:pt>
                <c:pt idx="124">
                  <c:v>31</c:v>
                </c:pt>
                <c:pt idx="125">
                  <c:v>31.25</c:v>
                </c:pt>
                <c:pt idx="126">
                  <c:v>31.5</c:v>
                </c:pt>
                <c:pt idx="127">
                  <c:v>31.75</c:v>
                </c:pt>
                <c:pt idx="128">
                  <c:v>32</c:v>
                </c:pt>
                <c:pt idx="129">
                  <c:v>32.25</c:v>
                </c:pt>
                <c:pt idx="130">
                  <c:v>32.5</c:v>
                </c:pt>
                <c:pt idx="131">
                  <c:v>32.75</c:v>
                </c:pt>
                <c:pt idx="132">
                  <c:v>33</c:v>
                </c:pt>
                <c:pt idx="133">
                  <c:v>33.25</c:v>
                </c:pt>
                <c:pt idx="134">
                  <c:v>33.5</c:v>
                </c:pt>
                <c:pt idx="135">
                  <c:v>33.75</c:v>
                </c:pt>
                <c:pt idx="136">
                  <c:v>34</c:v>
                </c:pt>
                <c:pt idx="137">
                  <c:v>34.25</c:v>
                </c:pt>
                <c:pt idx="138">
                  <c:v>34.5</c:v>
                </c:pt>
                <c:pt idx="139">
                  <c:v>34.75</c:v>
                </c:pt>
                <c:pt idx="140">
                  <c:v>35</c:v>
                </c:pt>
                <c:pt idx="141">
                  <c:v>35.25</c:v>
                </c:pt>
                <c:pt idx="142">
                  <c:v>35.5</c:v>
                </c:pt>
                <c:pt idx="143">
                  <c:v>35.75</c:v>
                </c:pt>
                <c:pt idx="144">
                  <c:v>36</c:v>
                </c:pt>
                <c:pt idx="145">
                  <c:v>36.25</c:v>
                </c:pt>
                <c:pt idx="146">
                  <c:v>36.5</c:v>
                </c:pt>
                <c:pt idx="147">
                  <c:v>36.75</c:v>
                </c:pt>
                <c:pt idx="148">
                  <c:v>37</c:v>
                </c:pt>
                <c:pt idx="149">
                  <c:v>37.25</c:v>
                </c:pt>
                <c:pt idx="150">
                  <c:v>37.5</c:v>
                </c:pt>
                <c:pt idx="151">
                  <c:v>37.75</c:v>
                </c:pt>
                <c:pt idx="152">
                  <c:v>38</c:v>
                </c:pt>
                <c:pt idx="153">
                  <c:v>38.25</c:v>
                </c:pt>
                <c:pt idx="154">
                  <c:v>38.5</c:v>
                </c:pt>
                <c:pt idx="155">
                  <c:v>38.75</c:v>
                </c:pt>
                <c:pt idx="156">
                  <c:v>39</c:v>
                </c:pt>
                <c:pt idx="157">
                  <c:v>39.25</c:v>
                </c:pt>
                <c:pt idx="158">
                  <c:v>39.5</c:v>
                </c:pt>
                <c:pt idx="159">
                  <c:v>39.75</c:v>
                </c:pt>
                <c:pt idx="160">
                  <c:v>40</c:v>
                </c:pt>
              </c:numCache>
            </c:numRef>
          </c:xVal>
          <c:yVal>
            <c:numRef>
              <c:f>'AEP Input Output sheet'!$I$51:$I$211</c:f>
              <c:numCache>
                <c:formatCode>0.0000</c:formatCode>
                <c:ptCount val="1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114.24150965447791</c:v>
                </c:pt>
                <c:pt idx="18">
                  <c:v>140.71818100732534</c:v>
                </c:pt>
                <c:pt idx="19">
                  <c:v>170.30636542449017</c:v>
                </c:pt>
                <c:pt idx="20">
                  <c:v>203.17892474287859</c:v>
                </c:pt>
                <c:pt idx="21">
                  <c:v>239.50872079939722</c:v>
                </c:pt>
                <c:pt idx="22">
                  <c:v>279.46861543095287</c:v>
                </c:pt>
                <c:pt idx="23">
                  <c:v>323.2314704744515</c:v>
                </c:pt>
                <c:pt idx="24">
                  <c:v>370.97014776679998</c:v>
                </c:pt>
                <c:pt idx="25">
                  <c:v>422.85750914490478</c:v>
                </c:pt>
                <c:pt idx="26">
                  <c:v>479.06641644567276</c:v>
                </c:pt>
                <c:pt idx="27">
                  <c:v>539.76973150600963</c:v>
                </c:pt>
                <c:pt idx="28">
                  <c:v>605.14031616282227</c:v>
                </c:pt>
                <c:pt idx="29">
                  <c:v>675.35103225301748</c:v>
                </c:pt>
                <c:pt idx="30">
                  <c:v>750.57474161350137</c:v>
                </c:pt>
                <c:pt idx="31">
                  <c:v>830.98430608118076</c:v>
                </c:pt>
                <c:pt idx="32">
                  <c:v>916.75258749296222</c:v>
                </c:pt>
                <c:pt idx="33">
                  <c:v>1008.052447685752</c:v>
                </c:pt>
                <c:pt idx="34">
                  <c:v>1105.0567484964565</c:v>
                </c:pt>
                <c:pt idx="35">
                  <c:v>1207.9383517619822</c:v>
                </c:pt>
                <c:pt idx="36">
                  <c:v>1316.870119319236</c:v>
                </c:pt>
                <c:pt idx="37">
                  <c:v>1432.0249130051252</c:v>
                </c:pt>
                <c:pt idx="38">
                  <c:v>1553.5755946565546</c:v>
                </c:pt>
                <c:pt idx="39">
                  <c:v>1681.6950261104314</c:v>
                </c:pt>
                <c:pt idx="40">
                  <c:v>1816.6082965410453</c:v>
                </c:pt>
                <c:pt idx="41">
                  <c:v>1910</c:v>
                </c:pt>
                <c:pt idx="42">
                  <c:v>1910</c:v>
                </c:pt>
                <c:pt idx="43">
                  <c:v>1910</c:v>
                </c:pt>
                <c:pt idx="44">
                  <c:v>1910</c:v>
                </c:pt>
                <c:pt idx="45">
                  <c:v>1910</c:v>
                </c:pt>
                <c:pt idx="46">
                  <c:v>1910</c:v>
                </c:pt>
                <c:pt idx="47">
                  <c:v>1910</c:v>
                </c:pt>
                <c:pt idx="48">
                  <c:v>1910</c:v>
                </c:pt>
                <c:pt idx="49">
                  <c:v>1910</c:v>
                </c:pt>
                <c:pt idx="50">
                  <c:v>1910</c:v>
                </c:pt>
                <c:pt idx="51">
                  <c:v>1910</c:v>
                </c:pt>
                <c:pt idx="52">
                  <c:v>1910</c:v>
                </c:pt>
                <c:pt idx="53">
                  <c:v>1910</c:v>
                </c:pt>
                <c:pt idx="54">
                  <c:v>1910</c:v>
                </c:pt>
                <c:pt idx="55">
                  <c:v>1910</c:v>
                </c:pt>
                <c:pt idx="56">
                  <c:v>1910</c:v>
                </c:pt>
                <c:pt idx="57">
                  <c:v>1910</c:v>
                </c:pt>
                <c:pt idx="58">
                  <c:v>1910</c:v>
                </c:pt>
                <c:pt idx="59">
                  <c:v>1910</c:v>
                </c:pt>
                <c:pt idx="60">
                  <c:v>1910</c:v>
                </c:pt>
                <c:pt idx="61">
                  <c:v>1910</c:v>
                </c:pt>
                <c:pt idx="62">
                  <c:v>1910</c:v>
                </c:pt>
                <c:pt idx="63">
                  <c:v>1910</c:v>
                </c:pt>
                <c:pt idx="64">
                  <c:v>1910</c:v>
                </c:pt>
                <c:pt idx="65">
                  <c:v>1910</c:v>
                </c:pt>
                <c:pt idx="66">
                  <c:v>1910</c:v>
                </c:pt>
                <c:pt idx="67">
                  <c:v>1910</c:v>
                </c:pt>
                <c:pt idx="68">
                  <c:v>1910</c:v>
                </c:pt>
                <c:pt idx="69">
                  <c:v>1910</c:v>
                </c:pt>
                <c:pt idx="70">
                  <c:v>1910</c:v>
                </c:pt>
                <c:pt idx="71">
                  <c:v>1910</c:v>
                </c:pt>
                <c:pt idx="72">
                  <c:v>1910</c:v>
                </c:pt>
                <c:pt idx="73">
                  <c:v>1910</c:v>
                </c:pt>
                <c:pt idx="74">
                  <c:v>1910</c:v>
                </c:pt>
                <c:pt idx="75">
                  <c:v>1910</c:v>
                </c:pt>
                <c:pt idx="76">
                  <c:v>1910</c:v>
                </c:pt>
                <c:pt idx="77">
                  <c:v>1910</c:v>
                </c:pt>
                <c:pt idx="78">
                  <c:v>1910</c:v>
                </c:pt>
                <c:pt idx="79">
                  <c:v>1910</c:v>
                </c:pt>
                <c:pt idx="80">
                  <c:v>1910</c:v>
                </c:pt>
                <c:pt idx="81">
                  <c:v>1910</c:v>
                </c:pt>
                <c:pt idx="82">
                  <c:v>1910</c:v>
                </c:pt>
                <c:pt idx="83">
                  <c:v>1910</c:v>
                </c:pt>
                <c:pt idx="84">
                  <c:v>1910</c:v>
                </c:pt>
                <c:pt idx="85">
                  <c:v>1910</c:v>
                </c:pt>
                <c:pt idx="86">
                  <c:v>1910</c:v>
                </c:pt>
                <c:pt idx="87">
                  <c:v>1910</c:v>
                </c:pt>
                <c:pt idx="88">
                  <c:v>1910</c:v>
                </c:pt>
                <c:pt idx="89">
                  <c:v>1910</c:v>
                </c:pt>
                <c:pt idx="90">
                  <c:v>1910</c:v>
                </c:pt>
                <c:pt idx="91">
                  <c:v>1910</c:v>
                </c:pt>
                <c:pt idx="92">
                  <c:v>1910</c:v>
                </c:pt>
                <c:pt idx="93">
                  <c:v>1910</c:v>
                </c:pt>
                <c:pt idx="94">
                  <c:v>1910</c:v>
                </c:pt>
                <c:pt idx="95">
                  <c:v>1910</c:v>
                </c:pt>
                <c:pt idx="96">
                  <c:v>1910</c:v>
                </c:pt>
                <c:pt idx="97">
                  <c:v>1910</c:v>
                </c:pt>
                <c:pt idx="98">
                  <c:v>1910</c:v>
                </c:pt>
                <c:pt idx="99">
                  <c:v>1910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numCache>
            </c:numRef>
          </c:yVal>
          <c:smooth val="0"/>
        </c:ser>
        <c:ser>
          <c:idx val="1"/>
          <c:order val="1"/>
          <c:tx>
            <c:strRef>
              <c:f>'AEP Input Output sheet'!$U$50</c:f>
              <c:strCache>
                <c:ptCount val="1"/>
                <c:pt idx="0">
                  <c:v>Idealized Turbine power</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xVal>
            <c:numRef>
              <c:f>'AEP Input Output sheet'!$A$51:$A$211</c:f>
              <c:numCache>
                <c:formatCode>0.00</c:formatCode>
                <c:ptCount val="161"/>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pt idx="57">
                  <c:v>14.25</c:v>
                </c:pt>
                <c:pt idx="58">
                  <c:v>14.5</c:v>
                </c:pt>
                <c:pt idx="59">
                  <c:v>14.75</c:v>
                </c:pt>
                <c:pt idx="60">
                  <c:v>15</c:v>
                </c:pt>
                <c:pt idx="61">
                  <c:v>15.25</c:v>
                </c:pt>
                <c:pt idx="62">
                  <c:v>15.5</c:v>
                </c:pt>
                <c:pt idx="63">
                  <c:v>15.75</c:v>
                </c:pt>
                <c:pt idx="64">
                  <c:v>16</c:v>
                </c:pt>
                <c:pt idx="65">
                  <c:v>16.25</c:v>
                </c:pt>
                <c:pt idx="66">
                  <c:v>16.5</c:v>
                </c:pt>
                <c:pt idx="67">
                  <c:v>16.75</c:v>
                </c:pt>
                <c:pt idx="68">
                  <c:v>17</c:v>
                </c:pt>
                <c:pt idx="69">
                  <c:v>17.25</c:v>
                </c:pt>
                <c:pt idx="70">
                  <c:v>17.5</c:v>
                </c:pt>
                <c:pt idx="71">
                  <c:v>17.75</c:v>
                </c:pt>
                <c:pt idx="72">
                  <c:v>18</c:v>
                </c:pt>
                <c:pt idx="73">
                  <c:v>18.25</c:v>
                </c:pt>
                <c:pt idx="74">
                  <c:v>18.5</c:v>
                </c:pt>
                <c:pt idx="75">
                  <c:v>18.75</c:v>
                </c:pt>
                <c:pt idx="76">
                  <c:v>19</c:v>
                </c:pt>
                <c:pt idx="77">
                  <c:v>19.25</c:v>
                </c:pt>
                <c:pt idx="78">
                  <c:v>19.5</c:v>
                </c:pt>
                <c:pt idx="79">
                  <c:v>19.75</c:v>
                </c:pt>
                <c:pt idx="80">
                  <c:v>20</c:v>
                </c:pt>
                <c:pt idx="81">
                  <c:v>20.25</c:v>
                </c:pt>
                <c:pt idx="82">
                  <c:v>20.5</c:v>
                </c:pt>
                <c:pt idx="83">
                  <c:v>20.75</c:v>
                </c:pt>
                <c:pt idx="84">
                  <c:v>21</c:v>
                </c:pt>
                <c:pt idx="85">
                  <c:v>21.25</c:v>
                </c:pt>
                <c:pt idx="86">
                  <c:v>21.5</c:v>
                </c:pt>
                <c:pt idx="87">
                  <c:v>21.75</c:v>
                </c:pt>
                <c:pt idx="88">
                  <c:v>22</c:v>
                </c:pt>
                <c:pt idx="89">
                  <c:v>22.25</c:v>
                </c:pt>
                <c:pt idx="90">
                  <c:v>22.5</c:v>
                </c:pt>
                <c:pt idx="91">
                  <c:v>22.75</c:v>
                </c:pt>
                <c:pt idx="92">
                  <c:v>23</c:v>
                </c:pt>
                <c:pt idx="93">
                  <c:v>23.25</c:v>
                </c:pt>
                <c:pt idx="94">
                  <c:v>23.5</c:v>
                </c:pt>
                <c:pt idx="95">
                  <c:v>23.75</c:v>
                </c:pt>
                <c:pt idx="96">
                  <c:v>24</c:v>
                </c:pt>
                <c:pt idx="97">
                  <c:v>24.25</c:v>
                </c:pt>
                <c:pt idx="98">
                  <c:v>24.5</c:v>
                </c:pt>
                <c:pt idx="99">
                  <c:v>24.75</c:v>
                </c:pt>
                <c:pt idx="100">
                  <c:v>25</c:v>
                </c:pt>
                <c:pt idx="101">
                  <c:v>25.25</c:v>
                </c:pt>
                <c:pt idx="102">
                  <c:v>25.5</c:v>
                </c:pt>
                <c:pt idx="103">
                  <c:v>25.75</c:v>
                </c:pt>
                <c:pt idx="104">
                  <c:v>26</c:v>
                </c:pt>
                <c:pt idx="105">
                  <c:v>26.25</c:v>
                </c:pt>
                <c:pt idx="106">
                  <c:v>26.5</c:v>
                </c:pt>
                <c:pt idx="107">
                  <c:v>26.75</c:v>
                </c:pt>
                <c:pt idx="108">
                  <c:v>27</c:v>
                </c:pt>
                <c:pt idx="109">
                  <c:v>27.25</c:v>
                </c:pt>
                <c:pt idx="110">
                  <c:v>27.5</c:v>
                </c:pt>
                <c:pt idx="111">
                  <c:v>27.75</c:v>
                </c:pt>
                <c:pt idx="112">
                  <c:v>28</c:v>
                </c:pt>
                <c:pt idx="113">
                  <c:v>28.25</c:v>
                </c:pt>
                <c:pt idx="114">
                  <c:v>28.5</c:v>
                </c:pt>
                <c:pt idx="115">
                  <c:v>28.75</c:v>
                </c:pt>
                <c:pt idx="116">
                  <c:v>29</c:v>
                </c:pt>
                <c:pt idx="117">
                  <c:v>29.25</c:v>
                </c:pt>
                <c:pt idx="118">
                  <c:v>29.5</c:v>
                </c:pt>
                <c:pt idx="119">
                  <c:v>29.75</c:v>
                </c:pt>
                <c:pt idx="120">
                  <c:v>30</c:v>
                </c:pt>
                <c:pt idx="121">
                  <c:v>30.25</c:v>
                </c:pt>
                <c:pt idx="122">
                  <c:v>30.5</c:v>
                </c:pt>
                <c:pt idx="123">
                  <c:v>30.75</c:v>
                </c:pt>
                <c:pt idx="124">
                  <c:v>31</c:v>
                </c:pt>
                <c:pt idx="125">
                  <c:v>31.25</c:v>
                </c:pt>
                <c:pt idx="126">
                  <c:v>31.5</c:v>
                </c:pt>
                <c:pt idx="127">
                  <c:v>31.75</c:v>
                </c:pt>
                <c:pt idx="128">
                  <c:v>32</c:v>
                </c:pt>
                <c:pt idx="129">
                  <c:v>32.25</c:v>
                </c:pt>
                <c:pt idx="130">
                  <c:v>32.5</c:v>
                </c:pt>
                <c:pt idx="131">
                  <c:v>32.75</c:v>
                </c:pt>
                <c:pt idx="132">
                  <c:v>33</c:v>
                </c:pt>
                <c:pt idx="133">
                  <c:v>33.25</c:v>
                </c:pt>
                <c:pt idx="134">
                  <c:v>33.5</c:v>
                </c:pt>
                <c:pt idx="135">
                  <c:v>33.75</c:v>
                </c:pt>
                <c:pt idx="136">
                  <c:v>34</c:v>
                </c:pt>
                <c:pt idx="137">
                  <c:v>34.25</c:v>
                </c:pt>
                <c:pt idx="138">
                  <c:v>34.5</c:v>
                </c:pt>
                <c:pt idx="139">
                  <c:v>34.75</c:v>
                </c:pt>
                <c:pt idx="140">
                  <c:v>35</c:v>
                </c:pt>
                <c:pt idx="141">
                  <c:v>35.25</c:v>
                </c:pt>
                <c:pt idx="142">
                  <c:v>35.5</c:v>
                </c:pt>
                <c:pt idx="143">
                  <c:v>35.75</c:v>
                </c:pt>
                <c:pt idx="144">
                  <c:v>36</c:v>
                </c:pt>
                <c:pt idx="145">
                  <c:v>36.25</c:v>
                </c:pt>
                <c:pt idx="146">
                  <c:v>36.5</c:v>
                </c:pt>
                <c:pt idx="147">
                  <c:v>36.75</c:v>
                </c:pt>
                <c:pt idx="148">
                  <c:v>37</c:v>
                </c:pt>
                <c:pt idx="149">
                  <c:v>37.25</c:v>
                </c:pt>
                <c:pt idx="150">
                  <c:v>37.5</c:v>
                </c:pt>
                <c:pt idx="151">
                  <c:v>37.75</c:v>
                </c:pt>
                <c:pt idx="152">
                  <c:v>38</c:v>
                </c:pt>
                <c:pt idx="153">
                  <c:v>38.25</c:v>
                </c:pt>
                <c:pt idx="154">
                  <c:v>38.5</c:v>
                </c:pt>
                <c:pt idx="155">
                  <c:v>38.75</c:v>
                </c:pt>
                <c:pt idx="156">
                  <c:v>39</c:v>
                </c:pt>
                <c:pt idx="157">
                  <c:v>39.25</c:v>
                </c:pt>
                <c:pt idx="158">
                  <c:v>39.5</c:v>
                </c:pt>
                <c:pt idx="159">
                  <c:v>39.75</c:v>
                </c:pt>
                <c:pt idx="160">
                  <c:v>40</c:v>
                </c:pt>
              </c:numCache>
            </c:numRef>
          </c:xVal>
          <c:yVal>
            <c:numRef>
              <c:f>'AEP Input Output sheet'!$U$51:$U$211</c:f>
              <c:numCache>
                <c:formatCode>0.00</c:formatCode>
                <c:ptCount val="1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114.24150965447791</c:v>
                </c:pt>
                <c:pt idx="18">
                  <c:v>140.71818100732534</c:v>
                </c:pt>
                <c:pt idx="19">
                  <c:v>170.30636542449017</c:v>
                </c:pt>
                <c:pt idx="20">
                  <c:v>203.17892474287859</c:v>
                </c:pt>
                <c:pt idx="21">
                  <c:v>239.50872079939722</c:v>
                </c:pt>
                <c:pt idx="22">
                  <c:v>279.46861543095287</c:v>
                </c:pt>
                <c:pt idx="23">
                  <c:v>323.2314704744515</c:v>
                </c:pt>
                <c:pt idx="24">
                  <c:v>370.97014776679998</c:v>
                </c:pt>
                <c:pt idx="25">
                  <c:v>422.85750914490478</c:v>
                </c:pt>
                <c:pt idx="26">
                  <c:v>479.06641644567276</c:v>
                </c:pt>
                <c:pt idx="27">
                  <c:v>539.76973150600963</c:v>
                </c:pt>
                <c:pt idx="28">
                  <c:v>605.14031616282227</c:v>
                </c:pt>
                <c:pt idx="29">
                  <c:v>675.35103225301748</c:v>
                </c:pt>
                <c:pt idx="30">
                  <c:v>750.57474161350137</c:v>
                </c:pt>
                <c:pt idx="31">
                  <c:v>830.98430608118076</c:v>
                </c:pt>
                <c:pt idx="32">
                  <c:v>916.75258749296222</c:v>
                </c:pt>
                <c:pt idx="33">
                  <c:v>1008.052447685752</c:v>
                </c:pt>
                <c:pt idx="34">
                  <c:v>1105.0567484964565</c:v>
                </c:pt>
                <c:pt idx="35">
                  <c:v>1207.9383517619822</c:v>
                </c:pt>
                <c:pt idx="36">
                  <c:v>1316.870119319236</c:v>
                </c:pt>
                <c:pt idx="37">
                  <c:v>1432.0249130051252</c:v>
                </c:pt>
                <c:pt idx="38">
                  <c:v>1553.5755946565546</c:v>
                </c:pt>
                <c:pt idx="39">
                  <c:v>1681.6950261104314</c:v>
                </c:pt>
                <c:pt idx="40">
                  <c:v>1816.6082965410453</c:v>
                </c:pt>
                <c:pt idx="41">
                  <c:v>1910</c:v>
                </c:pt>
                <c:pt idx="42">
                  <c:v>1910</c:v>
                </c:pt>
                <c:pt idx="43">
                  <c:v>1910</c:v>
                </c:pt>
                <c:pt idx="44">
                  <c:v>1910</c:v>
                </c:pt>
                <c:pt idx="45">
                  <c:v>1910</c:v>
                </c:pt>
                <c:pt idx="46">
                  <c:v>1910</c:v>
                </c:pt>
                <c:pt idx="47">
                  <c:v>1910</c:v>
                </c:pt>
                <c:pt idx="48">
                  <c:v>1910</c:v>
                </c:pt>
                <c:pt idx="49">
                  <c:v>1910</c:v>
                </c:pt>
                <c:pt idx="50">
                  <c:v>1910</c:v>
                </c:pt>
                <c:pt idx="51">
                  <c:v>1910</c:v>
                </c:pt>
                <c:pt idx="52">
                  <c:v>1910</c:v>
                </c:pt>
                <c:pt idx="53">
                  <c:v>1910</c:v>
                </c:pt>
                <c:pt idx="54">
                  <c:v>1910</c:v>
                </c:pt>
                <c:pt idx="55">
                  <c:v>1910</c:v>
                </c:pt>
                <c:pt idx="56">
                  <c:v>1910</c:v>
                </c:pt>
                <c:pt idx="57">
                  <c:v>1910</c:v>
                </c:pt>
                <c:pt idx="58">
                  <c:v>1910</c:v>
                </c:pt>
                <c:pt idx="59">
                  <c:v>1910</c:v>
                </c:pt>
                <c:pt idx="60">
                  <c:v>1910</c:v>
                </c:pt>
                <c:pt idx="61">
                  <c:v>1910</c:v>
                </c:pt>
                <c:pt idx="62">
                  <c:v>1910</c:v>
                </c:pt>
                <c:pt idx="63">
                  <c:v>1910</c:v>
                </c:pt>
                <c:pt idx="64">
                  <c:v>1910</c:v>
                </c:pt>
                <c:pt idx="65">
                  <c:v>1910</c:v>
                </c:pt>
                <c:pt idx="66">
                  <c:v>1910</c:v>
                </c:pt>
                <c:pt idx="67">
                  <c:v>1910</c:v>
                </c:pt>
                <c:pt idx="68">
                  <c:v>1910</c:v>
                </c:pt>
                <c:pt idx="69">
                  <c:v>1910</c:v>
                </c:pt>
                <c:pt idx="70">
                  <c:v>1910</c:v>
                </c:pt>
                <c:pt idx="71">
                  <c:v>1910</c:v>
                </c:pt>
                <c:pt idx="72">
                  <c:v>1910</c:v>
                </c:pt>
                <c:pt idx="73">
                  <c:v>1910</c:v>
                </c:pt>
                <c:pt idx="74">
                  <c:v>1910</c:v>
                </c:pt>
                <c:pt idx="75">
                  <c:v>1910</c:v>
                </c:pt>
                <c:pt idx="76">
                  <c:v>1910</c:v>
                </c:pt>
                <c:pt idx="77">
                  <c:v>1910</c:v>
                </c:pt>
                <c:pt idx="78">
                  <c:v>1910</c:v>
                </c:pt>
                <c:pt idx="79">
                  <c:v>1910</c:v>
                </c:pt>
                <c:pt idx="80">
                  <c:v>1910</c:v>
                </c:pt>
                <c:pt idx="81">
                  <c:v>1910</c:v>
                </c:pt>
                <c:pt idx="82">
                  <c:v>1910</c:v>
                </c:pt>
                <c:pt idx="83">
                  <c:v>1910</c:v>
                </c:pt>
                <c:pt idx="84">
                  <c:v>1910</c:v>
                </c:pt>
                <c:pt idx="85">
                  <c:v>1910</c:v>
                </c:pt>
                <c:pt idx="86">
                  <c:v>1910</c:v>
                </c:pt>
                <c:pt idx="87">
                  <c:v>1910</c:v>
                </c:pt>
                <c:pt idx="88">
                  <c:v>1910</c:v>
                </c:pt>
                <c:pt idx="89">
                  <c:v>1910</c:v>
                </c:pt>
                <c:pt idx="90">
                  <c:v>1910</c:v>
                </c:pt>
                <c:pt idx="91">
                  <c:v>1910</c:v>
                </c:pt>
                <c:pt idx="92">
                  <c:v>1910</c:v>
                </c:pt>
                <c:pt idx="93">
                  <c:v>1910</c:v>
                </c:pt>
                <c:pt idx="94">
                  <c:v>1910</c:v>
                </c:pt>
                <c:pt idx="95">
                  <c:v>1910</c:v>
                </c:pt>
                <c:pt idx="96">
                  <c:v>1910</c:v>
                </c:pt>
                <c:pt idx="97">
                  <c:v>1910</c:v>
                </c:pt>
                <c:pt idx="98">
                  <c:v>1910</c:v>
                </c:pt>
                <c:pt idx="99">
                  <c:v>1910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numCache>
            </c:numRef>
          </c:yVal>
          <c:smooth val="0"/>
        </c:ser>
        <c:dLbls>
          <c:showLegendKey val="0"/>
          <c:showVal val="0"/>
          <c:showCatName val="0"/>
          <c:showSerName val="0"/>
          <c:showPercent val="0"/>
          <c:showBubbleSize val="0"/>
        </c:dLbls>
        <c:axId val="72580480"/>
        <c:axId val="72599424"/>
      </c:scatterChart>
      <c:valAx>
        <c:axId val="72580480"/>
        <c:scaling>
          <c:orientation val="minMax"/>
          <c:max val="40"/>
          <c:min val="0"/>
        </c:scaling>
        <c:delete val="0"/>
        <c:axPos val="b"/>
        <c:title>
          <c:tx>
            <c:rich>
              <a:bodyPr/>
              <a:lstStyle/>
              <a:p>
                <a:pPr>
                  <a:defRPr sz="800" b="1" i="0" u="none" strike="noStrike" baseline="0">
                    <a:solidFill>
                      <a:srgbClr val="000000"/>
                    </a:solidFill>
                    <a:latin typeface="Arial"/>
                    <a:ea typeface="Arial"/>
                    <a:cs typeface="Arial"/>
                  </a:defRPr>
                </a:pPr>
                <a:r>
                  <a:rPr lang="en-US"/>
                  <a:t>Windspeed (m/s)</a:t>
                </a:r>
              </a:p>
            </c:rich>
          </c:tx>
          <c:layout>
            <c:manualLayout>
              <c:xMode val="edge"/>
              <c:yMode val="edge"/>
              <c:x val="0.45855449647741398"/>
              <c:y val="0.808049535603718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2599424"/>
        <c:crosses val="autoZero"/>
        <c:crossBetween val="midCat"/>
      </c:valAx>
      <c:valAx>
        <c:axId val="72599424"/>
        <c:scaling>
          <c:orientation val="minMax"/>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Power (kW)</a:t>
                </a:r>
              </a:p>
            </c:rich>
          </c:tx>
          <c:layout>
            <c:manualLayout>
              <c:xMode val="edge"/>
              <c:yMode val="edge"/>
              <c:x val="2.82186305659161E-2"/>
              <c:y val="0.3467492260061900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2580480"/>
        <c:crosses val="autoZero"/>
        <c:crossBetween val="midCat"/>
      </c:valAx>
      <c:spPr>
        <a:solidFill>
          <a:srgbClr val="C0C0C0"/>
        </a:solidFill>
        <a:ln w="12700">
          <a:solidFill>
            <a:srgbClr val="808080"/>
          </a:solidFill>
          <a:prstDash val="solid"/>
        </a:ln>
      </c:spPr>
    </c:plotArea>
    <c:legend>
      <c:legendPos val="b"/>
      <c:layout>
        <c:manualLayout>
          <c:xMode val="edge"/>
          <c:yMode val="edge"/>
          <c:x val="0.17120633605009999"/>
          <c:y val="0.85242518059855599"/>
          <c:w val="0.73526490767601504"/>
          <c:h val="0.12590299277605799"/>
        </c:manualLayout>
      </c:layout>
      <c:overlay val="0"/>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orientation="landscape"/>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4697054937098502"/>
          <c:y val="3.2085561497326401E-2"/>
        </c:manualLayout>
      </c:layout>
      <c:overlay val="0"/>
      <c:spPr>
        <a:noFill/>
        <a:ln w="25400">
          <a:noFill/>
        </a:ln>
      </c:spPr>
      <c:txPr>
        <a:bodyPr/>
        <a:lstStyle/>
        <a:p>
          <a:pPr>
            <a:defRPr sz="85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4204571726613799"/>
          <c:y val="0.16310160427807399"/>
          <c:w val="0.81439544565919397"/>
          <c:h val="0.66844919786096302"/>
        </c:manualLayout>
      </c:layout>
      <c:scatterChart>
        <c:scatterStyle val="lineMarker"/>
        <c:varyColors val="0"/>
        <c:ser>
          <c:idx val="0"/>
          <c:order val="0"/>
          <c:tx>
            <c:strRef>
              <c:f>'AEP Input Output sheet'!$I$1</c:f>
              <c:strCache>
                <c:ptCount val="1"/>
                <c:pt idx="0">
                  <c:v>Efficiency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xVal>
            <c:numRef>
              <c:f>'AEP Input Output sheet'!$G$2:$G$22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'AEP Input Output sheet'!$I$2:$I$22</c:f>
              <c:numCache>
                <c:formatCode>0.0%</c:formatCode>
                <c:ptCount val="21"/>
                <c:pt idx="0">
                  <c:v>0</c:v>
                </c:pt>
                <c:pt idx="1">
                  <c:v>0.65701922846702143</c:v>
                </c:pt>
                <c:pt idx="2">
                  <c:v>0.7859619729657753</c:v>
                </c:pt>
                <c:pt idx="3">
                  <c:v>0.8289428877986933</c:v>
                </c:pt>
                <c:pt idx="4">
                  <c:v>0.85043334521515224</c:v>
                </c:pt>
                <c:pt idx="5">
                  <c:v>0.86332761966502769</c:v>
                </c:pt>
                <c:pt idx="6">
                  <c:v>0.87192380263161118</c:v>
                </c:pt>
                <c:pt idx="7">
                  <c:v>0.87806393332202815</c:v>
                </c:pt>
                <c:pt idx="8">
                  <c:v>0.88266903133984076</c:v>
                </c:pt>
                <c:pt idx="9">
                  <c:v>0.88625077424258392</c:v>
                </c:pt>
                <c:pt idx="10">
                  <c:v>0.88911616856477849</c:v>
                </c:pt>
                <c:pt idx="11">
                  <c:v>0.89146058210111945</c:v>
                </c:pt>
                <c:pt idx="12">
                  <c:v>0.89341426004807034</c:v>
                </c:pt>
                <c:pt idx="13">
                  <c:v>0.89506737215702858</c:v>
                </c:pt>
                <c:pt idx="14">
                  <c:v>0.89648432539327871</c:v>
                </c:pt>
                <c:pt idx="15">
                  <c:v>0.89771235153136208</c:v>
                </c:pt>
                <c:pt idx="16">
                  <c:v>0.89878687440218497</c:v>
                </c:pt>
                <c:pt idx="17">
                  <c:v>0.89973498281761699</c:v>
                </c:pt>
                <c:pt idx="18">
                  <c:v>0.90057774585355665</c:v>
                </c:pt>
                <c:pt idx="19">
                  <c:v>0.90133179699097621</c:v>
                </c:pt>
                <c:pt idx="20">
                  <c:v>0.90201044301465383</c:v>
                </c:pt>
              </c:numCache>
            </c:numRef>
          </c:yVal>
          <c:smooth val="0"/>
        </c:ser>
        <c:dLbls>
          <c:showLegendKey val="0"/>
          <c:showVal val="0"/>
          <c:showCatName val="0"/>
          <c:showSerName val="0"/>
          <c:showPercent val="0"/>
          <c:showBubbleSize val="0"/>
        </c:dLbls>
        <c:axId val="72641152"/>
        <c:axId val="72647808"/>
      </c:scatterChart>
      <c:valAx>
        <c:axId val="72641152"/>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P/P(rated)</a:t>
                </a:r>
              </a:p>
            </c:rich>
          </c:tx>
          <c:layout>
            <c:manualLayout>
              <c:xMode val="edge"/>
              <c:yMode val="edge"/>
              <c:x val="0.49431905149787497"/>
              <c:y val="0.90374331550802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72647808"/>
        <c:crosses val="autoZero"/>
        <c:crossBetween val="midCat"/>
      </c:valAx>
      <c:valAx>
        <c:axId val="72647808"/>
        <c:scaling>
          <c:orientation val="minMax"/>
          <c:max val="1"/>
          <c:min val="0"/>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Efficiency</a:t>
                </a:r>
              </a:p>
            </c:rich>
          </c:tx>
          <c:layout>
            <c:manualLayout>
              <c:xMode val="edge"/>
              <c:yMode val="edge"/>
              <c:x val="3.0302977645035801E-2"/>
              <c:y val="0.4224598930481279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72641152"/>
        <c:crosses val="autoZero"/>
        <c:crossBetween val="midCat"/>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950" b="1" i="0" u="none" strike="noStrike" baseline="0">
                <a:solidFill>
                  <a:srgbClr val="000000"/>
                </a:solidFill>
                <a:latin typeface="Arial"/>
                <a:ea typeface="Arial"/>
                <a:cs typeface="Arial"/>
              </a:defRPr>
            </a:pPr>
            <a:r>
              <a:rPr lang="en-US"/>
              <a:t>Blade Mass Trends</a:t>
            </a:r>
          </a:p>
        </c:rich>
      </c:tx>
      <c:layout>
        <c:manualLayout>
          <c:xMode val="edge"/>
          <c:yMode val="edge"/>
          <c:x val="0.34377646062658801"/>
          <c:y val="2.6773761713520899E-2"/>
        </c:manualLayout>
      </c:layout>
      <c:overlay val="0"/>
      <c:spPr>
        <a:noFill/>
        <a:ln w="25400">
          <a:noFill/>
        </a:ln>
      </c:spPr>
    </c:title>
    <c:autoTitleDeleted val="0"/>
    <c:plotArea>
      <c:layout>
        <c:manualLayout>
          <c:layoutTarget val="inner"/>
          <c:xMode val="edge"/>
          <c:yMode val="edge"/>
          <c:x val="9.5681625740897794E-2"/>
          <c:y val="0.12315946489011401"/>
          <c:w val="0.84250635055038103"/>
          <c:h val="0.76840796572744596"/>
        </c:manualLayout>
      </c:layout>
      <c:scatterChart>
        <c:scatterStyle val="lineMarker"/>
        <c:varyColors val="0"/>
        <c:ser>
          <c:idx val="0"/>
          <c:order val="0"/>
          <c:tx>
            <c:v>WindPACT - Static load design</c:v>
          </c:tx>
          <c:spPr>
            <a:ln w="28575">
              <a:noFill/>
            </a:ln>
          </c:spPr>
          <c:marker>
            <c:symbol val="diamond"/>
            <c:size val="8"/>
            <c:spPr>
              <a:noFill/>
              <a:ln>
                <a:solidFill>
                  <a:srgbClr val="000080"/>
                </a:solidFill>
                <a:prstDash val="solid"/>
              </a:ln>
            </c:spPr>
          </c:marker>
          <c:trendline>
            <c:spPr>
              <a:ln w="25400">
                <a:solidFill>
                  <a:srgbClr val="000000"/>
                </a:solidFill>
                <a:prstDash val="lgDash"/>
              </a:ln>
            </c:spPr>
            <c:trendlineType val="power"/>
            <c:dispRSqr val="0"/>
            <c:dispEq val="1"/>
            <c:trendlineLbl>
              <c:layout>
                <c:manualLayout>
                  <c:x val="-5.6336438046853E-3"/>
                  <c:y val="1.93037263055903E-2"/>
                </c:manualLayout>
              </c:layout>
              <c:tx>
                <c:rich>
                  <a:bodyPr/>
                  <a:lstStyle/>
                  <a:p>
                    <a:pPr>
                      <a:defRPr sz="3175" b="0" i="0" u="none" strike="noStrike" baseline="0">
                        <a:solidFill>
                          <a:srgbClr val="000000"/>
                        </a:solidFill>
                        <a:latin typeface="Arial"/>
                        <a:ea typeface="Arial"/>
                        <a:cs typeface="Arial"/>
                      </a:defRPr>
                    </a:pPr>
                    <a:r>
                      <a:rPr lang="en-US" sz="1150" b="0" i="0" u="none" strike="noStrike" baseline="0">
                        <a:solidFill>
                          <a:srgbClr val="000000"/>
                        </a:solidFill>
                        <a:latin typeface="Arial"/>
                        <a:cs typeface="Arial"/>
                      </a:rPr>
                      <a:t>WindPACT Static Load Design:</a:t>
                    </a:r>
                  </a:p>
                  <a:p>
                    <a:pPr>
                      <a:defRPr sz="3175" b="0" i="0" u="none" strike="noStrike" baseline="0">
                        <a:solidFill>
                          <a:srgbClr val="000000"/>
                        </a:solidFill>
                        <a:latin typeface="Arial"/>
                        <a:ea typeface="Arial"/>
                        <a:cs typeface="Arial"/>
                      </a:defRPr>
                    </a:pPr>
                    <a:r>
                      <a:rPr lang="en-US" sz="1150" b="0" i="0" u="none" strike="noStrike" baseline="0">
                        <a:solidFill>
                          <a:srgbClr val="000000"/>
                        </a:solidFill>
                        <a:latin typeface="Arial"/>
                        <a:cs typeface="Arial"/>
                      </a:rPr>
                      <a:t>y = 0.2113x</a:t>
                    </a:r>
                    <a:r>
                      <a:rPr lang="en-US" sz="1150" b="0" i="0" u="none" strike="noStrike" baseline="30000">
                        <a:solidFill>
                          <a:srgbClr val="000000"/>
                        </a:solidFill>
                        <a:latin typeface="Arial"/>
                        <a:cs typeface="Arial"/>
                      </a:rPr>
                      <a:t>2.8833</a:t>
                    </a:r>
                  </a:p>
                </c:rich>
              </c:tx>
              <c:numFmt formatCode="General" sourceLinked="0"/>
              <c:spPr>
                <a:solidFill>
                  <a:srgbClr val="FFFFFF"/>
                </a:solidFill>
                <a:ln w="25400">
                  <a:noFill/>
                </a:ln>
              </c:spPr>
            </c:trendlineLbl>
          </c:trendline>
          <c:xVal>
            <c:numRef>
              <c:f>'Blade Mass &amp; Cost'!$R$27:$R$33</c:f>
              <c:numCache>
                <c:formatCode>0.0</c:formatCode>
                <c:ptCount val="7"/>
                <c:pt idx="0">
                  <c:v>23.3</c:v>
                </c:pt>
                <c:pt idx="1">
                  <c:v>32.9</c:v>
                </c:pt>
                <c:pt idx="2">
                  <c:v>38</c:v>
                </c:pt>
                <c:pt idx="3">
                  <c:v>40.799999999999997</c:v>
                </c:pt>
                <c:pt idx="4">
                  <c:v>46.6</c:v>
                </c:pt>
                <c:pt idx="5">
                  <c:v>53.8</c:v>
                </c:pt>
                <c:pt idx="6">
                  <c:v>60.2</c:v>
                </c:pt>
              </c:numCache>
            </c:numRef>
          </c:xVal>
          <c:yVal>
            <c:numRef>
              <c:f>'Blade Mass &amp; Cost'!$T$27:$T$33</c:f>
              <c:numCache>
                <c:formatCode>General</c:formatCode>
                <c:ptCount val="7"/>
                <c:pt idx="0">
                  <c:v>1851</c:v>
                </c:pt>
                <c:pt idx="1">
                  <c:v>5017</c:v>
                </c:pt>
                <c:pt idx="2">
                  <c:v>7597</c:v>
                </c:pt>
                <c:pt idx="3">
                  <c:v>9284</c:v>
                </c:pt>
                <c:pt idx="4">
                  <c:v>13629</c:v>
                </c:pt>
                <c:pt idx="5">
                  <c:v>20685</c:v>
                </c:pt>
                <c:pt idx="6">
                  <c:v>28626</c:v>
                </c:pt>
              </c:numCache>
            </c:numRef>
          </c:yVal>
          <c:smooth val="0"/>
        </c:ser>
        <c:ser>
          <c:idx val="12"/>
          <c:order val="1"/>
          <c:tx>
            <c:v>TPI - baseline design</c:v>
          </c:tx>
          <c:spPr>
            <a:ln w="28575">
              <a:noFill/>
            </a:ln>
          </c:spPr>
          <c:marker>
            <c:symbol val="circle"/>
            <c:size val="8"/>
            <c:spPr>
              <a:noFill/>
              <a:ln>
                <a:solidFill>
                  <a:srgbClr val="008000"/>
                </a:solidFill>
                <a:prstDash val="solid"/>
              </a:ln>
            </c:spPr>
          </c:marker>
          <c:xVal>
            <c:numRef>
              <c:f>'Blade Mass &amp; Cost'!$B$64:$B$65</c:f>
              <c:numCache>
                <c:formatCode>General</c:formatCode>
                <c:ptCount val="2"/>
                <c:pt idx="0">
                  <c:v>32</c:v>
                </c:pt>
                <c:pt idx="1">
                  <c:v>52</c:v>
                </c:pt>
              </c:numCache>
            </c:numRef>
          </c:xVal>
          <c:yVal>
            <c:numRef>
              <c:f>'Blade Mass &amp; Cost'!$I$57:$I$58</c:f>
              <c:numCache>
                <c:formatCode>0</c:formatCode>
                <c:ptCount val="2"/>
                <c:pt idx="0">
                  <c:v>4108</c:v>
                </c:pt>
                <c:pt idx="1">
                  <c:v>18856</c:v>
                </c:pt>
              </c:numCache>
            </c:numRef>
          </c:yVal>
          <c:smooth val="0"/>
        </c:ser>
        <c:ser>
          <c:idx val="5"/>
          <c:order val="2"/>
          <c:tx>
            <c:v>WindPACT - Baseline design</c:v>
          </c:tx>
          <c:spPr>
            <a:ln w="28575">
              <a:noFill/>
            </a:ln>
          </c:spPr>
          <c:marker>
            <c:symbol val="diamond"/>
            <c:size val="8"/>
            <c:spPr>
              <a:noFill/>
              <a:ln>
                <a:solidFill>
                  <a:srgbClr val="0000FF"/>
                </a:solidFill>
                <a:prstDash val="solid"/>
              </a:ln>
            </c:spPr>
          </c:marker>
          <c:trendline>
            <c:spPr>
              <a:ln w="25400">
                <a:solidFill>
                  <a:srgbClr val="000000"/>
                </a:solidFill>
                <a:prstDash val="lgDash"/>
              </a:ln>
            </c:spPr>
            <c:trendlineType val="power"/>
            <c:dispRSqr val="0"/>
            <c:dispEq val="1"/>
            <c:trendlineLbl>
              <c:layout>
                <c:manualLayout>
                  <c:x val="0.163262771662433"/>
                  <c:y val="9.9803448263746597E-2"/>
                </c:manualLayout>
              </c:layout>
              <c:tx>
                <c:rich>
                  <a:bodyPr/>
                  <a:lstStyle/>
                  <a:p>
                    <a:pPr>
                      <a:defRPr sz="3175" b="0" i="0" u="none" strike="noStrike" baseline="0">
                        <a:solidFill>
                          <a:srgbClr val="000000"/>
                        </a:solidFill>
                        <a:latin typeface="Arial"/>
                        <a:ea typeface="Arial"/>
                        <a:cs typeface="Arial"/>
                      </a:defRPr>
                    </a:pPr>
                    <a:r>
                      <a:rPr lang="en-US" sz="1150" b="0" i="0" u="none" strike="noStrike" baseline="0">
                        <a:solidFill>
                          <a:srgbClr val="000000"/>
                        </a:solidFill>
                        <a:latin typeface="Arial"/>
                        <a:cs typeface="Arial"/>
                      </a:rPr>
                      <a:t>WindPACT Baseline Design:</a:t>
                    </a:r>
                  </a:p>
                  <a:p>
                    <a:pPr>
                      <a:defRPr sz="3175" b="0" i="0" u="none" strike="noStrike" baseline="0">
                        <a:solidFill>
                          <a:srgbClr val="000000"/>
                        </a:solidFill>
                        <a:latin typeface="Arial"/>
                        <a:ea typeface="Arial"/>
                        <a:cs typeface="Arial"/>
                      </a:defRPr>
                    </a:pPr>
                    <a:r>
                      <a:rPr lang="en-US" sz="1150" b="0" i="0" u="none" strike="noStrike" baseline="0">
                        <a:solidFill>
                          <a:srgbClr val="000000"/>
                        </a:solidFill>
                        <a:latin typeface="Arial"/>
                        <a:cs typeface="Arial"/>
                      </a:rPr>
                      <a:t>y = 0.1452x</a:t>
                    </a:r>
                    <a:r>
                      <a:rPr lang="en-US" sz="1150" b="0" i="0" u="none" strike="noStrike" baseline="30000">
                        <a:solidFill>
                          <a:srgbClr val="000000"/>
                        </a:solidFill>
                        <a:latin typeface="Arial"/>
                        <a:cs typeface="Arial"/>
                      </a:rPr>
                      <a:t>2.9158</a:t>
                    </a:r>
                  </a:p>
                </c:rich>
              </c:tx>
              <c:numFmt formatCode="General" sourceLinked="0"/>
              <c:spPr>
                <a:solidFill>
                  <a:srgbClr val="FFFFFF"/>
                </a:solidFill>
                <a:ln w="25400">
                  <a:noFill/>
                </a:ln>
              </c:spPr>
            </c:trendlineLbl>
          </c:trendline>
          <c:xVal>
            <c:numRef>
              <c:f>'Blade Mass &amp; Cost'!$R$80:$R$83</c:f>
              <c:numCache>
                <c:formatCode>General</c:formatCode>
                <c:ptCount val="4"/>
                <c:pt idx="0">
                  <c:v>25</c:v>
                </c:pt>
                <c:pt idx="1">
                  <c:v>35</c:v>
                </c:pt>
                <c:pt idx="2">
                  <c:v>49.5</c:v>
                </c:pt>
                <c:pt idx="3">
                  <c:v>64</c:v>
                </c:pt>
              </c:numCache>
            </c:numRef>
          </c:xVal>
          <c:yVal>
            <c:numRef>
              <c:f>'Blade Mass &amp; Cost'!$T$80:$T$83</c:f>
              <c:numCache>
                <c:formatCode>General</c:formatCode>
                <c:ptCount val="4"/>
                <c:pt idx="0">
                  <c:v>1818</c:v>
                </c:pt>
                <c:pt idx="1">
                  <c:v>4230</c:v>
                </c:pt>
                <c:pt idx="2">
                  <c:v>12936</c:v>
                </c:pt>
                <c:pt idx="3">
                  <c:v>27239</c:v>
                </c:pt>
              </c:numCache>
            </c:numRef>
          </c:yVal>
          <c:smooth val="0"/>
        </c:ser>
        <c:ser>
          <c:idx val="6"/>
          <c:order val="3"/>
          <c:tx>
            <c:v>WindPACT - Final design</c:v>
          </c:tx>
          <c:spPr>
            <a:ln w="28575">
              <a:noFill/>
            </a:ln>
          </c:spPr>
          <c:marker>
            <c:symbol val="diamond"/>
            <c:size val="8"/>
            <c:spPr>
              <a:noFill/>
              <a:ln>
                <a:solidFill>
                  <a:srgbClr val="FF0000"/>
                </a:solidFill>
                <a:prstDash val="solid"/>
              </a:ln>
            </c:spPr>
          </c:marker>
          <c:trendline>
            <c:spPr>
              <a:ln w="25400">
                <a:solidFill>
                  <a:srgbClr val="000000"/>
                </a:solidFill>
                <a:prstDash val="lgDash"/>
              </a:ln>
            </c:spPr>
            <c:trendlineType val="power"/>
            <c:dispRSqr val="0"/>
            <c:dispEq val="1"/>
            <c:trendlineLbl>
              <c:layout>
                <c:manualLayout>
                  <c:x val="0.17802173966188201"/>
                  <c:y val="6.3815858359070596E-2"/>
                </c:manualLayout>
              </c:layout>
              <c:tx>
                <c:rich>
                  <a:bodyPr/>
                  <a:lstStyle/>
                  <a:p>
                    <a:pPr>
                      <a:defRPr sz="3175" b="0" i="0" u="none" strike="noStrike" baseline="0">
                        <a:solidFill>
                          <a:srgbClr val="000000"/>
                        </a:solidFill>
                        <a:latin typeface="Arial"/>
                        <a:ea typeface="Arial"/>
                        <a:cs typeface="Arial"/>
                      </a:defRPr>
                    </a:pPr>
                    <a:r>
                      <a:rPr lang="en-US" sz="1150" b="0" i="0" u="none" strike="noStrike" baseline="0">
                        <a:solidFill>
                          <a:srgbClr val="000000"/>
                        </a:solidFill>
                        <a:latin typeface="Arial"/>
                        <a:cs typeface="Arial"/>
                      </a:rPr>
                      <a:t>WindPACT Final Design:</a:t>
                    </a:r>
                  </a:p>
                  <a:p>
                    <a:pPr>
                      <a:defRPr sz="3175" b="0" i="0" u="none" strike="noStrike" baseline="0">
                        <a:solidFill>
                          <a:srgbClr val="000000"/>
                        </a:solidFill>
                        <a:latin typeface="Arial"/>
                        <a:ea typeface="Arial"/>
                        <a:cs typeface="Arial"/>
                      </a:defRPr>
                    </a:pPr>
                    <a:r>
                      <a:rPr lang="en-US" sz="1150" b="0" i="0" u="none" strike="noStrike" baseline="0">
                        <a:solidFill>
                          <a:srgbClr val="000000"/>
                        </a:solidFill>
                        <a:latin typeface="Arial"/>
                        <a:cs typeface="Arial"/>
                      </a:rPr>
                      <a:t>y = 0.1527x</a:t>
                    </a:r>
                    <a:r>
                      <a:rPr lang="en-US" sz="1150" b="0" i="0" u="none" strike="noStrike" baseline="30000">
                        <a:solidFill>
                          <a:srgbClr val="000000"/>
                        </a:solidFill>
                        <a:latin typeface="Arial"/>
                        <a:cs typeface="Arial"/>
                      </a:rPr>
                      <a:t>2.6921</a:t>
                    </a:r>
                  </a:p>
                </c:rich>
              </c:tx>
              <c:numFmt formatCode="General" sourceLinked="0"/>
              <c:spPr>
                <a:solidFill>
                  <a:srgbClr val="FFFFFF"/>
                </a:solidFill>
                <a:ln w="25400">
                  <a:noFill/>
                </a:ln>
              </c:spPr>
            </c:trendlineLbl>
          </c:trendline>
          <c:xVal>
            <c:numRef>
              <c:f>'Blade Mass &amp; Cost'!$R$80:$R$83</c:f>
              <c:numCache>
                <c:formatCode>General</c:formatCode>
                <c:ptCount val="4"/>
                <c:pt idx="0">
                  <c:v>25</c:v>
                </c:pt>
                <c:pt idx="1">
                  <c:v>35</c:v>
                </c:pt>
                <c:pt idx="2">
                  <c:v>49.5</c:v>
                </c:pt>
                <c:pt idx="3">
                  <c:v>64</c:v>
                </c:pt>
              </c:numCache>
            </c:numRef>
          </c:xVal>
          <c:yVal>
            <c:numRef>
              <c:f>'Blade Mass &amp; Cost'!$W$80:$W$82</c:f>
              <c:numCache>
                <c:formatCode>General</c:formatCode>
                <c:ptCount val="3"/>
                <c:pt idx="0">
                  <c:v>868</c:v>
                </c:pt>
                <c:pt idx="1">
                  <c:v>2281</c:v>
                </c:pt>
                <c:pt idx="2">
                  <c:v>5463</c:v>
                </c:pt>
              </c:numCache>
            </c:numRef>
          </c:yVal>
          <c:smooth val="0"/>
        </c:ser>
        <c:ser>
          <c:idx val="2"/>
          <c:order val="4"/>
          <c:tx>
            <c:v>LM Glasfiber Blades</c:v>
          </c:tx>
          <c:spPr>
            <a:ln w="28575">
              <a:noFill/>
            </a:ln>
          </c:spPr>
          <c:marker>
            <c:symbol val="square"/>
            <c:size val="6"/>
            <c:spPr>
              <a:solidFill>
                <a:srgbClr val="FF00FF"/>
              </a:solidFill>
              <a:ln>
                <a:solidFill>
                  <a:srgbClr val="FF00FF"/>
                </a:solidFill>
                <a:prstDash val="solid"/>
              </a:ln>
            </c:spPr>
          </c:marker>
          <c:xVal>
            <c:numRef>
              <c:f>'Blade Mass &amp; Cost'!$S$58:$S$63</c:f>
              <c:numCache>
                <c:formatCode>General</c:formatCode>
                <c:ptCount val="6"/>
                <c:pt idx="0">
                  <c:v>40</c:v>
                </c:pt>
                <c:pt idx="1">
                  <c:v>45</c:v>
                </c:pt>
                <c:pt idx="2">
                  <c:v>46</c:v>
                </c:pt>
                <c:pt idx="3">
                  <c:v>50</c:v>
                </c:pt>
                <c:pt idx="4">
                  <c:v>55.4</c:v>
                </c:pt>
                <c:pt idx="5">
                  <c:v>63.15</c:v>
                </c:pt>
              </c:numCache>
            </c:numRef>
          </c:xVal>
          <c:yVal>
            <c:numRef>
              <c:f>'Blade Mass &amp; Cost'!$V$58:$V$63</c:f>
              <c:numCache>
                <c:formatCode>General</c:formatCode>
                <c:ptCount val="6"/>
                <c:pt idx="0">
                  <c:v>8700</c:v>
                </c:pt>
                <c:pt idx="1">
                  <c:v>10400</c:v>
                </c:pt>
                <c:pt idx="2">
                  <c:v>9980</c:v>
                </c:pt>
                <c:pt idx="3">
                  <c:v>9796</c:v>
                </c:pt>
                <c:pt idx="4">
                  <c:v>12840</c:v>
                </c:pt>
                <c:pt idx="5">
                  <c:v>17700</c:v>
                </c:pt>
              </c:numCache>
            </c:numRef>
          </c:yVal>
          <c:smooth val="0"/>
        </c:ser>
        <c:ser>
          <c:idx val="8"/>
          <c:order val="5"/>
          <c:tx>
            <c:v>Offshore 5 MW Turbines</c:v>
          </c:tx>
          <c:spPr>
            <a:ln w="28575">
              <a:noFill/>
            </a:ln>
          </c:spPr>
          <c:marker>
            <c:symbol val="square"/>
            <c:size val="6"/>
            <c:spPr>
              <a:solidFill>
                <a:srgbClr val="FFCC00"/>
              </a:solidFill>
              <a:ln>
                <a:solidFill>
                  <a:srgbClr val="FFCC00"/>
                </a:solidFill>
                <a:prstDash val="solid"/>
              </a:ln>
            </c:spPr>
          </c:marker>
          <c:xVal>
            <c:numRef>
              <c:f>'Blade Mass &amp; Cost'!$S$97:$S$98</c:f>
              <c:numCache>
                <c:formatCode>General</c:formatCode>
                <c:ptCount val="2"/>
                <c:pt idx="0">
                  <c:v>58</c:v>
                </c:pt>
                <c:pt idx="1">
                  <c:v>63</c:v>
                </c:pt>
              </c:numCache>
            </c:numRef>
          </c:xVal>
          <c:yVal>
            <c:numRef>
              <c:f>'Blade Mass &amp; Cost'!$U$97:$U$98</c:f>
              <c:numCache>
                <c:formatCode>#,##0.000</c:formatCode>
                <c:ptCount val="2"/>
                <c:pt idx="0">
                  <c:v>16500</c:v>
                </c:pt>
                <c:pt idx="1">
                  <c:v>17740</c:v>
                </c:pt>
              </c:numCache>
            </c:numRef>
          </c:yVal>
          <c:smooth val="0"/>
        </c:ser>
        <c:ser>
          <c:idx val="4"/>
          <c:order val="6"/>
          <c:tx>
            <c:v>Clipper 2.5 MW Turbine</c:v>
          </c:tx>
          <c:spPr>
            <a:ln w="28575">
              <a:noFill/>
            </a:ln>
          </c:spPr>
          <c:marker>
            <c:symbol val="square"/>
            <c:size val="6"/>
            <c:spPr>
              <a:solidFill>
                <a:srgbClr val="CC99FF"/>
              </a:solidFill>
              <a:ln>
                <a:solidFill>
                  <a:srgbClr val="CC99FF"/>
                </a:solidFill>
                <a:prstDash val="solid"/>
              </a:ln>
            </c:spPr>
          </c:marker>
          <c:xVal>
            <c:numRef>
              <c:f>'Blade Mass &amp; Cost'!$S$88</c:f>
              <c:numCache>
                <c:formatCode>General</c:formatCode>
                <c:ptCount val="1"/>
                <c:pt idx="0">
                  <c:v>46.5</c:v>
                </c:pt>
              </c:numCache>
            </c:numRef>
          </c:xVal>
          <c:yVal>
            <c:numRef>
              <c:f>'Blade Mass &amp; Cost'!$U$88</c:f>
              <c:numCache>
                <c:formatCode>General</c:formatCode>
                <c:ptCount val="1"/>
                <c:pt idx="0">
                  <c:v>10000</c:v>
                </c:pt>
              </c:numCache>
            </c:numRef>
          </c:yVal>
          <c:smooth val="0"/>
        </c:ser>
        <c:ser>
          <c:idx val="1"/>
          <c:order val="7"/>
          <c:tx>
            <c:v>WindPACT - Commercial Data</c:v>
          </c:tx>
          <c:spPr>
            <a:ln w="28575">
              <a:noFill/>
            </a:ln>
          </c:spPr>
          <c:marker>
            <c:symbol val="square"/>
            <c:size val="6"/>
            <c:spPr>
              <a:solidFill>
                <a:srgbClr val="C0C0C0"/>
              </a:solidFill>
              <a:ln>
                <a:solidFill>
                  <a:srgbClr val="C0C0C0"/>
                </a:solidFill>
                <a:prstDash val="solid"/>
              </a:ln>
            </c:spPr>
          </c:marker>
          <c:xVal>
            <c:numRef>
              <c:f>'Blade Mass &amp; Cost'!$R$38:$R$53</c:f>
              <c:numCache>
                <c:formatCode>0.0</c:formatCode>
                <c:ptCount val="16"/>
                <c:pt idx="0">
                  <c:v>22.105263157894736</c:v>
                </c:pt>
                <c:pt idx="1">
                  <c:v>22.631578947368421</c:v>
                </c:pt>
                <c:pt idx="2">
                  <c:v>23.263157894736846</c:v>
                </c:pt>
                <c:pt idx="3" formatCode="General">
                  <c:v>23.5</c:v>
                </c:pt>
                <c:pt idx="4">
                  <c:v>24.526315789473685</c:v>
                </c:pt>
                <c:pt idx="5">
                  <c:v>25</c:v>
                </c:pt>
                <c:pt idx="6">
                  <c:v>25.368421052631582</c:v>
                </c:pt>
                <c:pt idx="7">
                  <c:v>25.368421052631582</c:v>
                </c:pt>
                <c:pt idx="8">
                  <c:v>27.473684210526319</c:v>
                </c:pt>
                <c:pt idx="9">
                  <c:v>33</c:v>
                </c:pt>
                <c:pt idx="10">
                  <c:v>35</c:v>
                </c:pt>
                <c:pt idx="11">
                  <c:v>35</c:v>
                </c:pt>
                <c:pt idx="12">
                  <c:v>35.578947368421048</c:v>
                </c:pt>
                <c:pt idx="13">
                  <c:v>35.789473684210527</c:v>
                </c:pt>
                <c:pt idx="14">
                  <c:v>39.263157894736842</c:v>
                </c:pt>
                <c:pt idx="15">
                  <c:v>40.84210526315789</c:v>
                </c:pt>
              </c:numCache>
            </c:numRef>
          </c:xVal>
          <c:yVal>
            <c:numRef>
              <c:f>'Blade Mass &amp; Cost'!$T$38:$T$53</c:f>
              <c:numCache>
                <c:formatCode>General</c:formatCode>
                <c:ptCount val="16"/>
                <c:pt idx="0">
                  <c:v>2100</c:v>
                </c:pt>
                <c:pt idx="1">
                  <c:v>2650</c:v>
                </c:pt>
                <c:pt idx="2">
                  <c:v>1600</c:v>
                </c:pt>
                <c:pt idx="3">
                  <c:v>1450</c:v>
                </c:pt>
                <c:pt idx="4">
                  <c:v>2800</c:v>
                </c:pt>
                <c:pt idx="5">
                  <c:v>3540</c:v>
                </c:pt>
                <c:pt idx="6">
                  <c:v>2400</c:v>
                </c:pt>
                <c:pt idx="7">
                  <c:v>2600</c:v>
                </c:pt>
                <c:pt idx="8">
                  <c:v>4000</c:v>
                </c:pt>
                <c:pt idx="9">
                  <c:v>3850</c:v>
                </c:pt>
                <c:pt idx="10">
                  <c:v>5600</c:v>
                </c:pt>
                <c:pt idx="11">
                  <c:v>6800</c:v>
                </c:pt>
                <c:pt idx="12">
                  <c:v>7800</c:v>
                </c:pt>
                <c:pt idx="13">
                  <c:v>5600</c:v>
                </c:pt>
                <c:pt idx="14">
                  <c:v>6035</c:v>
                </c:pt>
                <c:pt idx="15">
                  <c:v>8500</c:v>
                </c:pt>
              </c:numCache>
            </c:numRef>
          </c:yVal>
          <c:smooth val="0"/>
        </c:ser>
        <c:ser>
          <c:idx val="3"/>
          <c:order val="8"/>
          <c:tx>
            <c:v>TPI Innovative Concept Blades</c:v>
          </c:tx>
          <c:spPr>
            <a:ln w="28575">
              <a:noFill/>
            </a:ln>
          </c:spPr>
          <c:marker>
            <c:symbol val="triangle"/>
            <c:size val="8"/>
            <c:spPr>
              <a:noFill/>
              <a:ln>
                <a:solidFill>
                  <a:srgbClr val="000000"/>
                </a:solidFill>
                <a:prstDash val="solid"/>
              </a:ln>
            </c:spPr>
          </c:marker>
          <c:xVal>
            <c:numRef>
              <c:f>'Blade Mass &amp; Cost'!$S$69:$S$72</c:f>
              <c:numCache>
                <c:formatCode>General</c:formatCode>
                <c:ptCount val="4"/>
                <c:pt idx="0">
                  <c:v>52</c:v>
                </c:pt>
                <c:pt idx="1">
                  <c:v>52</c:v>
                </c:pt>
                <c:pt idx="2">
                  <c:v>52</c:v>
                </c:pt>
                <c:pt idx="3">
                  <c:v>52</c:v>
                </c:pt>
              </c:numCache>
            </c:numRef>
          </c:xVal>
          <c:yVal>
            <c:numRef>
              <c:f>'Blade Mass &amp; Cost'!$U$69:$U$72</c:f>
              <c:numCache>
                <c:formatCode>General</c:formatCode>
                <c:ptCount val="4"/>
                <c:pt idx="0">
                  <c:v>9082.636363636364</c:v>
                </c:pt>
                <c:pt idx="1">
                  <c:v>8203.636363636364</c:v>
                </c:pt>
                <c:pt idx="2">
                  <c:v>10307.181818181818</c:v>
                </c:pt>
                <c:pt idx="3">
                  <c:v>9428.2727272727279</c:v>
                </c:pt>
              </c:numCache>
            </c:numRef>
          </c:yVal>
          <c:smooth val="0"/>
        </c:ser>
        <c:ser>
          <c:idx val="7"/>
          <c:order val="9"/>
          <c:tx>
            <c:v>Offshore 5 MW models</c:v>
          </c:tx>
          <c:spPr>
            <a:ln w="28575">
              <a:noFill/>
            </a:ln>
          </c:spPr>
          <c:marker>
            <c:symbol val="triangle"/>
            <c:size val="8"/>
            <c:spPr>
              <a:noFill/>
              <a:ln>
                <a:solidFill>
                  <a:srgbClr val="FF6600"/>
                </a:solidFill>
                <a:prstDash val="solid"/>
              </a:ln>
            </c:spPr>
          </c:marker>
          <c:xVal>
            <c:numRef>
              <c:f>'Blade Mass &amp; Cost'!$S$93:$S$96</c:f>
              <c:numCache>
                <c:formatCode>General</c:formatCode>
                <c:ptCount val="4"/>
                <c:pt idx="0">
                  <c:v>60</c:v>
                </c:pt>
                <c:pt idx="1">
                  <c:v>64</c:v>
                </c:pt>
                <c:pt idx="2">
                  <c:v>59</c:v>
                </c:pt>
                <c:pt idx="3">
                  <c:v>64.5</c:v>
                </c:pt>
              </c:numCache>
            </c:numRef>
          </c:xVal>
          <c:yVal>
            <c:numRef>
              <c:f>'Blade Mass &amp; Cost'!$U$93:$U$96</c:f>
              <c:numCache>
                <c:formatCode>#,##0.000</c:formatCode>
                <c:ptCount val="4"/>
                <c:pt idx="0">
                  <c:v>21170</c:v>
                </c:pt>
                <c:pt idx="1">
                  <c:v>27812</c:v>
                </c:pt>
                <c:pt idx="2">
                  <c:v>13813</c:v>
                </c:pt>
                <c:pt idx="3">
                  <c:v>17905</c:v>
                </c:pt>
              </c:numCache>
            </c:numRef>
          </c:yVal>
          <c:smooth val="0"/>
        </c:ser>
        <c:ser>
          <c:idx val="10"/>
          <c:order val="10"/>
          <c:tx>
            <c:v>Gamesa</c:v>
          </c:tx>
          <c:spPr>
            <a:ln w="28575">
              <a:noFill/>
            </a:ln>
          </c:spPr>
          <c:marker>
            <c:symbol val="square"/>
            <c:size val="8"/>
            <c:spPr>
              <a:solidFill>
                <a:srgbClr val="FF6600"/>
              </a:solidFill>
              <a:ln>
                <a:solidFill>
                  <a:srgbClr val="FF6600"/>
                </a:solidFill>
                <a:prstDash val="solid"/>
              </a:ln>
            </c:spPr>
          </c:marker>
          <c:xVal>
            <c:numRef>
              <c:f>'Blade Mass &amp; Cost'!$S$103:$S$108</c:f>
              <c:numCache>
                <c:formatCode>General</c:formatCode>
                <c:ptCount val="6"/>
                <c:pt idx="0">
                  <c:v>25.3</c:v>
                </c:pt>
                <c:pt idx="1">
                  <c:v>28.3</c:v>
                </c:pt>
                <c:pt idx="2">
                  <c:v>39</c:v>
                </c:pt>
                <c:pt idx="3">
                  <c:v>40.5</c:v>
                </c:pt>
                <c:pt idx="4">
                  <c:v>42.5</c:v>
                </c:pt>
                <c:pt idx="5">
                  <c:v>44</c:v>
                </c:pt>
              </c:numCache>
            </c:numRef>
          </c:xVal>
          <c:yVal>
            <c:numRef>
              <c:f>'Blade Mass &amp; Cost'!$U$103:$U$108</c:f>
              <c:numCache>
                <c:formatCode>#,##0.000</c:formatCode>
                <c:ptCount val="6"/>
                <c:pt idx="0">
                  <c:v>1900</c:v>
                </c:pt>
                <c:pt idx="1">
                  <c:v>2400</c:v>
                </c:pt>
                <c:pt idx="2">
                  <c:v>6500</c:v>
                </c:pt>
                <c:pt idx="3">
                  <c:v>7300</c:v>
                </c:pt>
                <c:pt idx="4">
                  <c:v>6150</c:v>
                </c:pt>
                <c:pt idx="5">
                  <c:v>5800</c:v>
                </c:pt>
              </c:numCache>
            </c:numRef>
          </c:yVal>
          <c:smooth val="0"/>
        </c:ser>
        <c:ser>
          <c:idx val="9"/>
          <c:order val="11"/>
          <c:spPr>
            <a:ln w="28575">
              <a:noFill/>
            </a:ln>
          </c:spPr>
          <c:marker>
            <c:symbol val="dot"/>
            <c:size val="2"/>
            <c:spPr>
              <a:solidFill>
                <a:srgbClr val="FF00FF"/>
              </a:solidFill>
              <a:ln>
                <a:solidFill>
                  <a:srgbClr val="FF00FF"/>
                </a:solidFill>
                <a:prstDash val="solid"/>
              </a:ln>
            </c:spPr>
          </c:marker>
          <c:trendline>
            <c:spPr>
              <a:ln w="25400">
                <a:solidFill>
                  <a:srgbClr val="000000"/>
                </a:solidFill>
                <a:prstDash val="lgDash"/>
              </a:ln>
            </c:spPr>
            <c:trendlineType val="power"/>
            <c:dispRSqr val="0"/>
            <c:dispEq val="1"/>
            <c:trendlineLbl>
              <c:layout>
                <c:manualLayout>
                  <c:x val="0.15612073046330699"/>
                  <c:y val="0.120682484970504"/>
                </c:manualLayout>
              </c:layout>
              <c:tx>
                <c:rich>
                  <a:bodyPr/>
                  <a:lstStyle/>
                  <a:p>
                    <a:pPr>
                      <a:defRPr sz="3175" b="0" i="0" u="none" strike="noStrike" baseline="0">
                        <a:solidFill>
                          <a:srgbClr val="000000"/>
                        </a:solidFill>
                        <a:latin typeface="Arial"/>
                        <a:ea typeface="Arial"/>
                        <a:cs typeface="Arial"/>
                      </a:defRPr>
                    </a:pPr>
                    <a:r>
                      <a:rPr lang="en-US" sz="1150" b="0" i="0" u="none" strike="noStrike" baseline="0">
                        <a:solidFill>
                          <a:srgbClr val="000000"/>
                        </a:solidFill>
                        <a:latin typeface="Arial"/>
                        <a:cs typeface="Arial"/>
                      </a:rPr>
                      <a:t>LM Advanced Blade Design:</a:t>
                    </a:r>
                  </a:p>
                  <a:p>
                    <a:pPr>
                      <a:defRPr sz="3175" b="0" i="0" u="none" strike="noStrike" baseline="0">
                        <a:solidFill>
                          <a:srgbClr val="000000"/>
                        </a:solidFill>
                        <a:latin typeface="Arial"/>
                        <a:ea typeface="Arial"/>
                        <a:cs typeface="Arial"/>
                      </a:defRPr>
                    </a:pPr>
                    <a:r>
                      <a:rPr lang="en-US" sz="1150" b="0" i="0" u="none" strike="noStrike" baseline="0">
                        <a:solidFill>
                          <a:srgbClr val="000000"/>
                        </a:solidFill>
                        <a:latin typeface="Arial"/>
                        <a:cs typeface="Arial"/>
                      </a:rPr>
                      <a:t>y = 0.4948x</a:t>
                    </a:r>
                    <a:r>
                      <a:rPr lang="en-US" sz="1150" b="0" i="0" u="none" strike="noStrike" baseline="30000">
                        <a:solidFill>
                          <a:srgbClr val="000000"/>
                        </a:solidFill>
                        <a:latin typeface="Arial"/>
                        <a:cs typeface="Arial"/>
                      </a:rPr>
                      <a:t>2.53</a:t>
                    </a:r>
                  </a:p>
                </c:rich>
              </c:tx>
              <c:numFmt formatCode="General" sourceLinked="0"/>
              <c:spPr>
                <a:solidFill>
                  <a:srgbClr val="FFFFFF"/>
                </a:solidFill>
                <a:ln w="25400">
                  <a:noFill/>
                </a:ln>
              </c:spPr>
            </c:trendlineLbl>
          </c:trendline>
          <c:xVal>
            <c:numRef>
              <c:f>'Blade Mass &amp; Cost'!$S$61:$S$63</c:f>
              <c:numCache>
                <c:formatCode>General</c:formatCode>
                <c:ptCount val="3"/>
                <c:pt idx="0">
                  <c:v>50</c:v>
                </c:pt>
                <c:pt idx="1">
                  <c:v>55.4</c:v>
                </c:pt>
                <c:pt idx="2">
                  <c:v>63.15</c:v>
                </c:pt>
              </c:numCache>
            </c:numRef>
          </c:xVal>
          <c:yVal>
            <c:numRef>
              <c:f>'Blade Mass &amp; Cost'!$V$61:$V$63</c:f>
              <c:numCache>
                <c:formatCode>General</c:formatCode>
                <c:ptCount val="3"/>
                <c:pt idx="0">
                  <c:v>9796</c:v>
                </c:pt>
                <c:pt idx="1">
                  <c:v>12840</c:v>
                </c:pt>
                <c:pt idx="2">
                  <c:v>17700</c:v>
                </c:pt>
              </c:numCache>
            </c:numRef>
          </c:yVal>
          <c:smooth val="0"/>
        </c:ser>
        <c:ser>
          <c:idx val="14"/>
          <c:order val="12"/>
          <c:tx>
            <c:v>5 MW</c:v>
          </c:tx>
          <c:spPr>
            <a:ln w="28575">
              <a:noFill/>
            </a:ln>
          </c:spPr>
          <c:marker>
            <c:symbol val="circle"/>
            <c:size val="10"/>
            <c:spPr>
              <a:solidFill>
                <a:srgbClr val="14FC1F"/>
              </a:solidFill>
              <a:ln w="9525">
                <a:noFill/>
              </a:ln>
            </c:spPr>
          </c:marker>
          <c:xVal>
            <c:numRef>
              <c:f>'Blade Mass &amp; Cost'!$AL$96</c:f>
              <c:numCache>
                <c:formatCode>General</c:formatCode>
                <c:ptCount val="1"/>
                <c:pt idx="0">
                  <c:v>63</c:v>
                </c:pt>
              </c:numCache>
            </c:numRef>
          </c:xVal>
          <c:yVal>
            <c:numRef>
              <c:f>'Blade Mass &amp; Cost'!$AP$96</c:f>
              <c:numCache>
                <c:formatCode>General</c:formatCode>
                <c:ptCount val="1"/>
                <c:pt idx="0">
                  <c:v>17650.669999999998</c:v>
                </c:pt>
              </c:numCache>
            </c:numRef>
          </c:yVal>
          <c:smooth val="0"/>
        </c:ser>
        <c:ser>
          <c:idx val="11"/>
          <c:order val="13"/>
          <c:tx>
            <c:v>10 MW</c:v>
          </c:tx>
          <c:spPr>
            <a:ln w="28575">
              <a:noFill/>
            </a:ln>
          </c:spPr>
          <c:marker>
            <c:symbol val="triangle"/>
            <c:size val="10"/>
            <c:spPr>
              <a:solidFill>
                <a:srgbClr val="14FC1F"/>
              </a:solidFill>
              <a:ln>
                <a:noFill/>
              </a:ln>
            </c:spPr>
          </c:marker>
          <c:xVal>
            <c:numRef>
              <c:f>'Blade Mass &amp; Cost'!$AL$98</c:f>
              <c:numCache>
                <c:formatCode>General</c:formatCode>
                <c:ptCount val="1"/>
                <c:pt idx="0">
                  <c:v>74.5</c:v>
                </c:pt>
              </c:numCache>
            </c:numRef>
          </c:xVal>
          <c:yVal>
            <c:numRef>
              <c:f>'Blade Mass &amp; Cost'!$AP$98</c:f>
              <c:numCache>
                <c:formatCode>General</c:formatCode>
                <c:ptCount val="1"/>
                <c:pt idx="0">
                  <c:v>26976.47</c:v>
                </c:pt>
              </c:numCache>
            </c:numRef>
          </c:yVal>
          <c:smooth val="0"/>
        </c:ser>
        <c:dLbls>
          <c:showLegendKey val="0"/>
          <c:showVal val="0"/>
          <c:showCatName val="0"/>
          <c:showSerName val="0"/>
          <c:showPercent val="0"/>
          <c:showBubbleSize val="0"/>
        </c:dLbls>
        <c:axId val="136263168"/>
        <c:axId val="136278016"/>
      </c:scatterChart>
      <c:valAx>
        <c:axId val="136263168"/>
        <c:scaling>
          <c:orientation val="minMax"/>
        </c:scaling>
        <c:delete val="0"/>
        <c:axPos val="b"/>
        <c:majorGridlines>
          <c:spPr>
            <a:ln w="3175">
              <a:solidFill>
                <a:srgbClr val="000000"/>
              </a:solidFill>
              <a:prstDash val="sysDash"/>
            </a:ln>
          </c:spPr>
        </c:majorGridlines>
        <c:title>
          <c:tx>
            <c:rich>
              <a:bodyPr/>
              <a:lstStyle/>
              <a:p>
                <a:pPr>
                  <a:defRPr sz="1400" b="1" i="0" u="none" strike="noStrike" baseline="0">
                    <a:solidFill>
                      <a:srgbClr val="000000"/>
                    </a:solidFill>
                    <a:latin typeface="Arial"/>
                    <a:ea typeface="Arial"/>
                    <a:cs typeface="Arial"/>
                  </a:defRPr>
                </a:pPr>
                <a:r>
                  <a:rPr lang="en-US"/>
                  <a:t>Rotor Radius (m)</a:t>
                </a:r>
              </a:p>
            </c:rich>
          </c:tx>
          <c:layout>
            <c:manualLayout>
              <c:xMode val="edge"/>
              <c:yMode val="edge"/>
              <c:x val="0.41490262489415902"/>
              <c:y val="0.94377636530373499"/>
            </c:manualLayout>
          </c:layout>
          <c:overlay val="0"/>
          <c:spPr>
            <a:noFill/>
            <a:ln w="25400">
              <a:noFill/>
            </a:ln>
          </c:spPr>
        </c:title>
        <c:numFmt formatCode="0" sourceLinked="0"/>
        <c:majorTickMark val="cross"/>
        <c:minorTickMark val="in"/>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n-US"/>
          </a:p>
        </c:txPr>
        <c:crossAx val="136278016"/>
        <c:crossesAt val="0"/>
        <c:crossBetween val="midCat"/>
      </c:valAx>
      <c:valAx>
        <c:axId val="136278016"/>
        <c:scaling>
          <c:orientation val="minMax"/>
          <c:min val="0"/>
        </c:scaling>
        <c:delete val="0"/>
        <c:axPos val="l"/>
        <c:majorGridlines>
          <c:spPr>
            <a:ln w="3175">
              <a:solidFill>
                <a:srgbClr val="000000"/>
              </a:solidFill>
              <a:prstDash val="sysDash"/>
            </a:ln>
          </c:spPr>
        </c:majorGridlines>
        <c:title>
          <c:tx>
            <c:rich>
              <a:bodyPr/>
              <a:lstStyle/>
              <a:p>
                <a:pPr>
                  <a:defRPr sz="1400" b="1" i="0" u="none" strike="noStrike" baseline="0">
                    <a:solidFill>
                      <a:srgbClr val="000000"/>
                    </a:solidFill>
                    <a:latin typeface="Arial"/>
                    <a:ea typeface="Arial"/>
                    <a:cs typeface="Arial"/>
                  </a:defRPr>
                </a:pPr>
                <a:r>
                  <a:rPr lang="en-US"/>
                  <a:t>Total Mass (kg)</a:t>
                </a:r>
              </a:p>
            </c:rich>
          </c:tx>
          <c:layout>
            <c:manualLayout>
              <c:xMode val="edge"/>
              <c:yMode val="edge"/>
              <c:x val="6.7739204064352397E-3"/>
              <c:y val="0.40830042830991697"/>
            </c:manualLayout>
          </c:layout>
          <c:overlay val="0"/>
          <c:spPr>
            <a:noFill/>
            <a:ln w="25400">
              <a:noFill/>
            </a:ln>
          </c:spPr>
        </c:title>
        <c:numFmt formatCode="0" sourceLinked="0"/>
        <c:majorTickMark val="cross"/>
        <c:minorTickMark val="in"/>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n-US"/>
          </a:p>
        </c:txPr>
        <c:crossAx val="136263168"/>
        <c:crossesAt val="0"/>
        <c:crossBetween val="midCat"/>
      </c:valAx>
      <c:spPr>
        <a:noFill/>
        <a:ln w="12700">
          <a:solidFill>
            <a:srgbClr val="000000"/>
          </a:solidFill>
          <a:prstDash val="solid"/>
        </a:ln>
      </c:spPr>
    </c:plotArea>
    <c:legend>
      <c:legendPos val="r"/>
      <c:legendEntry>
        <c:idx val="11"/>
        <c:delete val="1"/>
      </c:legendEntry>
      <c:legendEntry>
        <c:idx val="14"/>
        <c:delete val="1"/>
      </c:legendEntry>
      <c:legendEntry>
        <c:idx val="15"/>
        <c:delete val="1"/>
      </c:legendEntry>
      <c:legendEntry>
        <c:idx val="16"/>
        <c:delete val="1"/>
      </c:legendEntry>
      <c:legendEntry>
        <c:idx val="17"/>
        <c:delete val="1"/>
      </c:legendEntry>
      <c:layout>
        <c:manualLayout>
          <c:xMode val="edge"/>
          <c:yMode val="edge"/>
          <c:x val="0.110076206604572"/>
          <c:y val="0.13119157294093201"/>
          <c:w val="0.18979502668009099"/>
          <c:h val="0.42154592121768097"/>
        </c:manualLayout>
      </c:layout>
      <c:overlay val="0"/>
      <c:spPr>
        <a:solidFill>
          <a:srgbClr val="FFFFFF"/>
        </a:solidFill>
        <a:ln w="3175">
          <a:solidFill>
            <a:srgbClr val="000000"/>
          </a:solidFill>
          <a:prstDash val="solid"/>
        </a:ln>
      </c:spPr>
      <c:txPr>
        <a:bodyPr/>
        <a:lstStyle/>
        <a:p>
          <a:pPr>
            <a:defRPr sz="65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31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orientation="landscape"/>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1437066381925"/>
          <c:y val="0.12683578104138901"/>
          <c:w val="0.83601048876436701"/>
          <c:h val="0.75567423230975195"/>
        </c:manualLayout>
      </c:layout>
      <c:scatterChart>
        <c:scatterStyle val="lineMarker"/>
        <c:varyColors val="0"/>
        <c:ser>
          <c:idx val="0"/>
          <c:order val="0"/>
          <c:tx>
            <c:v>WindPACT - Static load design</c:v>
          </c:tx>
          <c:spPr>
            <a:ln w="28575">
              <a:noFill/>
            </a:ln>
          </c:spPr>
          <c:marker>
            <c:symbol val="diamond"/>
            <c:size val="8"/>
            <c:spPr>
              <a:noFill/>
              <a:ln>
                <a:solidFill>
                  <a:srgbClr val="000080"/>
                </a:solidFill>
                <a:prstDash val="solid"/>
              </a:ln>
            </c:spPr>
          </c:marker>
          <c:trendline>
            <c:spPr>
              <a:ln w="25400">
                <a:solidFill>
                  <a:srgbClr val="000000"/>
                </a:solidFill>
                <a:prstDash val="lgDash"/>
              </a:ln>
            </c:spPr>
            <c:trendlineType val="power"/>
            <c:dispRSqr val="0"/>
            <c:dispEq val="1"/>
            <c:trendlineLbl>
              <c:layout>
                <c:manualLayout>
                  <c:x val="-2.1893567624546501E-2"/>
                  <c:y val="1.5655800034341499E-2"/>
                </c:manualLayout>
              </c:layout>
              <c:tx>
                <c:rich>
                  <a:bodyPr/>
                  <a:lstStyle/>
                  <a:p>
                    <a:pPr>
                      <a:defRPr sz="3175" b="0" i="0" u="none" strike="noStrike" baseline="0">
                        <a:solidFill>
                          <a:srgbClr val="000000"/>
                        </a:solidFill>
                        <a:latin typeface="Arial"/>
                        <a:ea typeface="Arial"/>
                        <a:cs typeface="Arial"/>
                      </a:defRPr>
                    </a:pPr>
                    <a:r>
                      <a:rPr lang="en-US" sz="1400" b="0" i="0" u="none" strike="noStrike" baseline="0">
                        <a:solidFill>
                          <a:srgbClr val="000000"/>
                        </a:solidFill>
                        <a:latin typeface="Arial"/>
                        <a:cs typeface="Arial"/>
                      </a:rPr>
                      <a:t>WindPACT Static Load Design:</a:t>
                    </a:r>
                  </a:p>
                  <a:p>
                    <a:pPr>
                      <a:defRPr sz="3175" b="0" i="0" u="none" strike="noStrike" baseline="0">
                        <a:solidFill>
                          <a:srgbClr val="000000"/>
                        </a:solidFill>
                        <a:latin typeface="Arial"/>
                        <a:ea typeface="Arial"/>
                        <a:cs typeface="Arial"/>
                      </a:defRPr>
                    </a:pPr>
                    <a:r>
                      <a:rPr lang="en-US" sz="1400" b="0" i="0" u="none" strike="noStrike" baseline="0">
                        <a:solidFill>
                          <a:srgbClr val="000000"/>
                        </a:solidFill>
                        <a:latin typeface="Arial"/>
                        <a:cs typeface="Arial"/>
                      </a:rPr>
                      <a:t>y = 0.2113x</a:t>
                    </a:r>
                    <a:r>
                      <a:rPr lang="en-US" sz="1400" b="0" i="0" u="none" strike="noStrike" baseline="30000">
                        <a:solidFill>
                          <a:srgbClr val="000000"/>
                        </a:solidFill>
                        <a:latin typeface="Arial"/>
                        <a:cs typeface="Arial"/>
                      </a:rPr>
                      <a:t>2.8833</a:t>
                    </a:r>
                  </a:p>
                </c:rich>
              </c:tx>
              <c:numFmt formatCode="General" sourceLinked="0"/>
              <c:spPr>
                <a:solidFill>
                  <a:srgbClr val="FFFFFF"/>
                </a:solidFill>
                <a:ln w="25400">
                  <a:noFill/>
                </a:ln>
              </c:spPr>
            </c:trendlineLbl>
          </c:trendline>
          <c:xVal>
            <c:numRef>
              <c:f>'Blade Mass &amp; Cost'!$R$27:$R$33</c:f>
              <c:numCache>
                <c:formatCode>0.0</c:formatCode>
                <c:ptCount val="7"/>
                <c:pt idx="0">
                  <c:v>23.3</c:v>
                </c:pt>
                <c:pt idx="1">
                  <c:v>32.9</c:v>
                </c:pt>
                <c:pt idx="2">
                  <c:v>38</c:v>
                </c:pt>
                <c:pt idx="3">
                  <c:v>40.799999999999997</c:v>
                </c:pt>
                <c:pt idx="4">
                  <c:v>46.6</c:v>
                </c:pt>
                <c:pt idx="5">
                  <c:v>53.8</c:v>
                </c:pt>
                <c:pt idx="6">
                  <c:v>60.2</c:v>
                </c:pt>
              </c:numCache>
            </c:numRef>
          </c:xVal>
          <c:yVal>
            <c:numRef>
              <c:f>'Blade Mass &amp; Cost'!$T$27:$T$33</c:f>
              <c:numCache>
                <c:formatCode>General</c:formatCode>
                <c:ptCount val="7"/>
                <c:pt idx="0">
                  <c:v>1851</c:v>
                </c:pt>
                <c:pt idx="1">
                  <c:v>5017</c:v>
                </c:pt>
                <c:pt idx="2">
                  <c:v>7597</c:v>
                </c:pt>
                <c:pt idx="3">
                  <c:v>9284</c:v>
                </c:pt>
                <c:pt idx="4">
                  <c:v>13629</c:v>
                </c:pt>
                <c:pt idx="5">
                  <c:v>20685</c:v>
                </c:pt>
                <c:pt idx="6">
                  <c:v>28626</c:v>
                </c:pt>
              </c:numCache>
            </c:numRef>
          </c:yVal>
          <c:smooth val="0"/>
        </c:ser>
        <c:ser>
          <c:idx val="12"/>
          <c:order val="1"/>
          <c:tx>
            <c:v>TPI - baseline design</c:v>
          </c:tx>
          <c:spPr>
            <a:ln w="28575">
              <a:noFill/>
            </a:ln>
          </c:spPr>
          <c:marker>
            <c:symbol val="circle"/>
            <c:size val="8"/>
            <c:spPr>
              <a:noFill/>
              <a:ln>
                <a:solidFill>
                  <a:srgbClr val="008000"/>
                </a:solidFill>
                <a:prstDash val="solid"/>
              </a:ln>
            </c:spPr>
          </c:marker>
          <c:xVal>
            <c:numRef>
              <c:f>'Blade Mass &amp; Cost'!$B$64:$B$65</c:f>
              <c:numCache>
                <c:formatCode>General</c:formatCode>
                <c:ptCount val="2"/>
                <c:pt idx="0">
                  <c:v>32</c:v>
                </c:pt>
                <c:pt idx="1">
                  <c:v>52</c:v>
                </c:pt>
              </c:numCache>
            </c:numRef>
          </c:xVal>
          <c:yVal>
            <c:numRef>
              <c:f>'Blade Mass &amp; Cost'!$I$57:$I$58</c:f>
              <c:numCache>
                <c:formatCode>0</c:formatCode>
                <c:ptCount val="2"/>
                <c:pt idx="0">
                  <c:v>4108</c:v>
                </c:pt>
                <c:pt idx="1">
                  <c:v>18856</c:v>
                </c:pt>
              </c:numCache>
            </c:numRef>
          </c:yVal>
          <c:smooth val="0"/>
        </c:ser>
        <c:ser>
          <c:idx val="5"/>
          <c:order val="2"/>
          <c:tx>
            <c:v>WindPACT - Baseline design</c:v>
          </c:tx>
          <c:spPr>
            <a:ln w="28575">
              <a:noFill/>
            </a:ln>
          </c:spPr>
          <c:marker>
            <c:symbol val="diamond"/>
            <c:size val="8"/>
            <c:spPr>
              <a:noFill/>
              <a:ln>
                <a:solidFill>
                  <a:srgbClr val="0000FF"/>
                </a:solidFill>
                <a:prstDash val="solid"/>
              </a:ln>
            </c:spPr>
          </c:marker>
          <c:trendline>
            <c:spPr>
              <a:ln w="25400">
                <a:solidFill>
                  <a:srgbClr val="000000"/>
                </a:solidFill>
                <a:prstDash val="lgDash"/>
              </a:ln>
            </c:spPr>
            <c:trendlineType val="power"/>
            <c:dispRSqr val="0"/>
            <c:dispEq val="1"/>
            <c:trendlineLbl>
              <c:layout>
                <c:manualLayout>
                  <c:x val="-0.195589208724363"/>
                  <c:y val="0.13342248106837201"/>
                </c:manualLayout>
              </c:layout>
              <c:tx>
                <c:rich>
                  <a:bodyPr/>
                  <a:lstStyle/>
                  <a:p>
                    <a:pPr>
                      <a:defRPr sz="3175" b="0" i="0" u="none" strike="noStrike" baseline="0">
                        <a:solidFill>
                          <a:srgbClr val="000000"/>
                        </a:solidFill>
                        <a:latin typeface="Arial"/>
                        <a:ea typeface="Arial"/>
                        <a:cs typeface="Arial"/>
                      </a:defRPr>
                    </a:pPr>
                    <a:r>
                      <a:rPr lang="en-US" sz="1400" b="0" i="0" u="none" strike="noStrike" baseline="0">
                        <a:solidFill>
                          <a:srgbClr val="000000"/>
                        </a:solidFill>
                        <a:latin typeface="Arial"/>
                        <a:cs typeface="Arial"/>
                      </a:rPr>
                      <a:t>WindPACT Baseline Design:</a:t>
                    </a:r>
                  </a:p>
                  <a:p>
                    <a:pPr>
                      <a:defRPr sz="3175" b="0" i="0" u="none" strike="noStrike" baseline="0">
                        <a:solidFill>
                          <a:srgbClr val="000000"/>
                        </a:solidFill>
                        <a:latin typeface="Arial"/>
                        <a:ea typeface="Arial"/>
                        <a:cs typeface="Arial"/>
                      </a:defRPr>
                    </a:pPr>
                    <a:r>
                      <a:rPr lang="en-US" sz="1400" b="0" i="0" u="none" strike="noStrike" baseline="0">
                        <a:solidFill>
                          <a:srgbClr val="000000"/>
                        </a:solidFill>
                        <a:latin typeface="Arial"/>
                        <a:cs typeface="Arial"/>
                      </a:rPr>
                      <a:t>y = 0.1452x</a:t>
                    </a:r>
                    <a:r>
                      <a:rPr lang="en-US" sz="1400" b="0" i="0" u="none" strike="noStrike" baseline="30000">
                        <a:solidFill>
                          <a:srgbClr val="000000"/>
                        </a:solidFill>
                        <a:latin typeface="Arial"/>
                        <a:cs typeface="Arial"/>
                      </a:rPr>
                      <a:t>2.9158</a:t>
                    </a:r>
                  </a:p>
                </c:rich>
              </c:tx>
              <c:numFmt formatCode="General" sourceLinked="0"/>
              <c:spPr>
                <a:solidFill>
                  <a:srgbClr val="FFFFFF"/>
                </a:solidFill>
                <a:ln w="25400">
                  <a:noFill/>
                </a:ln>
              </c:spPr>
            </c:trendlineLbl>
          </c:trendline>
          <c:xVal>
            <c:numRef>
              <c:f>'Blade Mass &amp; Cost'!$R$80:$R$83</c:f>
              <c:numCache>
                <c:formatCode>General</c:formatCode>
                <c:ptCount val="4"/>
                <c:pt idx="0">
                  <c:v>25</c:v>
                </c:pt>
                <c:pt idx="1">
                  <c:v>35</c:v>
                </c:pt>
                <c:pt idx="2">
                  <c:v>49.5</c:v>
                </c:pt>
                <c:pt idx="3">
                  <c:v>64</c:v>
                </c:pt>
              </c:numCache>
            </c:numRef>
          </c:xVal>
          <c:yVal>
            <c:numRef>
              <c:f>'Blade Mass &amp; Cost'!$T$80:$T$83</c:f>
              <c:numCache>
                <c:formatCode>General</c:formatCode>
                <c:ptCount val="4"/>
                <c:pt idx="0">
                  <c:v>1818</c:v>
                </c:pt>
                <c:pt idx="1">
                  <c:v>4230</c:v>
                </c:pt>
                <c:pt idx="2">
                  <c:v>12936</c:v>
                </c:pt>
                <c:pt idx="3">
                  <c:v>27239</c:v>
                </c:pt>
              </c:numCache>
            </c:numRef>
          </c:yVal>
          <c:smooth val="0"/>
        </c:ser>
        <c:ser>
          <c:idx val="6"/>
          <c:order val="3"/>
          <c:tx>
            <c:v>WindPACT - Final design</c:v>
          </c:tx>
          <c:spPr>
            <a:ln w="28575">
              <a:noFill/>
            </a:ln>
          </c:spPr>
          <c:marker>
            <c:symbol val="diamond"/>
            <c:size val="8"/>
            <c:spPr>
              <a:noFill/>
              <a:ln>
                <a:solidFill>
                  <a:srgbClr val="FF0000"/>
                </a:solidFill>
                <a:prstDash val="solid"/>
              </a:ln>
            </c:spPr>
          </c:marker>
          <c:trendline>
            <c:spPr>
              <a:ln w="25400">
                <a:solidFill>
                  <a:srgbClr val="000000"/>
                </a:solidFill>
                <a:prstDash val="lgDash"/>
              </a:ln>
            </c:spPr>
            <c:trendlineType val="power"/>
            <c:dispRSqr val="0"/>
            <c:dispEq val="1"/>
            <c:trendlineLbl>
              <c:layout>
                <c:manualLayout>
                  <c:x val="0.23612493276756699"/>
                  <c:y val="5.5501894038946398E-2"/>
                </c:manualLayout>
              </c:layout>
              <c:tx>
                <c:rich>
                  <a:bodyPr/>
                  <a:lstStyle/>
                  <a:p>
                    <a:pPr>
                      <a:defRPr sz="3175" b="0" i="0" u="none" strike="noStrike" baseline="0">
                        <a:solidFill>
                          <a:srgbClr val="000000"/>
                        </a:solidFill>
                        <a:latin typeface="Arial"/>
                        <a:ea typeface="Arial"/>
                        <a:cs typeface="Arial"/>
                      </a:defRPr>
                    </a:pPr>
                    <a:r>
                      <a:rPr lang="en-US" sz="1400" b="0" i="0" u="none" strike="noStrike" baseline="0">
                        <a:solidFill>
                          <a:srgbClr val="000000"/>
                        </a:solidFill>
                        <a:latin typeface="Arial"/>
                        <a:cs typeface="Arial"/>
                      </a:rPr>
                      <a:t>WindPACT Final Design:</a:t>
                    </a:r>
                  </a:p>
                  <a:p>
                    <a:pPr>
                      <a:defRPr sz="3175" b="0" i="0" u="none" strike="noStrike" baseline="0">
                        <a:solidFill>
                          <a:srgbClr val="000000"/>
                        </a:solidFill>
                        <a:latin typeface="Arial"/>
                        <a:ea typeface="Arial"/>
                        <a:cs typeface="Arial"/>
                      </a:defRPr>
                    </a:pPr>
                    <a:r>
                      <a:rPr lang="en-US" sz="1400" b="0" i="0" u="none" strike="noStrike" baseline="0">
                        <a:solidFill>
                          <a:srgbClr val="000000"/>
                        </a:solidFill>
                        <a:latin typeface="Arial"/>
                        <a:cs typeface="Arial"/>
                      </a:rPr>
                      <a:t>y = 0.1527x</a:t>
                    </a:r>
                    <a:r>
                      <a:rPr lang="en-US" sz="1400" b="0" i="0" u="none" strike="noStrike" baseline="30000">
                        <a:solidFill>
                          <a:srgbClr val="000000"/>
                        </a:solidFill>
                        <a:latin typeface="Arial"/>
                        <a:cs typeface="Arial"/>
                      </a:rPr>
                      <a:t>2.6921</a:t>
                    </a:r>
                  </a:p>
                </c:rich>
              </c:tx>
              <c:numFmt formatCode="General" sourceLinked="0"/>
              <c:spPr>
                <a:solidFill>
                  <a:srgbClr val="FFFFFF"/>
                </a:solidFill>
                <a:ln w="25400">
                  <a:noFill/>
                </a:ln>
              </c:spPr>
            </c:trendlineLbl>
          </c:trendline>
          <c:xVal>
            <c:numRef>
              <c:f>'Blade Mass &amp; Cost'!$R$80:$R$83</c:f>
              <c:numCache>
                <c:formatCode>General</c:formatCode>
                <c:ptCount val="4"/>
                <c:pt idx="0">
                  <c:v>25</c:v>
                </c:pt>
                <c:pt idx="1">
                  <c:v>35</c:v>
                </c:pt>
                <c:pt idx="2">
                  <c:v>49.5</c:v>
                </c:pt>
                <c:pt idx="3">
                  <c:v>64</c:v>
                </c:pt>
              </c:numCache>
            </c:numRef>
          </c:xVal>
          <c:yVal>
            <c:numRef>
              <c:f>'Blade Mass &amp; Cost'!$W$80:$W$82</c:f>
              <c:numCache>
                <c:formatCode>General</c:formatCode>
                <c:ptCount val="3"/>
                <c:pt idx="0">
                  <c:v>868</c:v>
                </c:pt>
                <c:pt idx="1">
                  <c:v>2281</c:v>
                </c:pt>
                <c:pt idx="2">
                  <c:v>5463</c:v>
                </c:pt>
              </c:numCache>
            </c:numRef>
          </c:yVal>
          <c:smooth val="0"/>
        </c:ser>
        <c:ser>
          <c:idx val="2"/>
          <c:order val="4"/>
          <c:tx>
            <c:v>LM Glasfiber Blades</c:v>
          </c:tx>
          <c:spPr>
            <a:ln w="28575">
              <a:noFill/>
            </a:ln>
          </c:spPr>
          <c:marker>
            <c:symbol val="square"/>
            <c:size val="8"/>
            <c:spPr>
              <a:solidFill>
                <a:srgbClr val="FF00FF"/>
              </a:solidFill>
              <a:ln>
                <a:solidFill>
                  <a:srgbClr val="FF00FF"/>
                </a:solidFill>
                <a:prstDash val="solid"/>
              </a:ln>
            </c:spPr>
          </c:marker>
          <c:xVal>
            <c:numRef>
              <c:f>'Blade Mass &amp; Cost'!$S$58:$S$63</c:f>
              <c:numCache>
                <c:formatCode>General</c:formatCode>
                <c:ptCount val="6"/>
                <c:pt idx="0">
                  <c:v>40</c:v>
                </c:pt>
                <c:pt idx="1">
                  <c:v>45</c:v>
                </c:pt>
                <c:pt idx="2">
                  <c:v>46</c:v>
                </c:pt>
                <c:pt idx="3">
                  <c:v>50</c:v>
                </c:pt>
                <c:pt idx="4">
                  <c:v>55.4</c:v>
                </c:pt>
                <c:pt idx="5">
                  <c:v>63.15</c:v>
                </c:pt>
              </c:numCache>
            </c:numRef>
          </c:xVal>
          <c:yVal>
            <c:numRef>
              <c:f>'Blade Mass &amp; Cost'!$V$58:$V$63</c:f>
              <c:numCache>
                <c:formatCode>General</c:formatCode>
                <c:ptCount val="6"/>
                <c:pt idx="0">
                  <c:v>8700</c:v>
                </c:pt>
                <c:pt idx="1">
                  <c:v>10400</c:v>
                </c:pt>
                <c:pt idx="2">
                  <c:v>9980</c:v>
                </c:pt>
                <c:pt idx="3">
                  <c:v>9796</c:v>
                </c:pt>
                <c:pt idx="4">
                  <c:v>12840</c:v>
                </c:pt>
                <c:pt idx="5">
                  <c:v>17700</c:v>
                </c:pt>
              </c:numCache>
            </c:numRef>
          </c:yVal>
          <c:smooth val="0"/>
        </c:ser>
        <c:ser>
          <c:idx val="4"/>
          <c:order val="5"/>
          <c:tx>
            <c:v>Gamesa</c:v>
          </c:tx>
          <c:spPr>
            <a:ln w="28575">
              <a:noFill/>
            </a:ln>
          </c:spPr>
          <c:marker>
            <c:symbol val="square"/>
            <c:size val="8"/>
            <c:spPr>
              <a:solidFill>
                <a:srgbClr val="FF6600"/>
              </a:solidFill>
              <a:ln>
                <a:solidFill>
                  <a:srgbClr val="FF6600"/>
                </a:solidFill>
                <a:prstDash val="solid"/>
              </a:ln>
            </c:spPr>
          </c:marker>
          <c:xVal>
            <c:numRef>
              <c:f>'Blade Mass &amp; Cost'!$S$103:$S$108</c:f>
              <c:numCache>
                <c:formatCode>General</c:formatCode>
                <c:ptCount val="6"/>
                <c:pt idx="0">
                  <c:v>25.3</c:v>
                </c:pt>
                <c:pt idx="1">
                  <c:v>28.3</c:v>
                </c:pt>
                <c:pt idx="2">
                  <c:v>39</c:v>
                </c:pt>
                <c:pt idx="3">
                  <c:v>40.5</c:v>
                </c:pt>
                <c:pt idx="4">
                  <c:v>42.5</c:v>
                </c:pt>
                <c:pt idx="5">
                  <c:v>44</c:v>
                </c:pt>
              </c:numCache>
            </c:numRef>
          </c:xVal>
          <c:yVal>
            <c:numRef>
              <c:f>'Blade Mass &amp; Cost'!$U$103:$U$108</c:f>
              <c:numCache>
                <c:formatCode>#,##0.000</c:formatCode>
                <c:ptCount val="6"/>
                <c:pt idx="0">
                  <c:v>1900</c:v>
                </c:pt>
                <c:pt idx="1">
                  <c:v>2400</c:v>
                </c:pt>
                <c:pt idx="2">
                  <c:v>6500</c:v>
                </c:pt>
                <c:pt idx="3">
                  <c:v>7300</c:v>
                </c:pt>
                <c:pt idx="4">
                  <c:v>6150</c:v>
                </c:pt>
                <c:pt idx="5">
                  <c:v>5800</c:v>
                </c:pt>
              </c:numCache>
            </c:numRef>
          </c:yVal>
          <c:smooth val="0"/>
        </c:ser>
        <c:ser>
          <c:idx val="8"/>
          <c:order val="6"/>
          <c:tx>
            <c:v>Offshore 5 MW Turbines</c:v>
          </c:tx>
          <c:spPr>
            <a:ln w="28575">
              <a:noFill/>
            </a:ln>
          </c:spPr>
          <c:marker>
            <c:symbol val="square"/>
            <c:size val="8"/>
            <c:spPr>
              <a:solidFill>
                <a:srgbClr val="FFCC00"/>
              </a:solidFill>
              <a:ln>
                <a:solidFill>
                  <a:srgbClr val="FFCC00"/>
                </a:solidFill>
                <a:prstDash val="solid"/>
              </a:ln>
            </c:spPr>
          </c:marker>
          <c:xVal>
            <c:numRef>
              <c:f>'Blade Mass &amp; Cost'!$S$97:$S$98</c:f>
              <c:numCache>
                <c:formatCode>General</c:formatCode>
                <c:ptCount val="2"/>
                <c:pt idx="0">
                  <c:v>58</c:v>
                </c:pt>
                <c:pt idx="1">
                  <c:v>63</c:v>
                </c:pt>
              </c:numCache>
            </c:numRef>
          </c:xVal>
          <c:yVal>
            <c:numRef>
              <c:f>'Blade Mass &amp; Cost'!$U$97:$U$98</c:f>
              <c:numCache>
                <c:formatCode>#,##0.000</c:formatCode>
                <c:ptCount val="2"/>
                <c:pt idx="0">
                  <c:v>16500</c:v>
                </c:pt>
                <c:pt idx="1">
                  <c:v>17740</c:v>
                </c:pt>
              </c:numCache>
            </c:numRef>
          </c:yVal>
          <c:smooth val="0"/>
        </c:ser>
        <c:ser>
          <c:idx val="1"/>
          <c:order val="7"/>
          <c:tx>
            <c:v>WindPACT - Commercial Data</c:v>
          </c:tx>
          <c:spPr>
            <a:ln w="28575">
              <a:noFill/>
            </a:ln>
          </c:spPr>
          <c:marker>
            <c:symbol val="square"/>
            <c:size val="8"/>
            <c:spPr>
              <a:solidFill>
                <a:srgbClr val="C0C0C0"/>
              </a:solidFill>
              <a:ln>
                <a:solidFill>
                  <a:srgbClr val="C0C0C0"/>
                </a:solidFill>
                <a:prstDash val="solid"/>
              </a:ln>
            </c:spPr>
          </c:marker>
          <c:xVal>
            <c:numRef>
              <c:f>'Blade Mass &amp; Cost'!$R$38:$R$53</c:f>
              <c:numCache>
                <c:formatCode>0.0</c:formatCode>
                <c:ptCount val="16"/>
                <c:pt idx="0">
                  <c:v>22.105263157894736</c:v>
                </c:pt>
                <c:pt idx="1">
                  <c:v>22.631578947368421</c:v>
                </c:pt>
                <c:pt idx="2">
                  <c:v>23.263157894736846</c:v>
                </c:pt>
                <c:pt idx="3" formatCode="General">
                  <c:v>23.5</c:v>
                </c:pt>
                <c:pt idx="4">
                  <c:v>24.526315789473685</c:v>
                </c:pt>
                <c:pt idx="5">
                  <c:v>25</c:v>
                </c:pt>
                <c:pt idx="6">
                  <c:v>25.368421052631582</c:v>
                </c:pt>
                <c:pt idx="7">
                  <c:v>25.368421052631582</c:v>
                </c:pt>
                <c:pt idx="8">
                  <c:v>27.473684210526319</c:v>
                </c:pt>
                <c:pt idx="9">
                  <c:v>33</c:v>
                </c:pt>
                <c:pt idx="10">
                  <c:v>35</c:v>
                </c:pt>
                <c:pt idx="11">
                  <c:v>35</c:v>
                </c:pt>
                <c:pt idx="12">
                  <c:v>35.578947368421048</c:v>
                </c:pt>
                <c:pt idx="13">
                  <c:v>35.789473684210527</c:v>
                </c:pt>
                <c:pt idx="14">
                  <c:v>39.263157894736842</c:v>
                </c:pt>
                <c:pt idx="15">
                  <c:v>40.84210526315789</c:v>
                </c:pt>
              </c:numCache>
            </c:numRef>
          </c:xVal>
          <c:yVal>
            <c:numRef>
              <c:f>'Blade Mass &amp; Cost'!$T$38:$T$53</c:f>
              <c:numCache>
                <c:formatCode>General</c:formatCode>
                <c:ptCount val="16"/>
                <c:pt idx="0">
                  <c:v>2100</c:v>
                </c:pt>
                <c:pt idx="1">
                  <c:v>2650</c:v>
                </c:pt>
                <c:pt idx="2">
                  <c:v>1600</c:v>
                </c:pt>
                <c:pt idx="3">
                  <c:v>1450</c:v>
                </c:pt>
                <c:pt idx="4">
                  <c:v>2800</c:v>
                </c:pt>
                <c:pt idx="5">
                  <c:v>3540</c:v>
                </c:pt>
                <c:pt idx="6">
                  <c:v>2400</c:v>
                </c:pt>
                <c:pt idx="7">
                  <c:v>2600</c:v>
                </c:pt>
                <c:pt idx="8">
                  <c:v>4000</c:v>
                </c:pt>
                <c:pt idx="9">
                  <c:v>3850</c:v>
                </c:pt>
                <c:pt idx="10">
                  <c:v>5600</c:v>
                </c:pt>
                <c:pt idx="11">
                  <c:v>6800</c:v>
                </c:pt>
                <c:pt idx="12">
                  <c:v>7800</c:v>
                </c:pt>
                <c:pt idx="13">
                  <c:v>5600</c:v>
                </c:pt>
                <c:pt idx="14">
                  <c:v>6035</c:v>
                </c:pt>
                <c:pt idx="15">
                  <c:v>8500</c:v>
                </c:pt>
              </c:numCache>
            </c:numRef>
          </c:yVal>
          <c:smooth val="0"/>
        </c:ser>
        <c:ser>
          <c:idx val="3"/>
          <c:order val="8"/>
          <c:tx>
            <c:v>TPI Innovative Concept Blades</c:v>
          </c:tx>
          <c:spPr>
            <a:ln w="28575">
              <a:noFill/>
            </a:ln>
          </c:spPr>
          <c:marker>
            <c:symbol val="triangle"/>
            <c:size val="8"/>
            <c:spPr>
              <a:noFill/>
              <a:ln>
                <a:solidFill>
                  <a:srgbClr val="000000"/>
                </a:solidFill>
                <a:prstDash val="solid"/>
              </a:ln>
            </c:spPr>
          </c:marker>
          <c:xVal>
            <c:numRef>
              <c:f>'Blade Mass &amp; Cost'!$S$69:$S$72</c:f>
              <c:numCache>
                <c:formatCode>General</c:formatCode>
                <c:ptCount val="4"/>
                <c:pt idx="0">
                  <c:v>52</c:v>
                </c:pt>
                <c:pt idx="1">
                  <c:v>52</c:v>
                </c:pt>
                <c:pt idx="2">
                  <c:v>52</c:v>
                </c:pt>
                <c:pt idx="3">
                  <c:v>52</c:v>
                </c:pt>
              </c:numCache>
            </c:numRef>
          </c:xVal>
          <c:yVal>
            <c:numRef>
              <c:f>'Blade Mass &amp; Cost'!$U$69:$U$72</c:f>
              <c:numCache>
                <c:formatCode>General</c:formatCode>
                <c:ptCount val="4"/>
                <c:pt idx="0">
                  <c:v>9082.636363636364</c:v>
                </c:pt>
                <c:pt idx="1">
                  <c:v>8203.636363636364</c:v>
                </c:pt>
                <c:pt idx="2">
                  <c:v>10307.181818181818</c:v>
                </c:pt>
                <c:pt idx="3">
                  <c:v>9428.2727272727279</c:v>
                </c:pt>
              </c:numCache>
            </c:numRef>
          </c:yVal>
          <c:smooth val="0"/>
        </c:ser>
        <c:ser>
          <c:idx val="7"/>
          <c:order val="9"/>
          <c:tx>
            <c:v>Offshore 5 MW models</c:v>
          </c:tx>
          <c:spPr>
            <a:ln w="28575">
              <a:noFill/>
            </a:ln>
          </c:spPr>
          <c:marker>
            <c:symbol val="triangle"/>
            <c:size val="8"/>
            <c:spPr>
              <a:noFill/>
              <a:ln>
                <a:solidFill>
                  <a:srgbClr val="FF6600"/>
                </a:solidFill>
                <a:prstDash val="solid"/>
              </a:ln>
            </c:spPr>
          </c:marker>
          <c:xVal>
            <c:numRef>
              <c:f>'Blade Mass &amp; Cost'!$S$93:$S$96</c:f>
              <c:numCache>
                <c:formatCode>General</c:formatCode>
                <c:ptCount val="4"/>
                <c:pt idx="0">
                  <c:v>60</c:v>
                </c:pt>
                <c:pt idx="1">
                  <c:v>64</c:v>
                </c:pt>
                <c:pt idx="2">
                  <c:v>59</c:v>
                </c:pt>
                <c:pt idx="3">
                  <c:v>64.5</c:v>
                </c:pt>
              </c:numCache>
            </c:numRef>
          </c:xVal>
          <c:yVal>
            <c:numRef>
              <c:f>'Blade Mass &amp; Cost'!$U$93:$U$96</c:f>
              <c:numCache>
                <c:formatCode>#,##0.000</c:formatCode>
                <c:ptCount val="4"/>
                <c:pt idx="0">
                  <c:v>21170</c:v>
                </c:pt>
                <c:pt idx="1">
                  <c:v>27812</c:v>
                </c:pt>
                <c:pt idx="2">
                  <c:v>13813</c:v>
                </c:pt>
                <c:pt idx="3">
                  <c:v>17905</c:v>
                </c:pt>
              </c:numCache>
            </c:numRef>
          </c:yVal>
          <c:smooth val="0"/>
        </c:ser>
        <c:ser>
          <c:idx val="9"/>
          <c:order val="10"/>
          <c:spPr>
            <a:ln w="28575">
              <a:noFill/>
            </a:ln>
          </c:spPr>
          <c:marker>
            <c:symbol val="dot"/>
            <c:size val="2"/>
            <c:spPr>
              <a:solidFill>
                <a:srgbClr val="FF00FF"/>
              </a:solidFill>
              <a:ln>
                <a:solidFill>
                  <a:srgbClr val="FF00FF"/>
                </a:solidFill>
                <a:prstDash val="solid"/>
              </a:ln>
            </c:spPr>
          </c:marker>
          <c:trendline>
            <c:spPr>
              <a:ln w="25400">
                <a:solidFill>
                  <a:srgbClr val="000000"/>
                </a:solidFill>
                <a:prstDash val="lgDash"/>
              </a:ln>
            </c:spPr>
            <c:trendlineType val="power"/>
            <c:dispRSqr val="0"/>
            <c:dispEq val="1"/>
            <c:trendlineLbl>
              <c:layout>
                <c:manualLayout>
                  <c:x val="-0.254195076586825"/>
                  <c:y val="5.4203645105109499E-2"/>
                </c:manualLayout>
              </c:layout>
              <c:tx>
                <c:rich>
                  <a:bodyPr/>
                  <a:lstStyle/>
                  <a:p>
                    <a:pPr>
                      <a:defRPr sz="3175" b="0" i="0" u="none" strike="noStrike" baseline="0">
                        <a:solidFill>
                          <a:srgbClr val="000000"/>
                        </a:solidFill>
                        <a:latin typeface="Arial"/>
                        <a:ea typeface="Arial"/>
                        <a:cs typeface="Arial"/>
                      </a:defRPr>
                    </a:pPr>
                    <a:r>
                      <a:rPr lang="en-US" sz="1400" b="0" i="0" u="none" strike="noStrike" baseline="0">
                        <a:solidFill>
                          <a:srgbClr val="000000"/>
                        </a:solidFill>
                        <a:latin typeface="Arial"/>
                        <a:cs typeface="Arial"/>
                      </a:rPr>
                      <a:t>LM Advanced Blade Design:</a:t>
                    </a:r>
                  </a:p>
                  <a:p>
                    <a:pPr>
                      <a:defRPr sz="3175" b="0" i="0" u="none" strike="noStrike" baseline="0">
                        <a:solidFill>
                          <a:srgbClr val="000000"/>
                        </a:solidFill>
                        <a:latin typeface="Arial"/>
                        <a:ea typeface="Arial"/>
                        <a:cs typeface="Arial"/>
                      </a:defRPr>
                    </a:pPr>
                    <a:r>
                      <a:rPr lang="en-US" sz="1400" b="0" i="0" u="none" strike="noStrike" baseline="0">
                        <a:solidFill>
                          <a:srgbClr val="000000"/>
                        </a:solidFill>
                        <a:latin typeface="Arial"/>
                        <a:cs typeface="Arial"/>
                      </a:rPr>
                      <a:t>y = 0.4948x</a:t>
                    </a:r>
                    <a:r>
                      <a:rPr lang="en-US" sz="1400" b="0" i="0" u="none" strike="noStrike" baseline="30000">
                        <a:solidFill>
                          <a:srgbClr val="000000"/>
                        </a:solidFill>
                        <a:latin typeface="Arial"/>
                        <a:cs typeface="Arial"/>
                      </a:rPr>
                      <a:t>2.53</a:t>
                    </a:r>
                  </a:p>
                </c:rich>
              </c:tx>
              <c:numFmt formatCode="General" sourceLinked="0"/>
              <c:spPr>
                <a:solidFill>
                  <a:srgbClr val="FFFFFF"/>
                </a:solidFill>
                <a:ln w="25400">
                  <a:noFill/>
                </a:ln>
              </c:spPr>
            </c:trendlineLbl>
          </c:trendline>
          <c:xVal>
            <c:numRef>
              <c:f>'Blade Mass &amp; Cost'!$S$61:$S$63</c:f>
              <c:numCache>
                <c:formatCode>General</c:formatCode>
                <c:ptCount val="3"/>
                <c:pt idx="0">
                  <c:v>50</c:v>
                </c:pt>
                <c:pt idx="1">
                  <c:v>55.4</c:v>
                </c:pt>
                <c:pt idx="2">
                  <c:v>63.15</c:v>
                </c:pt>
              </c:numCache>
            </c:numRef>
          </c:xVal>
          <c:yVal>
            <c:numRef>
              <c:f>'Blade Mass &amp; Cost'!$V$61:$V$63</c:f>
              <c:numCache>
                <c:formatCode>General</c:formatCode>
                <c:ptCount val="3"/>
                <c:pt idx="0">
                  <c:v>9796</c:v>
                </c:pt>
                <c:pt idx="1">
                  <c:v>12840</c:v>
                </c:pt>
                <c:pt idx="2">
                  <c:v>17700</c:v>
                </c:pt>
              </c:numCache>
            </c:numRef>
          </c:yVal>
          <c:smooth val="0"/>
        </c:ser>
        <c:dLbls>
          <c:showLegendKey val="0"/>
          <c:showVal val="0"/>
          <c:showCatName val="0"/>
          <c:showSerName val="0"/>
          <c:showPercent val="0"/>
          <c:showBubbleSize val="0"/>
        </c:dLbls>
        <c:axId val="136698880"/>
        <c:axId val="136705152"/>
      </c:scatterChart>
      <c:valAx>
        <c:axId val="136698880"/>
        <c:scaling>
          <c:orientation val="minMax"/>
        </c:scaling>
        <c:delete val="0"/>
        <c:axPos val="b"/>
        <c:majorGridlines>
          <c:spPr>
            <a:ln w="3175">
              <a:solidFill>
                <a:srgbClr val="000000"/>
              </a:solidFill>
              <a:prstDash val="sysDash"/>
            </a:ln>
          </c:spPr>
        </c:majorGridlines>
        <c:title>
          <c:tx>
            <c:rich>
              <a:bodyPr/>
              <a:lstStyle/>
              <a:p>
                <a:pPr>
                  <a:defRPr sz="1600" b="1" i="0" u="none" strike="noStrike" baseline="0">
                    <a:solidFill>
                      <a:srgbClr val="000000"/>
                    </a:solidFill>
                    <a:latin typeface="Arial"/>
                    <a:ea typeface="Arial"/>
                    <a:cs typeface="Arial"/>
                  </a:defRPr>
                </a:pPr>
                <a:r>
                  <a:t>Rotor Radius (m)</a:t>
                </a:r>
              </a:p>
            </c:rich>
          </c:tx>
          <c:layout>
            <c:manualLayout>
              <c:xMode val="edge"/>
              <c:yMode val="edge"/>
              <c:x val="0.41082012677409602"/>
              <c:y val="0.94392523364486502"/>
            </c:manualLayout>
          </c:layout>
          <c:overlay val="0"/>
          <c:spPr>
            <a:noFill/>
            <a:ln w="25400">
              <a:noFill/>
            </a:ln>
          </c:spPr>
        </c:title>
        <c:numFmt formatCode="0" sourceLinked="0"/>
        <c:majorTickMark val="cross"/>
        <c:minorTickMark val="in"/>
        <c:tickLblPos val="nextTo"/>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36705152"/>
        <c:crossesAt val="0"/>
        <c:crossBetween val="midCat"/>
      </c:valAx>
      <c:valAx>
        <c:axId val="136705152"/>
        <c:scaling>
          <c:orientation val="minMax"/>
          <c:min val="0"/>
        </c:scaling>
        <c:delete val="0"/>
        <c:axPos val="l"/>
        <c:majorGridlines>
          <c:spPr>
            <a:ln w="3175">
              <a:solidFill>
                <a:srgbClr val="000000"/>
              </a:solidFill>
              <a:prstDash val="sysDash"/>
            </a:ln>
          </c:spPr>
        </c:majorGridlines>
        <c:title>
          <c:tx>
            <c:rich>
              <a:bodyPr/>
              <a:lstStyle/>
              <a:p>
                <a:pPr>
                  <a:defRPr sz="1600" b="1" i="0" u="none" strike="noStrike" baseline="0">
                    <a:solidFill>
                      <a:srgbClr val="000000"/>
                    </a:solidFill>
                    <a:latin typeface="Arial"/>
                    <a:ea typeface="Arial"/>
                    <a:cs typeface="Arial"/>
                  </a:defRPr>
                </a:pPr>
                <a:r>
                  <a:t>Mass (kg)</a:t>
                </a:r>
              </a:p>
            </c:rich>
          </c:tx>
          <c:layout>
            <c:manualLayout>
              <c:xMode val="edge"/>
              <c:yMode val="edge"/>
              <c:x val="4.2265426880811804E-3"/>
              <c:y val="0.43524699599466299"/>
            </c:manualLayout>
          </c:layout>
          <c:overlay val="0"/>
          <c:spPr>
            <a:noFill/>
            <a:ln w="25400">
              <a:noFill/>
            </a:ln>
          </c:spPr>
        </c:title>
        <c:numFmt formatCode="0" sourceLinked="0"/>
        <c:majorTickMark val="cross"/>
        <c:minorTickMark val="in"/>
        <c:tickLblPos val="nextTo"/>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36698880"/>
        <c:crossesAt val="0"/>
        <c:crossBetween val="midCat"/>
      </c:valAx>
      <c:spPr>
        <a:noFill/>
        <a:ln w="12700">
          <a:solidFill>
            <a:srgbClr val="000000"/>
          </a:solidFill>
          <a:prstDash val="solid"/>
        </a:ln>
      </c:spPr>
    </c:plotArea>
    <c:legend>
      <c:legendPos val="r"/>
      <c:legendEntry>
        <c:idx val="10"/>
        <c:delete val="1"/>
      </c:legendEntry>
      <c:legendEntry>
        <c:idx val="11"/>
        <c:delete val="1"/>
      </c:legendEntry>
      <c:legendEntry>
        <c:idx val="12"/>
        <c:delete val="1"/>
      </c:legendEntry>
      <c:legendEntry>
        <c:idx val="13"/>
        <c:delete val="1"/>
      </c:legendEntry>
      <c:legendEntry>
        <c:idx val="14"/>
        <c:delete val="1"/>
      </c:legendEntry>
      <c:layout>
        <c:manualLayout>
          <c:xMode val="edge"/>
          <c:yMode val="edge"/>
          <c:wMode val="edge"/>
          <c:hMode val="edge"/>
          <c:x val="0.11411674132449399"/>
          <c:y val="0.132176234979973"/>
          <c:w val="0.38207963649514198"/>
          <c:h val="0.447263017356475"/>
        </c:manualLayout>
      </c:layout>
      <c:overlay val="0"/>
      <c:spPr>
        <a:solidFill>
          <a:srgbClr val="FFFFFF"/>
        </a:solidFill>
        <a:ln w="3175">
          <a:solidFill>
            <a:srgbClr val="000000"/>
          </a:solidFill>
          <a:prstDash val="solid"/>
        </a:ln>
      </c:spPr>
      <c:txPr>
        <a:bodyPr/>
        <a:lstStyle/>
        <a:p>
          <a:pPr>
            <a:defRPr sz="77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31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090047887722"/>
          <c:y val="0.12903242743041701"/>
          <c:w val="0.83852010885924599"/>
          <c:h val="0.75000098443929697"/>
        </c:manualLayout>
      </c:layout>
      <c:scatterChart>
        <c:scatterStyle val="lineMarker"/>
        <c:varyColors val="0"/>
        <c:ser>
          <c:idx val="1"/>
          <c:order val="0"/>
          <c:tx>
            <c:v>LWST Total Blade Cost</c:v>
          </c:tx>
          <c:spPr>
            <a:ln w="28575">
              <a:noFill/>
            </a:ln>
          </c:spPr>
          <c:marker>
            <c:symbol val="square"/>
            <c:size val="7"/>
            <c:spPr>
              <a:solidFill>
                <a:srgbClr val="FF00FF"/>
              </a:solidFill>
              <a:ln>
                <a:solidFill>
                  <a:srgbClr val="FF00FF"/>
                </a:solidFill>
                <a:prstDash val="solid"/>
              </a:ln>
            </c:spPr>
          </c:marker>
          <c:xVal>
            <c:numRef>
              <c:f>'Blade Mass &amp; Cost'!$B$71:$B$73</c:f>
              <c:numCache>
                <c:formatCode>General</c:formatCode>
                <c:ptCount val="3"/>
                <c:pt idx="0">
                  <c:v>32</c:v>
                </c:pt>
                <c:pt idx="1">
                  <c:v>52</c:v>
                </c:pt>
                <c:pt idx="2">
                  <c:v>72</c:v>
                </c:pt>
              </c:numCache>
            </c:numRef>
          </c:xVal>
          <c:yVal>
            <c:numRef>
              <c:f>'Blade Mass &amp; Cost'!$G$71:$G$73</c:f>
              <c:numCache>
                <c:formatCode>_("$"* #,##0_);_("$"* \(#,##0\);_("$"* "-"??_);_(@_)</c:formatCode>
                <c:ptCount val="3"/>
                <c:pt idx="0">
                  <c:v>37383.10607706794</c:v>
                </c:pt>
                <c:pt idx="1">
                  <c:v>143914.13043478262</c:v>
                </c:pt>
                <c:pt idx="2">
                  <c:v>362754.52946350042</c:v>
                </c:pt>
              </c:numCache>
            </c:numRef>
          </c:yVal>
          <c:smooth val="0"/>
        </c:ser>
        <c:ser>
          <c:idx val="6"/>
          <c:order val="1"/>
          <c:tx>
            <c:v>Baseline Total Blade Cost Curve</c:v>
          </c:tx>
          <c:spPr>
            <a:ln w="28575">
              <a:noFill/>
            </a:ln>
          </c:spPr>
          <c:marker>
            <c:symbol val="dot"/>
            <c:size val="2"/>
            <c:spPr>
              <a:noFill/>
              <a:ln w="9525">
                <a:noFill/>
              </a:ln>
            </c:spPr>
          </c:marker>
          <c:trendline>
            <c:spPr>
              <a:ln w="38100">
                <a:solidFill>
                  <a:srgbClr val="0000FF"/>
                </a:solidFill>
                <a:prstDash val="solid"/>
              </a:ln>
            </c:spPr>
            <c:trendlineType val="power"/>
            <c:dispRSqr val="0"/>
            <c:dispEq val="0"/>
          </c:trendline>
          <c:xVal>
            <c:numRef>
              <c:f>'Blade Mass &amp; Cost'!$B$71:$B$73</c:f>
              <c:numCache>
                <c:formatCode>General</c:formatCode>
                <c:ptCount val="3"/>
                <c:pt idx="0">
                  <c:v>32</c:v>
                </c:pt>
                <c:pt idx="1">
                  <c:v>52</c:v>
                </c:pt>
                <c:pt idx="2">
                  <c:v>72</c:v>
                </c:pt>
              </c:numCache>
            </c:numRef>
          </c:xVal>
          <c:yVal>
            <c:numRef>
              <c:f>'Blade Mass &amp; Cost'!$I$71:$I$73</c:f>
              <c:numCache>
                <c:formatCode>_("$"* #,##0_);_("$"* \(#,##0\);_("$"* "-"??_);_(@_)</c:formatCode>
                <c:ptCount val="3"/>
                <c:pt idx="0">
                  <c:v>39340.235606123468</c:v>
                </c:pt>
                <c:pt idx="1">
                  <c:v>152625.93551660361</c:v>
                </c:pt>
                <c:pt idx="2">
                  <c:v>377489.95316964627</c:v>
                </c:pt>
              </c:numCache>
            </c:numRef>
          </c:yVal>
          <c:smooth val="0"/>
        </c:ser>
        <c:ser>
          <c:idx val="8"/>
          <c:order val="2"/>
          <c:tx>
            <c:v>Advanced Total Blade Cost Curve</c:v>
          </c:tx>
          <c:spPr>
            <a:ln w="28575">
              <a:noFill/>
            </a:ln>
          </c:spPr>
          <c:marker>
            <c:symbol val="dot"/>
            <c:size val="2"/>
            <c:spPr>
              <a:noFill/>
              <a:ln>
                <a:solidFill>
                  <a:srgbClr val="FF0000"/>
                </a:solidFill>
                <a:prstDash val="solid"/>
              </a:ln>
            </c:spPr>
          </c:marker>
          <c:trendline>
            <c:spPr>
              <a:ln w="38100">
                <a:solidFill>
                  <a:srgbClr val="FF0000"/>
                </a:solidFill>
                <a:prstDash val="solid"/>
              </a:ln>
            </c:spPr>
            <c:trendlineType val="power"/>
            <c:dispRSqr val="0"/>
            <c:dispEq val="0"/>
          </c:trendline>
          <c:xVal>
            <c:numRef>
              <c:f>'Blade Mass &amp; Cost'!$L$71:$L$73</c:f>
              <c:numCache>
                <c:formatCode>General</c:formatCode>
                <c:ptCount val="3"/>
                <c:pt idx="0">
                  <c:v>50</c:v>
                </c:pt>
                <c:pt idx="1">
                  <c:v>52</c:v>
                </c:pt>
                <c:pt idx="2">
                  <c:v>72</c:v>
                </c:pt>
              </c:numCache>
            </c:numRef>
          </c:xVal>
          <c:yVal>
            <c:numRef>
              <c:f>'Blade Mass &amp; Cost'!$O$71:$O$73</c:f>
              <c:numCache>
                <c:formatCode>_("$"* #,##0_);_("$"* \(#,##0\);_("$"* "-"??_);_(@_)</c:formatCode>
                <c:ptCount val="3"/>
                <c:pt idx="0">
                  <c:v>108871.23666344967</c:v>
                </c:pt>
                <c:pt idx="1">
                  <c:v>124642.64549351986</c:v>
                </c:pt>
                <c:pt idx="2">
                  <c:v>349506.66314656241</c:v>
                </c:pt>
              </c:numCache>
            </c:numRef>
          </c:yVal>
          <c:smooth val="0"/>
        </c:ser>
        <c:ser>
          <c:idx val="2"/>
          <c:order val="3"/>
          <c:tx>
            <c:v>LWST Labor Cost</c:v>
          </c:tx>
          <c:spPr>
            <a:ln w="28575">
              <a:noFill/>
            </a:ln>
          </c:spPr>
          <c:marker>
            <c:symbol val="diamond"/>
            <c:size val="8"/>
            <c:spPr>
              <a:solidFill>
                <a:srgbClr val="008080"/>
              </a:solidFill>
              <a:ln>
                <a:solidFill>
                  <a:srgbClr val="008080"/>
                </a:solidFill>
                <a:prstDash val="solid"/>
              </a:ln>
            </c:spPr>
          </c:marker>
          <c:trendline>
            <c:spPr>
              <a:ln w="25400">
                <a:solidFill>
                  <a:srgbClr val="008080"/>
                </a:solidFill>
                <a:prstDash val="lgDash"/>
              </a:ln>
            </c:spPr>
            <c:trendlineType val="power"/>
            <c:dispRSqr val="0"/>
            <c:dispEq val="1"/>
            <c:trendlineLbl>
              <c:layout>
                <c:manualLayout>
                  <c:x val="-0.44408773593832002"/>
                  <c:y val="3.3597389960193902E-2"/>
                </c:manualLayout>
              </c:layout>
              <c:tx>
                <c:rich>
                  <a:bodyPr/>
                  <a:lstStyle/>
                  <a:p>
                    <a:pPr>
                      <a:defRPr sz="1525" b="0" i="0" u="none" strike="noStrike" baseline="0">
                        <a:solidFill>
                          <a:srgbClr val="000000"/>
                        </a:solidFill>
                        <a:latin typeface="Arial"/>
                        <a:ea typeface="Arial"/>
                        <a:cs typeface="Arial"/>
                      </a:defRPr>
                    </a:pPr>
                    <a:r>
                      <a:rPr lang="en-US" sz="1400" b="0" i="0" u="none" strike="noStrike" baseline="0">
                        <a:solidFill>
                          <a:srgbClr val="000000"/>
                        </a:solidFill>
                        <a:latin typeface="Arial"/>
                        <a:cs typeface="Arial"/>
                      </a:rPr>
                      <a:t>Labor Costs</a:t>
                    </a:r>
                  </a:p>
                  <a:p>
                    <a:pPr>
                      <a:defRPr sz="1525" b="0" i="0" u="none" strike="noStrike" baseline="0">
                        <a:solidFill>
                          <a:srgbClr val="000000"/>
                        </a:solidFill>
                        <a:latin typeface="Arial"/>
                        <a:ea typeface="Arial"/>
                        <a:cs typeface="Arial"/>
                      </a:defRPr>
                    </a:pPr>
                    <a:r>
                      <a:rPr lang="en-US" sz="1400" b="0" i="0" u="none" strike="noStrike" baseline="0">
                        <a:solidFill>
                          <a:srgbClr val="000000"/>
                        </a:solidFill>
                        <a:latin typeface="Arial"/>
                        <a:cs typeface="Arial"/>
                      </a:rPr>
                      <a:t>$ = 2.7445R</a:t>
                    </a:r>
                    <a:r>
                      <a:rPr lang="en-US" sz="1400" b="0" i="0" u="none" strike="noStrike" baseline="30000">
                        <a:solidFill>
                          <a:srgbClr val="000000"/>
                        </a:solidFill>
                        <a:latin typeface="Arial"/>
                        <a:cs typeface="Arial"/>
                      </a:rPr>
                      <a:t>2.5025</a:t>
                    </a:r>
                  </a:p>
                </c:rich>
              </c:tx>
              <c:numFmt formatCode="General" sourceLinked="0"/>
              <c:spPr>
                <a:solidFill>
                  <a:srgbClr val="FFFFFF"/>
                </a:solidFill>
                <a:ln w="25400">
                  <a:noFill/>
                </a:ln>
              </c:spPr>
            </c:trendlineLbl>
          </c:trendline>
          <c:xVal>
            <c:numRef>
              <c:f>'Blade Mass &amp; Cost'!$B$71:$B$73</c:f>
              <c:numCache>
                <c:formatCode>General</c:formatCode>
                <c:ptCount val="3"/>
                <c:pt idx="0">
                  <c:v>32</c:v>
                </c:pt>
                <c:pt idx="1">
                  <c:v>52</c:v>
                </c:pt>
                <c:pt idx="2">
                  <c:v>72</c:v>
                </c:pt>
              </c:numCache>
            </c:numRef>
          </c:xVal>
          <c:yVal>
            <c:numRef>
              <c:f>'Blade Mass &amp; Cost'!$E$71:$E$73</c:f>
              <c:numCache>
                <c:formatCode>_("$"* #,##0_);_("$"* \(#,##0\);_("$"* "-"??_);_(@_)</c:formatCode>
                <c:ptCount val="3"/>
                <c:pt idx="0">
                  <c:v>14674.836375488918</c:v>
                </c:pt>
                <c:pt idx="1">
                  <c:v>48095.17391304348</c:v>
                </c:pt>
                <c:pt idx="2">
                  <c:v>112104.2612137203</c:v>
                </c:pt>
              </c:numCache>
            </c:numRef>
          </c:yVal>
          <c:smooth val="0"/>
        </c:ser>
        <c:ser>
          <c:idx val="0"/>
          <c:order val="4"/>
          <c:tx>
            <c:v>LWST Baseline Blade Material Cost</c:v>
          </c:tx>
          <c:spPr>
            <a:ln w="28575">
              <a:noFill/>
            </a:ln>
          </c:spPr>
          <c:marker>
            <c:symbol val="diamond"/>
            <c:size val="7"/>
            <c:spPr>
              <a:solidFill>
                <a:srgbClr val="0000FF"/>
              </a:solidFill>
              <a:ln>
                <a:solidFill>
                  <a:srgbClr val="0000FF"/>
                </a:solidFill>
                <a:prstDash val="solid"/>
              </a:ln>
            </c:spPr>
          </c:marker>
          <c:trendline>
            <c:spPr>
              <a:ln w="25400">
                <a:solidFill>
                  <a:srgbClr val="0000FF"/>
                </a:solidFill>
                <a:prstDash val="lgDash"/>
              </a:ln>
            </c:spPr>
            <c:trendlineType val="power"/>
            <c:dispRSqr val="0"/>
            <c:dispEq val="1"/>
            <c:trendlineLbl>
              <c:layout>
                <c:manualLayout>
                  <c:x val="9.0367172356146205E-2"/>
                  <c:y val="-5.1478171702765703E-2"/>
                </c:manualLayout>
              </c:layout>
              <c:tx>
                <c:rich>
                  <a:bodyPr/>
                  <a:lstStyle/>
                  <a:p>
                    <a:pPr>
                      <a:defRPr sz="1400" b="0" i="0" u="none" strike="noStrike" baseline="0">
                        <a:solidFill>
                          <a:srgbClr val="000000"/>
                        </a:solidFill>
                        <a:latin typeface="Arial"/>
                        <a:ea typeface="Arial"/>
                        <a:cs typeface="Arial"/>
                      </a:defRPr>
                    </a:pPr>
                    <a:r>
                      <a:t>Baseline Material Cost:
2005 $ = 0.03930R^3-933.96</a:t>
                    </a:r>
                  </a:p>
                </c:rich>
              </c:tx>
              <c:numFmt formatCode="General" sourceLinked="0"/>
              <c:spPr>
                <a:solidFill>
                  <a:srgbClr val="FFFFFF"/>
                </a:solidFill>
                <a:ln w="25400">
                  <a:noFill/>
                </a:ln>
              </c:spPr>
            </c:trendlineLbl>
          </c:trendline>
          <c:xVal>
            <c:numRef>
              <c:f>'Blade Mass &amp; Cost'!$B$71:$B$73</c:f>
              <c:numCache>
                <c:formatCode>General</c:formatCode>
                <c:ptCount val="3"/>
                <c:pt idx="0">
                  <c:v>32</c:v>
                </c:pt>
                <c:pt idx="1">
                  <c:v>52</c:v>
                </c:pt>
                <c:pt idx="2">
                  <c:v>72</c:v>
                </c:pt>
              </c:numCache>
            </c:numRef>
          </c:xVal>
          <c:yVal>
            <c:numRef>
              <c:f>'Blade Mass &amp; Cost'!$D$71:$D$73</c:f>
              <c:numCache>
                <c:formatCode>_("$"* #,##0_);_("$"* \(#,##0\);_("$"* "-"??_);_(@_)</c:formatCode>
                <c:ptCount val="3"/>
                <c:pt idx="0">
                  <c:v>12241</c:v>
                </c:pt>
                <c:pt idx="1">
                  <c:v>55523</c:v>
                </c:pt>
                <c:pt idx="2">
                  <c:v>149079</c:v>
                </c:pt>
              </c:numCache>
            </c:numRef>
          </c:yVal>
          <c:smooth val="0"/>
        </c:ser>
        <c:ser>
          <c:idx val="4"/>
          <c:order val="5"/>
          <c:tx>
            <c:v>LWST Advanced Blade Material Cost</c:v>
          </c:tx>
          <c:spPr>
            <a:ln w="28575">
              <a:noFill/>
            </a:ln>
          </c:spPr>
          <c:marker>
            <c:symbol val="diamond"/>
            <c:size val="8"/>
            <c:spPr>
              <a:solidFill>
                <a:srgbClr val="FF0000"/>
              </a:solidFill>
              <a:ln>
                <a:solidFill>
                  <a:srgbClr val="FF0000"/>
                </a:solidFill>
                <a:prstDash val="solid"/>
              </a:ln>
            </c:spPr>
          </c:marker>
          <c:xVal>
            <c:numRef>
              <c:f>'Blade Mass &amp; Cost'!$S$69:$S$72</c:f>
              <c:numCache>
                <c:formatCode>General</c:formatCode>
                <c:ptCount val="4"/>
                <c:pt idx="0">
                  <c:v>52</c:v>
                </c:pt>
                <c:pt idx="1">
                  <c:v>52</c:v>
                </c:pt>
                <c:pt idx="2">
                  <c:v>52</c:v>
                </c:pt>
                <c:pt idx="3">
                  <c:v>52</c:v>
                </c:pt>
              </c:numCache>
            </c:numRef>
          </c:xVal>
          <c:yVal>
            <c:numRef>
              <c:f>'Blade Mass &amp; Cost'!$W$69:$W$72</c:f>
              <c:numCache>
                <c:formatCode>_("$"* #,##0_);_("$"* \(#,##0\);_("$"* "-"??_);_(@_)</c:formatCode>
                <c:ptCount val="4"/>
                <c:pt idx="0">
                  <c:v>33500.939616000003</c:v>
                </c:pt>
                <c:pt idx="1">
                  <c:v>37257.657301200001</c:v>
                </c:pt>
                <c:pt idx="2">
                  <c:v>35312.539339800001</c:v>
                </c:pt>
                <c:pt idx="3">
                  <c:v>39069.257024999999</c:v>
                </c:pt>
              </c:numCache>
            </c:numRef>
          </c:yVal>
          <c:smooth val="0"/>
        </c:ser>
        <c:ser>
          <c:idx val="5"/>
          <c:order val="6"/>
          <c:tx>
            <c:v>WindPACT Blade Cost 2002 $</c:v>
          </c:tx>
          <c:spPr>
            <a:ln w="28575">
              <a:noFill/>
            </a:ln>
          </c:spPr>
          <c:marker>
            <c:symbol val="square"/>
            <c:size val="8"/>
            <c:spPr>
              <a:solidFill>
                <a:srgbClr val="800000"/>
              </a:solidFill>
              <a:ln>
                <a:solidFill>
                  <a:srgbClr val="800000"/>
                </a:solidFill>
                <a:prstDash val="solid"/>
              </a:ln>
            </c:spPr>
          </c:marker>
          <c:trendline>
            <c:spPr>
              <a:ln w="25400">
                <a:solidFill>
                  <a:srgbClr val="993300"/>
                </a:solidFill>
                <a:prstDash val="lgDash"/>
              </a:ln>
            </c:spPr>
            <c:trendlineType val="power"/>
            <c:dispRSqr val="0"/>
            <c:dispEq val="1"/>
            <c:trendlineLbl>
              <c:layout>
                <c:manualLayout>
                  <c:x val="-1.1214843321626501E-3"/>
                  <c:y val="-6.7602226329615905E-2"/>
                </c:manualLayout>
              </c:layout>
              <c:tx>
                <c:rich>
                  <a:bodyPr/>
                  <a:lstStyle/>
                  <a:p>
                    <a:pPr>
                      <a:defRPr sz="1525" b="0" i="0" u="none" strike="noStrike" baseline="0">
                        <a:solidFill>
                          <a:srgbClr val="000000"/>
                        </a:solidFill>
                        <a:latin typeface="Arial"/>
                        <a:ea typeface="Arial"/>
                        <a:cs typeface="Arial"/>
                      </a:defRPr>
                    </a:pPr>
                    <a:r>
                      <a:rPr lang="en-US" sz="1400" b="0" i="0" u="none" strike="noStrike" baseline="0">
                        <a:solidFill>
                          <a:srgbClr val="000000"/>
                        </a:solidFill>
                        <a:latin typeface="Arial"/>
                        <a:cs typeface="Arial"/>
                      </a:rPr>
                      <a:t>WindPACT Blade Cost:</a:t>
                    </a:r>
                  </a:p>
                  <a:p>
                    <a:pPr>
                      <a:defRPr sz="1525" b="0" i="0" u="none" strike="noStrike" baseline="0">
                        <a:solidFill>
                          <a:srgbClr val="000000"/>
                        </a:solidFill>
                        <a:latin typeface="Arial"/>
                        <a:ea typeface="Arial"/>
                        <a:cs typeface="Arial"/>
                      </a:defRPr>
                    </a:pPr>
                    <a:r>
                      <a:rPr lang="en-US" sz="1400" b="0" i="0" u="none" strike="noStrike" baseline="0">
                        <a:solidFill>
                          <a:srgbClr val="000000"/>
                        </a:solidFill>
                        <a:latin typeface="Arial"/>
                        <a:cs typeface="Arial"/>
                      </a:rPr>
                      <a:t>2002$ = 3.1225R</a:t>
                    </a:r>
                    <a:r>
                      <a:rPr lang="en-US" sz="1400" b="0" i="0" u="none" strike="noStrike" baseline="30000">
                        <a:solidFill>
                          <a:srgbClr val="000000"/>
                        </a:solidFill>
                        <a:latin typeface="Arial"/>
                        <a:cs typeface="Arial"/>
                      </a:rPr>
                      <a:t>2.879</a:t>
                    </a:r>
                  </a:p>
                </c:rich>
              </c:tx>
              <c:numFmt formatCode="General" sourceLinked="0"/>
              <c:spPr>
                <a:solidFill>
                  <a:srgbClr val="FFFFFF"/>
                </a:solidFill>
                <a:ln w="25400">
                  <a:noFill/>
                </a:ln>
              </c:spPr>
            </c:trendlineLbl>
          </c:trendline>
          <c:xVal>
            <c:numRef>
              <c:f>'Blade Mass &amp; Cost'!$C$81:$C$84</c:f>
              <c:numCache>
                <c:formatCode>General</c:formatCode>
                <c:ptCount val="4"/>
                <c:pt idx="0">
                  <c:v>25</c:v>
                </c:pt>
                <c:pt idx="1">
                  <c:v>35</c:v>
                </c:pt>
                <c:pt idx="2">
                  <c:v>49.5</c:v>
                </c:pt>
                <c:pt idx="3">
                  <c:v>64</c:v>
                </c:pt>
              </c:numCache>
            </c:numRef>
          </c:xVal>
          <c:yVal>
            <c:numRef>
              <c:f>'Blade Mass &amp; Cost'!$D$81:$D$84</c:f>
              <c:numCache>
                <c:formatCode>_("$"* #,##0_);_("$"* \(#,##0\);_("$"* "-"??_);_(@_)</c:formatCode>
                <c:ptCount val="4"/>
                <c:pt idx="0">
                  <c:v>21358</c:v>
                </c:pt>
                <c:pt idx="1">
                  <c:v>49263.666666666664</c:v>
                </c:pt>
                <c:pt idx="2">
                  <c:v>145821.33333333334</c:v>
                </c:pt>
                <c:pt idx="3">
                  <c:v>301967.66666666669</c:v>
                </c:pt>
              </c:numCache>
            </c:numRef>
          </c:yVal>
          <c:smooth val="0"/>
        </c:ser>
        <c:ser>
          <c:idx val="3"/>
          <c:order val="7"/>
          <c:tx>
            <c:v>Manufacturer quotes - not 2005 $</c:v>
          </c:tx>
          <c:spPr>
            <a:ln w="28575">
              <a:noFill/>
            </a:ln>
          </c:spPr>
          <c:marker>
            <c:symbol val="circle"/>
            <c:size val="8"/>
            <c:spPr>
              <a:solidFill>
                <a:srgbClr val="0000FF"/>
              </a:solidFill>
              <a:ln>
                <a:solidFill>
                  <a:srgbClr val="0000FF"/>
                </a:solidFill>
                <a:prstDash val="solid"/>
              </a:ln>
            </c:spPr>
          </c:marker>
          <c:xVal>
            <c:numRef>
              <c:f>'Blade Mass &amp; Cost'!$C$88:$C$90</c:f>
              <c:numCache>
                <c:formatCode>General</c:formatCode>
                <c:ptCount val="3"/>
                <c:pt idx="0">
                  <c:v>46.5</c:v>
                </c:pt>
                <c:pt idx="1">
                  <c:v>44.75</c:v>
                </c:pt>
                <c:pt idx="2">
                  <c:v>46.25</c:v>
                </c:pt>
              </c:numCache>
            </c:numRef>
          </c:xVal>
          <c:yVal>
            <c:numRef>
              <c:f>'Blade Mass &amp; Cost'!$D$88:$D$90</c:f>
              <c:numCache>
                <c:formatCode>_("$"* #,##0_);_("$"* \(#,##0\);_("$"* "-"??_);_(@_)</c:formatCode>
                <c:ptCount val="3"/>
                <c:pt idx="0">
                  <c:v>99900</c:v>
                </c:pt>
                <c:pt idx="1">
                  <c:v>136960</c:v>
                </c:pt>
                <c:pt idx="2">
                  <c:v>130896.66666666667</c:v>
                </c:pt>
              </c:numCache>
            </c:numRef>
          </c:yVal>
          <c:smooth val="0"/>
        </c:ser>
        <c:ser>
          <c:idx val="7"/>
          <c:order val="8"/>
          <c:tx>
            <c:v>Advanced blade material cost</c:v>
          </c:tx>
          <c:spPr>
            <a:ln w="28575">
              <a:noFill/>
            </a:ln>
          </c:spPr>
          <c:marker>
            <c:symbol val="square"/>
            <c:size val="2"/>
            <c:spPr>
              <a:solidFill>
                <a:srgbClr val="FF0000"/>
              </a:solidFill>
              <a:ln>
                <a:solidFill>
                  <a:srgbClr val="FF0000"/>
                </a:solidFill>
                <a:prstDash val="solid"/>
              </a:ln>
            </c:spPr>
          </c:marker>
          <c:trendline>
            <c:spPr>
              <a:ln w="25400">
                <a:solidFill>
                  <a:srgbClr val="FF0000"/>
                </a:solidFill>
                <a:prstDash val="lgDash"/>
              </a:ln>
            </c:spPr>
            <c:trendlineType val="power"/>
            <c:dispRSqr val="1"/>
            <c:dispEq val="1"/>
            <c:trendlineLbl>
              <c:layout>
                <c:manualLayout>
                  <c:x val="6.1087651952480101E-2"/>
                  <c:y val="0.19053148215059501"/>
                </c:manualLayout>
              </c:layout>
              <c:tx>
                <c:rich>
                  <a:bodyPr/>
                  <a:lstStyle/>
                  <a:p>
                    <a:pPr>
                      <a:defRPr sz="1400" b="0" i="0" u="none" strike="noStrike" baseline="0">
                        <a:solidFill>
                          <a:srgbClr val="000000"/>
                        </a:solidFill>
                        <a:latin typeface="Arial"/>
                        <a:ea typeface="Arial"/>
                        <a:cs typeface="Arial"/>
                      </a:defRPr>
                    </a:pPr>
                    <a:r>
                      <a:t>Advanced Material Cost:
2005$ = 0.0.3930R^3 - 18800</a:t>
                    </a:r>
                  </a:p>
                </c:rich>
              </c:tx>
              <c:numFmt formatCode="General" sourceLinked="0"/>
              <c:spPr>
                <a:solidFill>
                  <a:srgbClr val="FFFFFF"/>
                </a:solidFill>
                <a:ln w="25400">
                  <a:noFill/>
                </a:ln>
              </c:spPr>
            </c:trendlineLbl>
          </c:trendline>
          <c:xVal>
            <c:numRef>
              <c:f>'Blade Mass &amp; Cost'!$L$71:$L$73</c:f>
              <c:numCache>
                <c:formatCode>General</c:formatCode>
                <c:ptCount val="3"/>
                <c:pt idx="0">
                  <c:v>50</c:v>
                </c:pt>
                <c:pt idx="1">
                  <c:v>52</c:v>
                </c:pt>
                <c:pt idx="2">
                  <c:v>72</c:v>
                </c:pt>
              </c:numCache>
            </c:numRef>
          </c:xVal>
          <c:yVal>
            <c:numRef>
              <c:f>'Blade Mass &amp; Cost'!$N$71:$N$73</c:f>
              <c:numCache>
                <c:formatCode>_("$"* #,##0.00_);_("$"* \(#,##0.00\);_("$"* "-"??_);_(@_)</c:formatCode>
                <c:ptCount val="3"/>
                <c:pt idx="0">
                  <c:v>29191.151583413506</c:v>
                </c:pt>
                <c:pt idx="1">
                  <c:v>35464.59334031833</c:v>
                </c:pt>
                <c:pt idx="2">
                  <c:v>128971.35207470701</c:v>
                </c:pt>
              </c:numCache>
            </c:numRef>
          </c:yVal>
          <c:smooth val="0"/>
        </c:ser>
        <c:dLbls>
          <c:showLegendKey val="0"/>
          <c:showVal val="0"/>
          <c:showCatName val="0"/>
          <c:showSerName val="0"/>
          <c:showPercent val="0"/>
          <c:showBubbleSize val="0"/>
        </c:dLbls>
        <c:axId val="136425856"/>
        <c:axId val="136427776"/>
      </c:scatterChart>
      <c:valAx>
        <c:axId val="136425856"/>
        <c:scaling>
          <c:orientation val="minMax"/>
        </c:scaling>
        <c:delete val="0"/>
        <c:axPos val="b"/>
        <c:majorGridlines>
          <c:spPr>
            <a:ln w="3175">
              <a:solidFill>
                <a:srgbClr val="000000"/>
              </a:solidFill>
              <a:prstDash val="solid"/>
            </a:ln>
          </c:spPr>
        </c:majorGridlines>
        <c:title>
          <c:tx>
            <c:rich>
              <a:bodyPr/>
              <a:lstStyle/>
              <a:p>
                <a:pPr>
                  <a:defRPr sz="1625" b="1" i="0" u="none" strike="noStrike" baseline="0">
                    <a:solidFill>
                      <a:srgbClr val="000000"/>
                    </a:solidFill>
                    <a:latin typeface="Arial"/>
                    <a:ea typeface="Arial"/>
                    <a:cs typeface="Arial"/>
                  </a:defRPr>
                </a:pPr>
                <a:r>
                  <a:t>Rotor Radius (m)</a:t>
                </a:r>
              </a:p>
            </c:rich>
          </c:tx>
          <c:layout>
            <c:manualLayout>
              <c:xMode val="edge"/>
              <c:yMode val="edge"/>
              <c:x val="0.48107671150021503"/>
              <c:y val="0.9435496570993170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625" b="1" i="0" u="none" strike="noStrike" baseline="0">
                <a:solidFill>
                  <a:srgbClr val="000000"/>
                </a:solidFill>
                <a:latin typeface="Arial"/>
                <a:ea typeface="Arial"/>
                <a:cs typeface="Arial"/>
              </a:defRPr>
            </a:pPr>
            <a:endParaRPr lang="en-US"/>
          </a:p>
        </c:txPr>
        <c:crossAx val="136427776"/>
        <c:crosses val="autoZero"/>
        <c:crossBetween val="midCat"/>
      </c:valAx>
      <c:valAx>
        <c:axId val="136427776"/>
        <c:scaling>
          <c:orientation val="minMax"/>
        </c:scaling>
        <c:delete val="0"/>
        <c:axPos val="l"/>
        <c:majorGridlines>
          <c:spPr>
            <a:ln w="3175">
              <a:solidFill>
                <a:srgbClr val="000000"/>
              </a:solidFill>
              <a:prstDash val="solid"/>
            </a:ln>
          </c:spPr>
        </c:majorGridlines>
        <c:title>
          <c:tx>
            <c:rich>
              <a:bodyPr/>
              <a:lstStyle/>
              <a:p>
                <a:pPr>
                  <a:defRPr sz="1625" b="1" i="0" u="none" strike="noStrike" baseline="0">
                    <a:solidFill>
                      <a:srgbClr val="000000"/>
                    </a:solidFill>
                    <a:latin typeface="Arial"/>
                    <a:ea typeface="Arial"/>
                    <a:cs typeface="Arial"/>
                  </a:defRPr>
                </a:pPr>
                <a:r>
                  <a:t>Cost (2005 $)</a:t>
                </a:r>
              </a:p>
            </c:rich>
          </c:tx>
          <c:layout>
            <c:manualLayout>
              <c:xMode val="edge"/>
              <c:yMode val="edge"/>
              <c:x val="4.2052144659377698E-3"/>
              <c:y val="0.40994680100471498"/>
            </c:manualLayout>
          </c:layout>
          <c:overlay val="0"/>
          <c:spPr>
            <a:noFill/>
            <a:ln w="25400">
              <a:noFill/>
            </a:ln>
          </c:spPr>
        </c:title>
        <c:numFmt formatCode="_(&quot;$&quot;* #,##0_);_(&quot;$&quot;* \(#,##0\);_(&quot;$&quot;* &quot;-&quot;??_);_(@_)" sourceLinked="1"/>
        <c:majorTickMark val="out"/>
        <c:minorTickMark val="none"/>
        <c:tickLblPos val="nextTo"/>
        <c:spPr>
          <a:ln w="3175">
            <a:solidFill>
              <a:srgbClr val="000000"/>
            </a:solidFill>
            <a:prstDash val="solid"/>
          </a:ln>
        </c:spPr>
        <c:txPr>
          <a:bodyPr rot="0" vert="horz"/>
          <a:lstStyle/>
          <a:p>
            <a:pPr>
              <a:defRPr sz="1625" b="1" i="0" u="none" strike="noStrike" baseline="0">
                <a:solidFill>
                  <a:srgbClr val="000000"/>
                </a:solidFill>
                <a:latin typeface="Arial"/>
                <a:ea typeface="Arial"/>
                <a:cs typeface="Arial"/>
              </a:defRPr>
            </a:pPr>
            <a:endParaRPr lang="en-US"/>
          </a:p>
        </c:txPr>
        <c:crossAx val="136425856"/>
        <c:crosses val="autoZero"/>
        <c:crossBetween val="midCat"/>
      </c:valAx>
      <c:spPr>
        <a:noFill/>
        <a:ln w="25400">
          <a:noFill/>
        </a:ln>
      </c:spPr>
    </c:plotArea>
    <c:legend>
      <c:legendPos val="r"/>
      <c:legendEntry>
        <c:idx val="1"/>
        <c:delete val="1"/>
      </c:legendEntry>
      <c:legendEntry>
        <c:idx val="2"/>
        <c:delete val="1"/>
      </c:legendEntry>
      <c:legendEntry>
        <c:idx val="8"/>
        <c:delete val="1"/>
      </c:legendEntry>
      <c:legendEntry>
        <c:idx val="9"/>
        <c:delete val="1"/>
      </c:legendEntry>
      <c:legendEntry>
        <c:idx val="10"/>
        <c:delete val="1"/>
      </c:legendEntry>
      <c:legendEntry>
        <c:idx val="11"/>
        <c:delete val="1"/>
      </c:legendEntry>
      <c:legendEntry>
        <c:idx val="12"/>
        <c:delete val="1"/>
      </c:legendEntry>
      <c:layout>
        <c:manualLayout>
          <c:xMode val="edge"/>
          <c:yMode val="edge"/>
          <c:wMode val="edge"/>
          <c:hMode val="edge"/>
          <c:x val="0.18755265347929101"/>
          <c:y val="0.13575282928343599"/>
          <c:w val="0.48359984017977597"/>
          <c:h val="0.40457045691869198"/>
        </c:manualLayout>
      </c:layout>
      <c:overlay val="0"/>
      <c:spPr>
        <a:solidFill>
          <a:srgbClr val="FFFFFF"/>
        </a:solidFill>
        <a:ln w="3175">
          <a:solidFill>
            <a:srgbClr val="000000"/>
          </a:solidFill>
          <a:prstDash val="solid"/>
        </a:ln>
      </c:spPr>
      <c:txPr>
        <a:bodyPr/>
        <a:lstStyle/>
        <a:p>
          <a:pPr>
            <a:defRPr sz="65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52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3100" b="1" i="0" u="none" strike="noStrike" baseline="0">
                <a:solidFill>
                  <a:srgbClr val="000000"/>
                </a:solidFill>
                <a:latin typeface="Arial"/>
                <a:ea typeface="Arial"/>
                <a:cs typeface="Arial"/>
              </a:defRPr>
            </a:pPr>
            <a:r>
              <a:t>Hub Mass vs Blade Mass</a:t>
            </a:r>
          </a:p>
        </c:rich>
      </c:tx>
      <c:layout>
        <c:manualLayout>
          <c:xMode val="edge"/>
          <c:yMode val="edge"/>
          <c:x val="0.24170135372082699"/>
          <c:y val="2.9013480111102601E-2"/>
        </c:manualLayout>
      </c:layout>
      <c:overlay val="0"/>
      <c:spPr>
        <a:noFill/>
        <a:ln w="25400">
          <a:noFill/>
        </a:ln>
      </c:spPr>
    </c:title>
    <c:autoTitleDeleted val="0"/>
    <c:plotArea>
      <c:layout>
        <c:manualLayout>
          <c:layoutTarget val="inner"/>
          <c:xMode val="edge"/>
          <c:yMode val="edge"/>
          <c:x val="0.147302979175605"/>
          <c:y val="0.23984548764420699"/>
          <c:w val="0.81639045500845697"/>
          <c:h val="0.57060015205678405"/>
        </c:manualLayout>
      </c:layout>
      <c:scatterChart>
        <c:scatterStyle val="smoothMarker"/>
        <c:varyColors val="0"/>
        <c:ser>
          <c:idx val="0"/>
          <c:order val="0"/>
          <c:tx>
            <c:v>WindPACT baseline design</c:v>
          </c:tx>
          <c:spPr>
            <a:ln w="28575">
              <a:noFill/>
            </a:ln>
          </c:spPr>
          <c:marker>
            <c:symbol val="diamond"/>
            <c:size val="8"/>
            <c:spPr>
              <a:noFill/>
              <a:ln>
                <a:solidFill>
                  <a:srgbClr val="000080"/>
                </a:solidFill>
                <a:prstDash val="solid"/>
              </a:ln>
            </c:spPr>
          </c:marker>
          <c:trendline>
            <c:name>WindPACT Linear Fit</c:name>
            <c:spPr>
              <a:ln w="25400">
                <a:solidFill>
                  <a:srgbClr val="000000"/>
                </a:solidFill>
                <a:prstDash val="lgDash"/>
              </a:ln>
            </c:spPr>
            <c:trendlineType val="linear"/>
            <c:dispRSqr val="1"/>
            <c:dispEq val="1"/>
            <c:trendlineLbl>
              <c:layout>
                <c:manualLayout>
                  <c:x val="0.118866433442439"/>
                  <c:y val="-7.4354876041439005E-2"/>
                </c:manualLayout>
              </c:layout>
              <c:tx>
                <c:rich>
                  <a:bodyPr/>
                  <a:lstStyle/>
                  <a:p>
                    <a:pPr>
                      <a:defRPr sz="2575" b="0" i="0" u="none" strike="noStrike" baseline="0">
                        <a:solidFill>
                          <a:srgbClr val="000000"/>
                        </a:solidFill>
                        <a:latin typeface="Arial"/>
                        <a:ea typeface="Arial"/>
                        <a:cs typeface="Arial"/>
                      </a:defRPr>
                    </a:pPr>
                    <a:r>
                      <a:rPr lang="en-US" sz="1175" b="0" i="0" u="none" strike="noStrike" baseline="0">
                        <a:solidFill>
                          <a:srgbClr val="000000"/>
                        </a:solidFill>
                        <a:latin typeface="Arial"/>
                        <a:cs typeface="Arial"/>
                      </a:rPr>
                      <a:t>WindPACT:  y = 3.7674x - 702.88</a:t>
                    </a:r>
                  </a:p>
                  <a:p>
                    <a:pPr>
                      <a:defRPr sz="2575" b="0" i="0" u="none" strike="noStrike" baseline="0">
                        <a:solidFill>
                          <a:srgbClr val="000000"/>
                        </a:solidFill>
                        <a:latin typeface="Arial"/>
                        <a:ea typeface="Arial"/>
                        <a:cs typeface="Arial"/>
                      </a:defRPr>
                    </a:pPr>
                    <a:r>
                      <a:rPr lang="en-US" sz="1175" b="0" i="0" u="none" strike="noStrike" baseline="0">
                        <a:solidFill>
                          <a:srgbClr val="000000"/>
                        </a:solidFill>
                        <a:latin typeface="Arial"/>
                        <a:cs typeface="Arial"/>
                      </a:rPr>
                      <a:t>R</a:t>
                    </a:r>
                    <a:r>
                      <a:rPr lang="en-US" sz="1175" b="0" i="0" u="none" strike="noStrike" baseline="30000">
                        <a:solidFill>
                          <a:srgbClr val="000000"/>
                        </a:solidFill>
                        <a:latin typeface="Arial"/>
                        <a:cs typeface="Arial"/>
                      </a:rPr>
                      <a:t>2</a:t>
                    </a:r>
                    <a:r>
                      <a:rPr lang="en-US" sz="1175" b="0" i="0" u="none" strike="noStrike" baseline="0">
                        <a:solidFill>
                          <a:srgbClr val="000000"/>
                        </a:solidFill>
                        <a:latin typeface="Arial"/>
                        <a:cs typeface="Arial"/>
                      </a:rPr>
                      <a:t> = 0.9989</a:t>
                    </a:r>
                  </a:p>
                </c:rich>
              </c:tx>
              <c:numFmt formatCode="General" sourceLinked="0"/>
              <c:spPr>
                <a:solidFill>
                  <a:srgbClr val="FFFFFF"/>
                </a:solidFill>
                <a:ln w="25400">
                  <a:noFill/>
                </a:ln>
              </c:spPr>
            </c:trendlineLbl>
          </c:trendline>
          <c:xVal>
            <c:numRef>
              <c:f>'Hub Mass &amp; Cost'!$B$25:$B$28</c:f>
              <c:numCache>
                <c:formatCode>0</c:formatCode>
                <c:ptCount val="4"/>
                <c:pt idx="0">
                  <c:v>1818</c:v>
                </c:pt>
                <c:pt idx="1">
                  <c:v>4230</c:v>
                </c:pt>
                <c:pt idx="2">
                  <c:v>12936</c:v>
                </c:pt>
                <c:pt idx="3">
                  <c:v>27239</c:v>
                </c:pt>
              </c:numCache>
            </c:numRef>
          </c:xVal>
          <c:yVal>
            <c:numRef>
              <c:f>'Hub Mass &amp; Cost'!$D$25:$D$28</c:f>
              <c:numCache>
                <c:formatCode>General</c:formatCode>
                <c:ptCount val="4"/>
                <c:pt idx="0">
                  <c:v>5086</c:v>
                </c:pt>
                <c:pt idx="1">
                  <c:v>15104</c:v>
                </c:pt>
                <c:pt idx="2">
                  <c:v>50124</c:v>
                </c:pt>
                <c:pt idx="3">
                  <c:v>101014</c:v>
                </c:pt>
              </c:numCache>
            </c:numRef>
          </c:yVal>
          <c:smooth val="1"/>
        </c:ser>
        <c:ser>
          <c:idx val="1"/>
          <c:order val="1"/>
          <c:tx>
            <c:v>Manufacturer data</c:v>
          </c:tx>
          <c:spPr>
            <a:ln w="28575">
              <a:noFill/>
            </a:ln>
          </c:spPr>
          <c:marker>
            <c:symbol val="square"/>
            <c:size val="8"/>
            <c:spPr>
              <a:solidFill>
                <a:srgbClr val="FF00FF"/>
              </a:solidFill>
              <a:ln>
                <a:solidFill>
                  <a:srgbClr val="FF00FF"/>
                </a:solidFill>
                <a:prstDash val="solid"/>
              </a:ln>
            </c:spPr>
          </c:marker>
          <c:trendline>
            <c:name>Manufacturer Data Linear Fit</c:name>
            <c:spPr>
              <a:ln w="25400">
                <a:solidFill>
                  <a:srgbClr val="000000"/>
                </a:solidFill>
                <a:prstDash val="solid"/>
              </a:ln>
            </c:spPr>
            <c:trendlineType val="linear"/>
            <c:forward val="10000"/>
            <c:backward val="1000"/>
            <c:dispRSqr val="1"/>
            <c:dispEq val="1"/>
            <c:trendlineLbl>
              <c:layout>
                <c:manualLayout>
                  <c:x val="0.19422118034032501"/>
                  <c:y val="-0.12540156426245699"/>
                </c:manualLayout>
              </c:layout>
              <c:tx>
                <c:rich>
                  <a:bodyPr/>
                  <a:lstStyle/>
                  <a:p>
                    <a:pPr>
                      <a:defRPr sz="2575" b="0" i="0" u="none" strike="noStrike" baseline="0">
                        <a:solidFill>
                          <a:srgbClr val="000000"/>
                        </a:solidFill>
                        <a:latin typeface="Arial"/>
                        <a:ea typeface="Arial"/>
                        <a:cs typeface="Arial"/>
                      </a:defRPr>
                    </a:pPr>
                    <a:r>
                      <a:rPr lang="en-US" sz="1175" b="0" i="0" u="none" strike="noStrike" baseline="0">
                        <a:solidFill>
                          <a:srgbClr val="000000"/>
                        </a:solidFill>
                        <a:latin typeface="Arial"/>
                        <a:cs typeface="Arial"/>
                      </a:rPr>
                      <a:t>Man. Data:  y = 0.954x + 5680.3</a:t>
                    </a:r>
                  </a:p>
                  <a:p>
                    <a:pPr>
                      <a:defRPr sz="2575" b="0" i="0" u="none" strike="noStrike" baseline="0">
                        <a:solidFill>
                          <a:srgbClr val="000000"/>
                        </a:solidFill>
                        <a:latin typeface="Arial"/>
                        <a:ea typeface="Arial"/>
                        <a:cs typeface="Arial"/>
                      </a:defRPr>
                    </a:pPr>
                    <a:r>
                      <a:rPr lang="en-US" sz="1175" b="0" i="0" u="none" strike="noStrike" baseline="0">
                        <a:solidFill>
                          <a:srgbClr val="000000"/>
                        </a:solidFill>
                        <a:latin typeface="Arial"/>
                        <a:cs typeface="Arial"/>
                      </a:rPr>
                      <a:t>R</a:t>
                    </a:r>
                    <a:r>
                      <a:rPr lang="en-US" sz="1175" b="0" i="0" u="none" strike="noStrike" baseline="30000">
                        <a:solidFill>
                          <a:srgbClr val="000000"/>
                        </a:solidFill>
                        <a:latin typeface="Arial"/>
                        <a:cs typeface="Arial"/>
                      </a:rPr>
                      <a:t>2</a:t>
                    </a:r>
                    <a:r>
                      <a:rPr lang="en-US" sz="1175" b="0" i="0" u="none" strike="noStrike" baseline="0">
                        <a:solidFill>
                          <a:srgbClr val="000000"/>
                        </a:solidFill>
                        <a:latin typeface="Arial"/>
                        <a:cs typeface="Arial"/>
                      </a:rPr>
                      <a:t> = 0.3978</a:t>
                    </a:r>
                  </a:p>
                </c:rich>
              </c:tx>
              <c:numFmt formatCode="General" sourceLinked="0"/>
              <c:spPr>
                <a:solidFill>
                  <a:srgbClr val="FFFFFF"/>
                </a:solidFill>
                <a:ln w="25400">
                  <a:noFill/>
                </a:ln>
              </c:spPr>
            </c:trendlineLbl>
          </c:trendline>
          <c:xVal>
            <c:numRef>
              <c:f>'Hub Mass &amp; Cost'!$B$17:$B$21</c:f>
              <c:numCache>
                <c:formatCode>0</c:formatCode>
                <c:ptCount val="5"/>
                <c:pt idx="0">
                  <c:v>3133.3333333333335</c:v>
                </c:pt>
                <c:pt idx="1">
                  <c:v>4648.666666666667</c:v>
                </c:pt>
                <c:pt idx="2">
                  <c:v>6066.666666666667</c:v>
                </c:pt>
                <c:pt idx="3">
                  <c:v>10000</c:v>
                </c:pt>
                <c:pt idx="4">
                  <c:v>12679.333333333334</c:v>
                </c:pt>
              </c:numCache>
            </c:numRef>
          </c:xVal>
          <c:yVal>
            <c:numRef>
              <c:f>'Hub Mass &amp; Cost'!$E$17:$E$21</c:f>
              <c:numCache>
                <c:formatCode>General</c:formatCode>
                <c:ptCount val="5"/>
                <c:pt idx="0">
                  <c:v>2000</c:v>
                </c:pt>
                <c:pt idx="1">
                  <c:v>15000</c:v>
                </c:pt>
                <c:pt idx="2">
                  <c:v>15000</c:v>
                </c:pt>
                <c:pt idx="3">
                  <c:v>15625</c:v>
                </c:pt>
                <c:pt idx="4">
                  <c:v>15625</c:v>
                </c:pt>
              </c:numCache>
            </c:numRef>
          </c:yVal>
          <c:smooth val="1"/>
        </c:ser>
        <c:ser>
          <c:idx val="2"/>
          <c:order val="2"/>
          <c:tx>
            <c:v>WindPACT Final design</c:v>
          </c:tx>
          <c:spPr>
            <a:ln w="28575">
              <a:noFill/>
            </a:ln>
          </c:spPr>
          <c:marker>
            <c:symbol val="diamond"/>
            <c:size val="8"/>
            <c:spPr>
              <a:noFill/>
              <a:ln>
                <a:solidFill>
                  <a:srgbClr val="FF0000"/>
                </a:solidFill>
                <a:prstDash val="solid"/>
              </a:ln>
            </c:spPr>
          </c:marker>
          <c:xVal>
            <c:numRef>
              <c:f>'Hub Mass &amp; Cost'!$B$22:$B$24</c:f>
              <c:numCache>
                <c:formatCode>0</c:formatCode>
                <c:ptCount val="3"/>
                <c:pt idx="0">
                  <c:v>868</c:v>
                </c:pt>
                <c:pt idx="1">
                  <c:v>2281</c:v>
                </c:pt>
                <c:pt idx="2">
                  <c:v>5463</c:v>
                </c:pt>
              </c:numCache>
            </c:numRef>
          </c:xVal>
          <c:yVal>
            <c:numRef>
              <c:f>'Hub Mass &amp; Cost'!$D$22:$D$24</c:f>
              <c:numCache>
                <c:formatCode>General</c:formatCode>
                <c:ptCount val="3"/>
                <c:pt idx="0">
                  <c:v>2464</c:v>
                </c:pt>
                <c:pt idx="1">
                  <c:v>8063</c:v>
                </c:pt>
                <c:pt idx="2">
                  <c:v>21270</c:v>
                </c:pt>
              </c:numCache>
            </c:numRef>
          </c:yVal>
          <c:smooth val="1"/>
        </c:ser>
        <c:ser>
          <c:idx val="3"/>
          <c:order val="3"/>
          <c:tx>
            <c:v>Current Design</c:v>
          </c:tx>
          <c:spPr>
            <a:ln w="28575">
              <a:noFill/>
            </a:ln>
          </c:spPr>
          <c:marker>
            <c:symbol val="circle"/>
            <c:size val="14"/>
            <c:spPr>
              <a:solidFill>
                <a:srgbClr val="00FF00"/>
              </a:solidFill>
              <a:ln>
                <a:solidFill>
                  <a:srgbClr val="00FF00"/>
                </a:solidFill>
                <a:prstDash val="solid"/>
              </a:ln>
            </c:spPr>
          </c:marker>
          <c:xVal>
            <c:numRef>
              <c:f>'Hub Mass &amp; Cost'!$H$9</c:f>
              <c:numCache>
                <c:formatCode>General</c:formatCode>
                <c:ptCount val="1"/>
                <c:pt idx="0">
                  <c:v>9082.8670624211954</c:v>
                </c:pt>
              </c:numCache>
            </c:numRef>
          </c:xVal>
          <c:yVal>
            <c:numRef>
              <c:f>'Hub Mass &amp; Cost'!$I$9</c:f>
              <c:numCache>
                <c:formatCode>0</c:formatCode>
                <c:ptCount val="1"/>
                <c:pt idx="0">
                  <c:v>14345.55787151434</c:v>
                </c:pt>
              </c:numCache>
            </c:numRef>
          </c:yVal>
          <c:smooth val="1"/>
        </c:ser>
        <c:ser>
          <c:idx val="4"/>
          <c:order val="4"/>
          <c:spPr>
            <a:ln w="28575">
              <a:noFill/>
            </a:ln>
          </c:spPr>
          <c:marker>
            <c:symbol val="star"/>
            <c:size val="8"/>
            <c:spPr>
              <a:noFill/>
              <a:ln>
                <a:solidFill>
                  <a:srgbClr val="800080"/>
                </a:solidFill>
                <a:prstDash val="solid"/>
              </a:ln>
            </c:spPr>
          </c:marker>
          <c:trendline>
            <c:spPr>
              <a:ln w="25400">
                <a:solidFill>
                  <a:srgbClr val="000000"/>
                </a:solidFill>
                <a:prstDash val="sysDash"/>
              </a:ln>
            </c:spPr>
            <c:trendlineType val="linear"/>
            <c:dispRSqr val="1"/>
            <c:dispEq val="1"/>
            <c:trendlineLbl>
              <c:layout>
                <c:manualLayout>
                  <c:x val="-5.7281581851209101E-2"/>
                  <c:y val="-0.19342374229093001"/>
                </c:manualLayout>
              </c:layout>
              <c:numFmt formatCode="General" sourceLinked="0"/>
              <c:spPr>
                <a:noFill/>
                <a:ln w="25400">
                  <a:noFill/>
                </a:ln>
              </c:spPr>
              <c:txPr>
                <a:bodyPr/>
                <a:lstStyle/>
                <a:p>
                  <a:pPr>
                    <a:defRPr sz="1150" b="0" i="0" u="none" strike="noStrike" baseline="0">
                      <a:solidFill>
                        <a:srgbClr val="000000"/>
                      </a:solidFill>
                      <a:latin typeface="Arial"/>
                      <a:ea typeface="Arial"/>
                      <a:cs typeface="Arial"/>
                    </a:defRPr>
                  </a:pPr>
                  <a:endParaRPr lang="en-US"/>
                </a:p>
              </c:txPr>
            </c:trendlineLbl>
          </c:trendline>
          <c:xVal>
            <c:numRef>
              <c:f>'Hub Mass &amp; Cost'!$B$22:$B$28</c:f>
              <c:numCache>
                <c:formatCode>0</c:formatCode>
                <c:ptCount val="7"/>
                <c:pt idx="0">
                  <c:v>868</c:v>
                </c:pt>
                <c:pt idx="1">
                  <c:v>2281</c:v>
                </c:pt>
                <c:pt idx="2">
                  <c:v>5463</c:v>
                </c:pt>
                <c:pt idx="3">
                  <c:v>1818</c:v>
                </c:pt>
                <c:pt idx="4">
                  <c:v>4230</c:v>
                </c:pt>
                <c:pt idx="5">
                  <c:v>12936</c:v>
                </c:pt>
                <c:pt idx="6">
                  <c:v>27239</c:v>
                </c:pt>
              </c:numCache>
            </c:numRef>
          </c:xVal>
          <c:yVal>
            <c:numRef>
              <c:f>'Hub Mass &amp; Cost'!$J$22:$J$28</c:f>
              <c:numCache>
                <c:formatCode>General</c:formatCode>
                <c:ptCount val="7"/>
              </c:numCache>
            </c:numRef>
          </c:yVal>
          <c:smooth val="1"/>
        </c:ser>
        <c:dLbls>
          <c:showLegendKey val="0"/>
          <c:showVal val="0"/>
          <c:showCatName val="0"/>
          <c:showSerName val="0"/>
          <c:showPercent val="0"/>
          <c:showBubbleSize val="0"/>
        </c:dLbls>
        <c:axId val="136587136"/>
        <c:axId val="136593408"/>
      </c:scatterChart>
      <c:valAx>
        <c:axId val="136587136"/>
        <c:scaling>
          <c:orientation val="minMax"/>
        </c:scaling>
        <c:delete val="0"/>
        <c:axPos val="b"/>
        <c:title>
          <c:tx>
            <c:rich>
              <a:bodyPr/>
              <a:lstStyle/>
              <a:p>
                <a:pPr>
                  <a:defRPr sz="1475" b="1" i="0" u="none" strike="noStrike" baseline="0">
                    <a:solidFill>
                      <a:srgbClr val="000000"/>
                    </a:solidFill>
                    <a:latin typeface="Arial"/>
                    <a:ea typeface="Arial"/>
                    <a:cs typeface="Arial"/>
                  </a:defRPr>
                </a:pPr>
                <a:r>
                  <a:t>Blade Mass (kg)</a:t>
                </a:r>
              </a:p>
            </c:rich>
          </c:tx>
          <c:layout>
            <c:manualLayout>
              <c:xMode val="edge"/>
              <c:yMode val="edge"/>
              <c:x val="0.47302926345825203"/>
              <c:y val="0.89748632877200496"/>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475" b="0" i="0" u="none" strike="noStrike" baseline="0">
                <a:solidFill>
                  <a:srgbClr val="000000"/>
                </a:solidFill>
                <a:latin typeface="Arial"/>
                <a:ea typeface="Arial"/>
                <a:cs typeface="Arial"/>
              </a:defRPr>
            </a:pPr>
            <a:endParaRPr lang="en-US"/>
          </a:p>
        </c:txPr>
        <c:crossAx val="136593408"/>
        <c:crosses val="autoZero"/>
        <c:crossBetween val="midCat"/>
      </c:valAx>
      <c:valAx>
        <c:axId val="136593408"/>
        <c:scaling>
          <c:orientation val="minMax"/>
        </c:scaling>
        <c:delete val="0"/>
        <c:axPos val="l"/>
        <c:majorGridlines>
          <c:spPr>
            <a:ln w="3175">
              <a:solidFill>
                <a:srgbClr val="000000"/>
              </a:solidFill>
              <a:prstDash val="solid"/>
            </a:ln>
          </c:spPr>
        </c:majorGridlines>
        <c:title>
          <c:tx>
            <c:rich>
              <a:bodyPr/>
              <a:lstStyle/>
              <a:p>
                <a:pPr>
                  <a:defRPr sz="1475" b="1" i="0" u="none" strike="noStrike" baseline="0">
                    <a:solidFill>
                      <a:srgbClr val="000000"/>
                    </a:solidFill>
                    <a:latin typeface="Arial"/>
                    <a:ea typeface="Arial"/>
                    <a:cs typeface="Arial"/>
                  </a:defRPr>
                </a:pPr>
                <a:r>
                  <a:t>Hub Mass (kg)</a:t>
                </a:r>
              </a:p>
            </c:rich>
          </c:tx>
          <c:layout>
            <c:manualLayout>
              <c:xMode val="edge"/>
              <c:yMode val="edge"/>
              <c:x val="2.28215767634855E-2"/>
              <c:y val="0.3868476925821169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475" b="0" i="0" u="none" strike="noStrike" baseline="0">
                <a:solidFill>
                  <a:srgbClr val="000000"/>
                </a:solidFill>
                <a:latin typeface="Arial"/>
                <a:ea typeface="Arial"/>
                <a:cs typeface="Arial"/>
              </a:defRPr>
            </a:pPr>
            <a:endParaRPr lang="en-US"/>
          </a:p>
        </c:txPr>
        <c:crossAx val="136587136"/>
        <c:crosses val="autoZero"/>
        <c:crossBetween val="midCat"/>
      </c:valAx>
      <c:spPr>
        <a:noFill/>
        <a:ln w="25400">
          <a:noFill/>
        </a:ln>
      </c:spPr>
    </c:plotArea>
    <c:legend>
      <c:legendPos val="r"/>
      <c:legendEntry>
        <c:idx val="7"/>
        <c:delete val="1"/>
      </c:legendEntry>
      <c:layout>
        <c:manualLayout>
          <c:xMode val="edge"/>
          <c:yMode val="edge"/>
          <c:wMode val="edge"/>
          <c:hMode val="edge"/>
          <c:x val="0.22925322094074299"/>
          <c:y val="0.23210845246285999"/>
          <c:w val="0.49896287341675799"/>
          <c:h val="0.46615110975205798"/>
        </c:manualLayout>
      </c:layout>
      <c:overlay val="0"/>
      <c:spPr>
        <a:solidFill>
          <a:srgbClr val="FFFFFF"/>
        </a:solidFill>
        <a:ln w="3175">
          <a:solidFill>
            <a:srgbClr val="000000"/>
          </a:solidFill>
          <a:prstDash val="solid"/>
        </a:ln>
      </c:spPr>
      <c:txPr>
        <a:bodyPr/>
        <a:lstStyle/>
        <a:p>
          <a:pPr>
            <a:defRPr sz="65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75"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 Id="rId4" Type="http://schemas.openxmlformats.org/officeDocument/2006/relationships/chart" Target="../charts/chart30.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 Id="rId4"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8.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 Id="rId4" Type="http://schemas.openxmlformats.org/officeDocument/2006/relationships/chart" Target="../charts/chart45.xml"/></Relationships>
</file>

<file path=xl/drawings/_rels/drawing29.xml.rels><?xml version="1.0" encoding="UTF-8" standalone="yes"?>
<Relationships xmlns="http://schemas.openxmlformats.org/package/2006/relationships"><Relationship Id="rId3" Type="http://schemas.openxmlformats.org/officeDocument/2006/relationships/chart" Target="../charts/chart48.xml"/><Relationship Id="rId2" Type="http://schemas.openxmlformats.org/officeDocument/2006/relationships/chart" Target="../charts/chart47.xml"/><Relationship Id="rId1" Type="http://schemas.openxmlformats.org/officeDocument/2006/relationships/chart" Target="../charts/chart4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chart" Target="../charts/chart50.xml"/><Relationship Id="rId1" Type="http://schemas.openxmlformats.org/officeDocument/2006/relationships/chart" Target="../charts/chart49.xml"/><Relationship Id="rId6" Type="http://schemas.openxmlformats.org/officeDocument/2006/relationships/chart" Target="../charts/chart54.xml"/><Relationship Id="rId5" Type="http://schemas.openxmlformats.org/officeDocument/2006/relationships/chart" Target="../charts/chart53.xml"/><Relationship Id="rId4" Type="http://schemas.openxmlformats.org/officeDocument/2006/relationships/chart" Target="../charts/chart52.xml"/></Relationships>
</file>

<file path=xl/drawings/_rels/drawing31.xml.rels><?xml version="1.0" encoding="UTF-8" standalone="yes"?>
<Relationships xmlns="http://schemas.openxmlformats.org/package/2006/relationships"><Relationship Id="rId3" Type="http://schemas.openxmlformats.org/officeDocument/2006/relationships/chart" Target="../charts/chart57.xml"/><Relationship Id="rId2" Type="http://schemas.openxmlformats.org/officeDocument/2006/relationships/chart" Target="../charts/chart56.xml"/><Relationship Id="rId1" Type="http://schemas.openxmlformats.org/officeDocument/2006/relationships/chart" Target="../charts/chart55.xml"/></Relationships>
</file>

<file path=xl/drawings/_rels/vmlDrawing3.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42</xdr:row>
      <xdr:rowOff>76200</xdr:rowOff>
    </xdr:from>
    <xdr:to>
      <xdr:col>3</xdr:col>
      <xdr:colOff>533400</xdr:colOff>
      <xdr:row>62</xdr:row>
      <xdr:rowOff>85725</xdr:rowOff>
    </xdr:to>
    <xdr:graphicFrame macro="">
      <xdr:nvGraphicFramePr>
        <xdr:cNvPr id="891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75</xdr:row>
      <xdr:rowOff>152400</xdr:rowOff>
    </xdr:from>
    <xdr:to>
      <xdr:col>4</xdr:col>
      <xdr:colOff>28575</xdr:colOff>
      <xdr:row>97</xdr:row>
      <xdr:rowOff>9525</xdr:rowOff>
    </xdr:to>
    <xdr:graphicFrame macro="">
      <xdr:nvGraphicFramePr>
        <xdr:cNvPr id="8911"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33</xdr:row>
      <xdr:rowOff>0</xdr:rowOff>
    </xdr:from>
    <xdr:to>
      <xdr:col>12</xdr:col>
      <xdr:colOff>561975</xdr:colOff>
      <xdr:row>62</xdr:row>
      <xdr:rowOff>85725</xdr:rowOff>
    </xdr:to>
    <xdr:graphicFrame macro="">
      <xdr:nvGraphicFramePr>
        <xdr:cNvPr id="15500458"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xdr:colOff>
      <xdr:row>3</xdr:row>
      <xdr:rowOff>0</xdr:rowOff>
    </xdr:from>
    <xdr:to>
      <xdr:col>27</xdr:col>
      <xdr:colOff>381000</xdr:colOff>
      <xdr:row>24</xdr:row>
      <xdr:rowOff>66675</xdr:rowOff>
    </xdr:to>
    <xdr:graphicFrame macro="">
      <xdr:nvGraphicFramePr>
        <xdr:cNvPr id="15500459"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600075</xdr:colOff>
      <xdr:row>3</xdr:row>
      <xdr:rowOff>9525</xdr:rowOff>
    </xdr:from>
    <xdr:to>
      <xdr:col>46</xdr:col>
      <xdr:colOff>447675</xdr:colOff>
      <xdr:row>24</xdr:row>
      <xdr:rowOff>47625</xdr:rowOff>
    </xdr:to>
    <xdr:graphicFrame macro="">
      <xdr:nvGraphicFramePr>
        <xdr:cNvPr id="1550046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0</xdr:colOff>
      <xdr:row>28</xdr:row>
      <xdr:rowOff>0</xdr:rowOff>
    </xdr:from>
    <xdr:to>
      <xdr:col>45</xdr:col>
      <xdr:colOff>47625</xdr:colOff>
      <xdr:row>62</xdr:row>
      <xdr:rowOff>114300</xdr:rowOff>
    </xdr:to>
    <xdr:graphicFrame macro="">
      <xdr:nvGraphicFramePr>
        <xdr:cNvPr id="15500461"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0.77685</cdr:x>
      <cdr:y>0.29798</cdr:y>
    </cdr:from>
    <cdr:to>
      <cdr:x>0.8011</cdr:x>
      <cdr:y>0.38575</cdr:y>
    </cdr:to>
    <cdr:sp macro="" textlink="">
      <cdr:nvSpPr>
        <cdr:cNvPr id="52225" name="Line 1"/>
        <cdr:cNvSpPr>
          <a:spLocks xmlns:a="http://schemas.openxmlformats.org/drawingml/2006/main" noChangeShapeType="1"/>
        </cdr:cNvSpPr>
      </cdr:nvSpPr>
      <cdr:spPr bwMode="auto">
        <a:xfrm xmlns:a="http://schemas.openxmlformats.org/drawingml/2006/main" flipH="1">
          <a:off x="7143698" y="1473378"/>
          <a:ext cx="222862" cy="43306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0.62098</cdr:x>
      <cdr:y>0.61646</cdr:y>
    </cdr:from>
    <cdr:to>
      <cdr:x>0.70015</cdr:x>
      <cdr:y>0.68535</cdr:y>
    </cdr:to>
    <cdr:sp macro="" textlink="">
      <cdr:nvSpPr>
        <cdr:cNvPr id="52226" name="Line 2"/>
        <cdr:cNvSpPr>
          <a:spLocks xmlns:a="http://schemas.openxmlformats.org/drawingml/2006/main" noChangeShapeType="1"/>
        </cdr:cNvSpPr>
      </cdr:nvSpPr>
      <cdr:spPr bwMode="auto">
        <a:xfrm xmlns:a="http://schemas.openxmlformats.org/drawingml/2006/main" flipH="1">
          <a:off x="5711019" y="3044746"/>
          <a:ext cx="727710" cy="33991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0</xdr:colOff>
      <xdr:row>33</xdr:row>
      <xdr:rowOff>0</xdr:rowOff>
    </xdr:from>
    <xdr:to>
      <xdr:col>12</xdr:col>
      <xdr:colOff>561975</xdr:colOff>
      <xdr:row>62</xdr:row>
      <xdr:rowOff>85725</xdr:rowOff>
    </xdr:to>
    <xdr:graphicFrame macro="">
      <xdr:nvGraphicFramePr>
        <xdr:cNvPr id="862833"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xdr:colOff>
      <xdr:row>3</xdr:row>
      <xdr:rowOff>0</xdr:rowOff>
    </xdr:from>
    <xdr:to>
      <xdr:col>27</xdr:col>
      <xdr:colOff>381000</xdr:colOff>
      <xdr:row>24</xdr:row>
      <xdr:rowOff>66675</xdr:rowOff>
    </xdr:to>
    <xdr:graphicFrame macro="">
      <xdr:nvGraphicFramePr>
        <xdr:cNvPr id="862834"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0.77685</cdr:x>
      <cdr:y>0.29798</cdr:y>
    </cdr:from>
    <cdr:to>
      <cdr:x>0.8011</cdr:x>
      <cdr:y>0.38575</cdr:y>
    </cdr:to>
    <cdr:sp macro="" textlink="">
      <cdr:nvSpPr>
        <cdr:cNvPr id="52225" name="Line 1"/>
        <cdr:cNvSpPr>
          <a:spLocks xmlns:a="http://schemas.openxmlformats.org/drawingml/2006/main" noChangeShapeType="1"/>
        </cdr:cNvSpPr>
      </cdr:nvSpPr>
      <cdr:spPr bwMode="auto">
        <a:xfrm xmlns:a="http://schemas.openxmlformats.org/drawingml/2006/main" flipH="1">
          <a:off x="7143698" y="1473378"/>
          <a:ext cx="222862" cy="43306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0.62098</cdr:x>
      <cdr:y>0.61646</cdr:y>
    </cdr:from>
    <cdr:to>
      <cdr:x>0.70015</cdr:x>
      <cdr:y>0.68535</cdr:y>
    </cdr:to>
    <cdr:sp macro="" textlink="">
      <cdr:nvSpPr>
        <cdr:cNvPr id="52226" name="Line 2"/>
        <cdr:cNvSpPr>
          <a:spLocks xmlns:a="http://schemas.openxmlformats.org/drawingml/2006/main" noChangeShapeType="1"/>
        </cdr:cNvSpPr>
      </cdr:nvSpPr>
      <cdr:spPr bwMode="auto">
        <a:xfrm xmlns:a="http://schemas.openxmlformats.org/drawingml/2006/main" flipH="1">
          <a:off x="5711019" y="3044746"/>
          <a:ext cx="727710" cy="33991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14.xml><?xml version="1.0" encoding="utf-8"?>
<xdr:wsDr xmlns:xdr="http://schemas.openxmlformats.org/drawingml/2006/spreadsheetDrawing" xmlns:a="http://schemas.openxmlformats.org/drawingml/2006/main">
  <xdr:twoCellAnchor>
    <xdr:from>
      <xdr:col>0</xdr:col>
      <xdr:colOff>0</xdr:colOff>
      <xdr:row>33</xdr:row>
      <xdr:rowOff>0</xdr:rowOff>
    </xdr:from>
    <xdr:to>
      <xdr:col>12</xdr:col>
      <xdr:colOff>561975</xdr:colOff>
      <xdr:row>62</xdr:row>
      <xdr:rowOff>85725</xdr:rowOff>
    </xdr:to>
    <xdr:graphicFrame macro="">
      <xdr:nvGraphicFramePr>
        <xdr:cNvPr id="1060457"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19050</xdr:colOff>
      <xdr:row>3</xdr:row>
      <xdr:rowOff>0</xdr:rowOff>
    </xdr:from>
    <xdr:to>
      <xdr:col>25</xdr:col>
      <xdr:colOff>314325</xdr:colOff>
      <xdr:row>24</xdr:row>
      <xdr:rowOff>66675</xdr:rowOff>
    </xdr:to>
    <xdr:graphicFrame macro="">
      <xdr:nvGraphicFramePr>
        <xdr:cNvPr id="1060458"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0.77685</cdr:x>
      <cdr:y>0.29798</cdr:y>
    </cdr:from>
    <cdr:to>
      <cdr:x>0.8011</cdr:x>
      <cdr:y>0.38575</cdr:y>
    </cdr:to>
    <cdr:sp macro="" textlink="">
      <cdr:nvSpPr>
        <cdr:cNvPr id="52225" name="Line 1"/>
        <cdr:cNvSpPr>
          <a:spLocks xmlns:a="http://schemas.openxmlformats.org/drawingml/2006/main" noChangeShapeType="1"/>
        </cdr:cNvSpPr>
      </cdr:nvSpPr>
      <cdr:spPr bwMode="auto">
        <a:xfrm xmlns:a="http://schemas.openxmlformats.org/drawingml/2006/main" flipH="1">
          <a:off x="7143698" y="1473378"/>
          <a:ext cx="222862" cy="433063"/>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0.62098</cdr:x>
      <cdr:y>0.61646</cdr:y>
    </cdr:from>
    <cdr:to>
      <cdr:x>0.70015</cdr:x>
      <cdr:y>0.68535</cdr:y>
    </cdr:to>
    <cdr:sp macro="" textlink="">
      <cdr:nvSpPr>
        <cdr:cNvPr id="52226" name="Line 2"/>
        <cdr:cNvSpPr>
          <a:spLocks xmlns:a="http://schemas.openxmlformats.org/drawingml/2006/main" noChangeShapeType="1"/>
        </cdr:cNvSpPr>
      </cdr:nvSpPr>
      <cdr:spPr bwMode="auto">
        <a:xfrm xmlns:a="http://schemas.openxmlformats.org/drawingml/2006/main" flipH="1">
          <a:off x="5711019" y="3044746"/>
          <a:ext cx="727710" cy="339918"/>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16.xml><?xml version="1.0" encoding="utf-8"?>
<xdr:wsDr xmlns:xdr="http://schemas.openxmlformats.org/drawingml/2006/spreadsheetDrawing" xmlns:a="http://schemas.openxmlformats.org/drawingml/2006/main">
  <xdr:twoCellAnchor>
    <xdr:from>
      <xdr:col>0</xdr:col>
      <xdr:colOff>219075</xdr:colOff>
      <xdr:row>46</xdr:row>
      <xdr:rowOff>104775</xdr:rowOff>
    </xdr:from>
    <xdr:to>
      <xdr:col>12</xdr:col>
      <xdr:colOff>533400</xdr:colOff>
      <xdr:row>84</xdr:row>
      <xdr:rowOff>123825</xdr:rowOff>
    </xdr:to>
    <xdr:graphicFrame macro="">
      <xdr:nvGraphicFramePr>
        <xdr:cNvPr id="69275"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552450</xdr:colOff>
      <xdr:row>16</xdr:row>
      <xdr:rowOff>114300</xdr:rowOff>
    </xdr:from>
    <xdr:to>
      <xdr:col>18</xdr:col>
      <xdr:colOff>76200</xdr:colOff>
      <xdr:row>45</xdr:row>
      <xdr:rowOff>95250</xdr:rowOff>
    </xdr:to>
    <xdr:graphicFrame macro="">
      <xdr:nvGraphicFramePr>
        <xdr:cNvPr id="69276"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23</xdr:row>
      <xdr:rowOff>0</xdr:rowOff>
    </xdr:from>
    <xdr:to>
      <xdr:col>12</xdr:col>
      <xdr:colOff>561975</xdr:colOff>
      <xdr:row>52</xdr:row>
      <xdr:rowOff>85725</xdr:rowOff>
    </xdr:to>
    <xdr:graphicFrame macro="">
      <xdr:nvGraphicFramePr>
        <xdr:cNvPr id="6278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142875</xdr:colOff>
      <xdr:row>35</xdr:row>
      <xdr:rowOff>142875</xdr:rowOff>
    </xdr:from>
    <xdr:to>
      <xdr:col>7</xdr:col>
      <xdr:colOff>304800</xdr:colOff>
      <xdr:row>52</xdr:row>
      <xdr:rowOff>123825</xdr:rowOff>
    </xdr:to>
    <xdr:graphicFrame macro="">
      <xdr:nvGraphicFramePr>
        <xdr:cNvPr id="975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0</xdr:col>
      <xdr:colOff>257175</xdr:colOff>
      <xdr:row>81</xdr:row>
      <xdr:rowOff>9525</xdr:rowOff>
    </xdr:from>
    <xdr:to>
      <xdr:col>4</xdr:col>
      <xdr:colOff>504825</xdr:colOff>
      <xdr:row>96</xdr:row>
      <xdr:rowOff>85725</xdr:rowOff>
    </xdr:to>
    <xdr:graphicFrame macro="">
      <xdr:nvGraphicFramePr>
        <xdr:cNvPr id="1406490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52</xdr:row>
      <xdr:rowOff>142875</xdr:rowOff>
    </xdr:from>
    <xdr:to>
      <xdr:col>4</xdr:col>
      <xdr:colOff>142875</xdr:colOff>
      <xdr:row>67</xdr:row>
      <xdr:rowOff>0</xdr:rowOff>
    </xdr:to>
    <xdr:graphicFrame macro="">
      <xdr:nvGraphicFramePr>
        <xdr:cNvPr id="1406490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52</xdr:row>
      <xdr:rowOff>152400</xdr:rowOff>
    </xdr:from>
    <xdr:to>
      <xdr:col>10</xdr:col>
      <xdr:colOff>47625</xdr:colOff>
      <xdr:row>67</xdr:row>
      <xdr:rowOff>19050</xdr:rowOff>
    </xdr:to>
    <xdr:graphicFrame macro="">
      <xdr:nvGraphicFramePr>
        <xdr:cNvPr id="1406490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590550</xdr:colOff>
      <xdr:row>81</xdr:row>
      <xdr:rowOff>19050</xdr:rowOff>
    </xdr:from>
    <xdr:to>
      <xdr:col>11</xdr:col>
      <xdr:colOff>542925</xdr:colOff>
      <xdr:row>96</xdr:row>
      <xdr:rowOff>66675</xdr:rowOff>
    </xdr:to>
    <xdr:graphicFrame macro="">
      <xdr:nvGraphicFramePr>
        <xdr:cNvPr id="14064909"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647700</xdr:colOff>
          <xdr:row>241</xdr:row>
          <xdr:rowOff>28575</xdr:rowOff>
        </xdr:from>
        <xdr:to>
          <xdr:col>6</xdr:col>
          <xdr:colOff>447675</xdr:colOff>
          <xdr:row>243</xdr:row>
          <xdr:rowOff>152400</xdr:rowOff>
        </xdr:to>
        <xdr:sp macro="" textlink="">
          <xdr:nvSpPr>
            <xdr:cNvPr id="103481" name="Object 57" hidden="1">
              <a:extLst>
                <a:ext uri="{63B3BB69-23CF-44E3-9099-C40C66FF867C}">
                  <a14:compatExt spid="_x0000_s1034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409575</xdr:colOff>
          <xdr:row>100</xdr:row>
          <xdr:rowOff>104775</xdr:rowOff>
        </xdr:from>
        <xdr:to>
          <xdr:col>9</xdr:col>
          <xdr:colOff>571500</xdr:colOff>
          <xdr:row>104</xdr:row>
          <xdr:rowOff>66675</xdr:rowOff>
        </xdr:to>
        <xdr:sp macro="" textlink="">
          <xdr:nvSpPr>
            <xdr:cNvPr id="103482" name="Object 58" hidden="1">
              <a:extLst>
                <a:ext uri="{63B3BB69-23CF-44E3-9099-C40C66FF867C}">
                  <a14:compatExt spid="_x0000_s103482"/>
                </a:ext>
              </a:extLst>
            </xdr:cNvPr>
            <xdr:cNvSpPr/>
          </xdr:nvSpPr>
          <xdr:spPr>
            <a:xfrm>
              <a:off x="0" y="0"/>
              <a:ext cx="0" cy="0"/>
            </a:xfrm>
            <a:prstGeom prst="rect">
              <a:avLst/>
            </a:prstGeom>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219075</xdr:colOff>
      <xdr:row>29</xdr:row>
      <xdr:rowOff>0</xdr:rowOff>
    </xdr:from>
    <xdr:to>
      <xdr:col>2</xdr:col>
      <xdr:colOff>581025</xdr:colOff>
      <xdr:row>43</xdr:row>
      <xdr:rowOff>28575</xdr:rowOff>
    </xdr:to>
    <xdr:graphicFrame macro="">
      <xdr:nvGraphicFramePr>
        <xdr:cNvPr id="1600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314325</xdr:colOff>
      <xdr:row>29</xdr:row>
      <xdr:rowOff>9525</xdr:rowOff>
    </xdr:from>
    <xdr:to>
      <xdr:col>9</xdr:col>
      <xdr:colOff>266700</xdr:colOff>
      <xdr:row>43</xdr:row>
      <xdr:rowOff>38100</xdr:rowOff>
    </xdr:to>
    <xdr:graphicFrame macro="">
      <xdr:nvGraphicFramePr>
        <xdr:cNvPr id="1600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xdr:col>
      <xdr:colOff>485775</xdr:colOff>
      <xdr:row>41</xdr:row>
      <xdr:rowOff>9525</xdr:rowOff>
    </xdr:from>
    <xdr:to>
      <xdr:col>7</xdr:col>
      <xdr:colOff>266700</xdr:colOff>
      <xdr:row>57</xdr:row>
      <xdr:rowOff>76200</xdr:rowOff>
    </xdr:to>
    <xdr:graphicFrame macro="">
      <xdr:nvGraphicFramePr>
        <xdr:cNvPr id="1010885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73</xdr:row>
      <xdr:rowOff>0</xdr:rowOff>
    </xdr:from>
    <xdr:to>
      <xdr:col>6</xdr:col>
      <xdr:colOff>0</xdr:colOff>
      <xdr:row>89</xdr:row>
      <xdr:rowOff>28575</xdr:rowOff>
    </xdr:to>
    <xdr:graphicFrame macro="">
      <xdr:nvGraphicFramePr>
        <xdr:cNvPr id="1010885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76</xdr:row>
      <xdr:rowOff>0</xdr:rowOff>
    </xdr:from>
    <xdr:to>
      <xdr:col>22</xdr:col>
      <xdr:colOff>333375</xdr:colOff>
      <xdr:row>92</xdr:row>
      <xdr:rowOff>0</xdr:rowOff>
    </xdr:to>
    <xdr:graphicFrame macro="">
      <xdr:nvGraphicFramePr>
        <xdr:cNvPr id="10108860"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609600</xdr:colOff>
      <xdr:row>92</xdr:row>
      <xdr:rowOff>190500</xdr:rowOff>
    </xdr:from>
    <xdr:to>
      <xdr:col>22</xdr:col>
      <xdr:colOff>590550</xdr:colOff>
      <xdr:row>113</xdr:row>
      <xdr:rowOff>66675</xdr:rowOff>
    </xdr:to>
    <xdr:graphicFrame macro="">
      <xdr:nvGraphicFramePr>
        <xdr:cNvPr id="1010886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6</xdr:col>
      <xdr:colOff>28575</xdr:colOff>
      <xdr:row>34</xdr:row>
      <xdr:rowOff>19050</xdr:rowOff>
    </xdr:from>
    <xdr:to>
      <xdr:col>11</xdr:col>
      <xdr:colOff>590550</xdr:colOff>
      <xdr:row>51</xdr:row>
      <xdr:rowOff>66675</xdr:rowOff>
    </xdr:to>
    <xdr:graphicFrame macro="">
      <xdr:nvGraphicFramePr>
        <xdr:cNvPr id="2932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34</xdr:row>
      <xdr:rowOff>66675</xdr:rowOff>
    </xdr:from>
    <xdr:to>
      <xdr:col>5</xdr:col>
      <xdr:colOff>161925</xdr:colOff>
      <xdr:row>51</xdr:row>
      <xdr:rowOff>95250</xdr:rowOff>
    </xdr:to>
    <xdr:graphicFrame macro="">
      <xdr:nvGraphicFramePr>
        <xdr:cNvPr id="2932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228600</xdr:colOff>
      <xdr:row>52</xdr:row>
      <xdr:rowOff>104775</xdr:rowOff>
    </xdr:from>
    <xdr:to>
      <xdr:col>4</xdr:col>
      <xdr:colOff>552450</xdr:colOff>
      <xdr:row>67</xdr:row>
      <xdr:rowOff>9525</xdr:rowOff>
    </xdr:to>
    <xdr:graphicFrame macro="">
      <xdr:nvGraphicFramePr>
        <xdr:cNvPr id="10923592"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52</xdr:row>
      <xdr:rowOff>104775</xdr:rowOff>
    </xdr:from>
    <xdr:to>
      <xdr:col>11</xdr:col>
      <xdr:colOff>419100</xdr:colOff>
      <xdr:row>67</xdr:row>
      <xdr:rowOff>19050</xdr:rowOff>
    </xdr:to>
    <xdr:graphicFrame macro="">
      <xdr:nvGraphicFramePr>
        <xdr:cNvPr id="10923593"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228600</xdr:colOff>
      <xdr:row>67</xdr:row>
      <xdr:rowOff>76200</xdr:rowOff>
    </xdr:from>
    <xdr:to>
      <xdr:col>4</xdr:col>
      <xdr:colOff>552450</xdr:colOff>
      <xdr:row>82</xdr:row>
      <xdr:rowOff>0</xdr:rowOff>
    </xdr:to>
    <xdr:graphicFrame macro="">
      <xdr:nvGraphicFramePr>
        <xdr:cNvPr id="10923594"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28575</xdr:colOff>
      <xdr:row>67</xdr:row>
      <xdr:rowOff>95250</xdr:rowOff>
    </xdr:from>
    <xdr:to>
      <xdr:col>11</xdr:col>
      <xdr:colOff>419100</xdr:colOff>
      <xdr:row>82</xdr:row>
      <xdr:rowOff>0</xdr:rowOff>
    </xdr:to>
    <xdr:graphicFrame macro="">
      <xdr:nvGraphicFramePr>
        <xdr:cNvPr id="10923595"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190500</xdr:colOff>
      <xdr:row>13</xdr:row>
      <xdr:rowOff>0</xdr:rowOff>
    </xdr:from>
    <xdr:to>
      <xdr:col>4</xdr:col>
      <xdr:colOff>514350</xdr:colOff>
      <xdr:row>13</xdr:row>
      <xdr:rowOff>0</xdr:rowOff>
    </xdr:to>
    <xdr:graphicFrame macro="">
      <xdr:nvGraphicFramePr>
        <xdr:cNvPr id="511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13</xdr:row>
      <xdr:rowOff>0</xdr:rowOff>
    </xdr:from>
    <xdr:to>
      <xdr:col>10</xdr:col>
      <xdr:colOff>590550</xdr:colOff>
      <xdr:row>13</xdr:row>
      <xdr:rowOff>0</xdr:rowOff>
    </xdr:to>
    <xdr:graphicFrame macro="">
      <xdr:nvGraphicFramePr>
        <xdr:cNvPr id="511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561975</xdr:colOff>
      <xdr:row>17</xdr:row>
      <xdr:rowOff>47625</xdr:rowOff>
    </xdr:from>
    <xdr:to>
      <xdr:col>10</xdr:col>
      <xdr:colOff>514350</xdr:colOff>
      <xdr:row>31</xdr:row>
      <xdr:rowOff>9525</xdr:rowOff>
    </xdr:to>
    <xdr:graphicFrame macro="">
      <xdr:nvGraphicFramePr>
        <xdr:cNvPr id="51151"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7</xdr:col>
      <xdr:colOff>123825</xdr:colOff>
      <xdr:row>2</xdr:row>
      <xdr:rowOff>28575</xdr:rowOff>
    </xdr:from>
    <xdr:to>
      <xdr:col>20</xdr:col>
      <xdr:colOff>19050</xdr:colOff>
      <xdr:row>50</xdr:row>
      <xdr:rowOff>66675</xdr:rowOff>
    </xdr:to>
    <xdr:graphicFrame macro="">
      <xdr:nvGraphicFramePr>
        <xdr:cNvPr id="1056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0.64458</cdr:x>
      <cdr:y>0.26485</cdr:y>
    </cdr:from>
    <cdr:to>
      <cdr:x>0.70168</cdr:x>
      <cdr:y>0.28933</cdr:y>
    </cdr:to>
    <cdr:sp macro="" textlink="">
      <cdr:nvSpPr>
        <cdr:cNvPr id="44033" name="Line 1"/>
        <cdr:cNvSpPr>
          <a:spLocks xmlns:a="http://schemas.openxmlformats.org/drawingml/2006/main" noChangeShapeType="1"/>
        </cdr:cNvSpPr>
      </cdr:nvSpPr>
      <cdr:spPr bwMode="auto">
        <a:xfrm xmlns:a="http://schemas.openxmlformats.org/drawingml/2006/main">
          <a:off x="5393801" y="2313926"/>
          <a:ext cx="477460" cy="213584"/>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0.68759</cdr:x>
      <cdr:y>0.41618</cdr:y>
    </cdr:from>
    <cdr:to>
      <cdr:x>0.77904</cdr:x>
      <cdr:y>0.44857</cdr:y>
    </cdr:to>
    <cdr:sp macro="" textlink="">
      <cdr:nvSpPr>
        <cdr:cNvPr id="44034" name="Line 2"/>
        <cdr:cNvSpPr>
          <a:spLocks xmlns:a="http://schemas.openxmlformats.org/drawingml/2006/main" noChangeShapeType="1"/>
        </cdr:cNvSpPr>
      </cdr:nvSpPr>
      <cdr:spPr bwMode="auto">
        <a:xfrm xmlns:a="http://schemas.openxmlformats.org/drawingml/2006/main" flipH="1" flipV="1">
          <a:off x="5753446" y="3634262"/>
          <a:ext cx="764762" cy="282621"/>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0.55882</cdr:x>
      <cdr:y>0.6538</cdr:y>
    </cdr:from>
    <cdr:to>
      <cdr:x>0.67177</cdr:x>
      <cdr:y>0.69757</cdr:y>
    </cdr:to>
    <cdr:sp macro="" textlink="">
      <cdr:nvSpPr>
        <cdr:cNvPr id="44035" name="Line 3"/>
        <cdr:cNvSpPr>
          <a:spLocks xmlns:a="http://schemas.openxmlformats.org/drawingml/2006/main" noChangeShapeType="1"/>
        </cdr:cNvSpPr>
      </cdr:nvSpPr>
      <cdr:spPr bwMode="auto">
        <a:xfrm xmlns:a="http://schemas.openxmlformats.org/drawingml/2006/main" flipH="1" flipV="1">
          <a:off x="4676578" y="5707536"/>
          <a:ext cx="944585" cy="381862"/>
        </a:xfrm>
        <a:prstGeom xmlns:a="http://schemas.openxmlformats.org/drawingml/2006/main" prst="line">
          <a:avLst/>
        </a:prstGeom>
        <a:noFill xmlns:a="http://schemas.openxmlformats.org/drawingml/2006/main"/>
        <a:ln xmlns:a="http://schemas.openxmlformats.org/drawingml/2006/main" w="9525">
          <a:solidFill>
            <a:srgbClr val="00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27.xml><?xml version="1.0" encoding="utf-8"?>
<xdr:wsDr xmlns:xdr="http://schemas.openxmlformats.org/drawingml/2006/spreadsheetDrawing" xmlns:a="http://schemas.openxmlformats.org/drawingml/2006/main">
  <xdr:twoCellAnchor>
    <xdr:from>
      <xdr:col>0</xdr:col>
      <xdr:colOff>466725</xdr:colOff>
      <xdr:row>30</xdr:row>
      <xdr:rowOff>0</xdr:rowOff>
    </xdr:from>
    <xdr:to>
      <xdr:col>4</xdr:col>
      <xdr:colOff>361950</xdr:colOff>
      <xdr:row>48</xdr:row>
      <xdr:rowOff>104775</xdr:rowOff>
    </xdr:to>
    <xdr:graphicFrame macro="">
      <xdr:nvGraphicFramePr>
        <xdr:cNvPr id="7609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47</xdr:row>
      <xdr:rowOff>95250</xdr:rowOff>
    </xdr:from>
    <xdr:to>
      <xdr:col>4</xdr:col>
      <xdr:colOff>219075</xdr:colOff>
      <xdr:row>61</xdr:row>
      <xdr:rowOff>95250</xdr:rowOff>
    </xdr:to>
    <xdr:graphicFrame macro="">
      <xdr:nvGraphicFramePr>
        <xdr:cNvPr id="14144775"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466725</xdr:colOff>
      <xdr:row>30</xdr:row>
      <xdr:rowOff>0</xdr:rowOff>
    </xdr:from>
    <xdr:to>
      <xdr:col>12</xdr:col>
      <xdr:colOff>0</xdr:colOff>
      <xdr:row>46</xdr:row>
      <xdr:rowOff>0</xdr:rowOff>
    </xdr:to>
    <xdr:graphicFrame macro="">
      <xdr:nvGraphicFramePr>
        <xdr:cNvPr id="14144776"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523875</xdr:colOff>
      <xdr:row>47</xdr:row>
      <xdr:rowOff>95250</xdr:rowOff>
    </xdr:from>
    <xdr:to>
      <xdr:col>12</xdr:col>
      <xdr:colOff>57150</xdr:colOff>
      <xdr:row>62</xdr:row>
      <xdr:rowOff>85725</xdr:rowOff>
    </xdr:to>
    <xdr:graphicFrame macro="">
      <xdr:nvGraphicFramePr>
        <xdr:cNvPr id="14144777"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19050</xdr:colOff>
      <xdr:row>28</xdr:row>
      <xdr:rowOff>104775</xdr:rowOff>
    </xdr:from>
    <xdr:to>
      <xdr:col>4</xdr:col>
      <xdr:colOff>257175</xdr:colOff>
      <xdr:row>46</xdr:row>
      <xdr:rowOff>152400</xdr:rowOff>
    </xdr:to>
    <xdr:graphicFrame macro="">
      <xdr:nvGraphicFramePr>
        <xdr:cNvPr id="14144778"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400050</xdr:colOff>
      <xdr:row>34</xdr:row>
      <xdr:rowOff>9525</xdr:rowOff>
    </xdr:from>
    <xdr:to>
      <xdr:col>2</xdr:col>
      <xdr:colOff>781050</xdr:colOff>
      <xdr:row>50</xdr:row>
      <xdr:rowOff>85725</xdr:rowOff>
    </xdr:to>
    <xdr:graphicFrame macro="">
      <xdr:nvGraphicFramePr>
        <xdr:cNvPr id="7469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238125</xdr:colOff>
      <xdr:row>34</xdr:row>
      <xdr:rowOff>9525</xdr:rowOff>
    </xdr:from>
    <xdr:to>
      <xdr:col>9</xdr:col>
      <xdr:colOff>190500</xdr:colOff>
      <xdr:row>50</xdr:row>
      <xdr:rowOff>85725</xdr:rowOff>
    </xdr:to>
    <xdr:graphicFrame macro="">
      <xdr:nvGraphicFramePr>
        <xdr:cNvPr id="74698"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371475</xdr:colOff>
      <xdr:row>51</xdr:row>
      <xdr:rowOff>66675</xdr:rowOff>
    </xdr:from>
    <xdr:to>
      <xdr:col>2</xdr:col>
      <xdr:colOff>752475</xdr:colOff>
      <xdr:row>66</xdr:row>
      <xdr:rowOff>104775</xdr:rowOff>
    </xdr:to>
    <xdr:graphicFrame macro="">
      <xdr:nvGraphicFramePr>
        <xdr:cNvPr id="74699"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15</xdr:row>
      <xdr:rowOff>114300</xdr:rowOff>
    </xdr:from>
    <xdr:to>
      <xdr:col>6</xdr:col>
      <xdr:colOff>819150</xdr:colOff>
      <xdr:row>50</xdr:row>
      <xdr:rowOff>133350</xdr:rowOff>
    </xdr:to>
    <xdr:graphicFrame macro="">
      <xdr:nvGraphicFramePr>
        <xdr:cNvPr id="91073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200025</xdr:colOff>
      <xdr:row>2</xdr:row>
      <xdr:rowOff>9525</xdr:rowOff>
    </xdr:from>
    <xdr:to>
      <xdr:col>44</xdr:col>
      <xdr:colOff>552450</xdr:colOff>
      <xdr:row>49</xdr:row>
      <xdr:rowOff>38100</xdr:rowOff>
    </xdr:to>
    <xdr:graphicFrame macro="">
      <xdr:nvGraphicFramePr>
        <xdr:cNvPr id="910735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838200</xdr:colOff>
      <xdr:row>15</xdr:row>
      <xdr:rowOff>123825</xdr:rowOff>
    </xdr:from>
    <xdr:to>
      <xdr:col>14</xdr:col>
      <xdr:colOff>990600</xdr:colOff>
      <xdr:row>51</xdr:row>
      <xdr:rowOff>0</xdr:rowOff>
    </xdr:to>
    <xdr:graphicFrame macro="">
      <xdr:nvGraphicFramePr>
        <xdr:cNvPr id="910735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209550</xdr:colOff>
      <xdr:row>50</xdr:row>
      <xdr:rowOff>19050</xdr:rowOff>
    </xdr:from>
    <xdr:to>
      <xdr:col>44</xdr:col>
      <xdr:colOff>561975</xdr:colOff>
      <xdr:row>91</xdr:row>
      <xdr:rowOff>0</xdr:rowOff>
    </xdr:to>
    <xdr:graphicFrame macro="">
      <xdr:nvGraphicFramePr>
        <xdr:cNvPr id="910735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60</xdr:col>
      <xdr:colOff>0</xdr:colOff>
      <xdr:row>2</xdr:row>
      <xdr:rowOff>0</xdr:rowOff>
    </xdr:from>
    <xdr:to>
      <xdr:col>78</xdr:col>
      <xdr:colOff>295275</xdr:colOff>
      <xdr:row>44</xdr:row>
      <xdr:rowOff>66675</xdr:rowOff>
    </xdr:to>
    <xdr:graphicFrame macro="">
      <xdr:nvGraphicFramePr>
        <xdr:cNvPr id="9107353"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60</xdr:col>
      <xdr:colOff>0</xdr:colOff>
      <xdr:row>47</xdr:row>
      <xdr:rowOff>0</xdr:rowOff>
    </xdr:from>
    <xdr:to>
      <xdr:col>78</xdr:col>
      <xdr:colOff>352425</xdr:colOff>
      <xdr:row>87</xdr:row>
      <xdr:rowOff>161925</xdr:rowOff>
    </xdr:to>
    <xdr:graphicFrame macro="">
      <xdr:nvGraphicFramePr>
        <xdr:cNvPr id="9107354"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2</xdr:col>
      <xdr:colOff>9525</xdr:colOff>
      <xdr:row>10</xdr:row>
      <xdr:rowOff>9525</xdr:rowOff>
    </xdr:from>
    <xdr:to>
      <xdr:col>9</xdr:col>
      <xdr:colOff>381000</xdr:colOff>
      <xdr:row>27</xdr:row>
      <xdr:rowOff>142875</xdr:rowOff>
    </xdr:to>
    <xdr:graphicFrame macro="">
      <xdr:nvGraphicFramePr>
        <xdr:cNvPr id="143742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10</xdr:row>
      <xdr:rowOff>9525</xdr:rowOff>
    </xdr:from>
    <xdr:to>
      <xdr:col>18</xdr:col>
      <xdr:colOff>409575</xdr:colOff>
      <xdr:row>27</xdr:row>
      <xdr:rowOff>142875</xdr:rowOff>
    </xdr:to>
    <xdr:graphicFrame macro="">
      <xdr:nvGraphicFramePr>
        <xdr:cNvPr id="1437427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9525</xdr:colOff>
      <xdr:row>27</xdr:row>
      <xdr:rowOff>180975</xdr:rowOff>
    </xdr:from>
    <xdr:to>
      <xdr:col>9</xdr:col>
      <xdr:colOff>381000</xdr:colOff>
      <xdr:row>45</xdr:row>
      <xdr:rowOff>123825</xdr:rowOff>
    </xdr:to>
    <xdr:graphicFrame macro="">
      <xdr:nvGraphicFramePr>
        <xdr:cNvPr id="14374271"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27</xdr:row>
      <xdr:rowOff>161925</xdr:rowOff>
    </xdr:from>
    <xdr:to>
      <xdr:col>18</xdr:col>
      <xdr:colOff>409575</xdr:colOff>
      <xdr:row>45</xdr:row>
      <xdr:rowOff>123825</xdr:rowOff>
    </xdr:to>
    <xdr:graphicFrame macro="">
      <xdr:nvGraphicFramePr>
        <xdr:cNvPr id="1437427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9525</xdr:colOff>
      <xdr:row>46</xdr:row>
      <xdr:rowOff>0</xdr:rowOff>
    </xdr:from>
    <xdr:to>
      <xdr:col>9</xdr:col>
      <xdr:colOff>381000</xdr:colOff>
      <xdr:row>63</xdr:row>
      <xdr:rowOff>123825</xdr:rowOff>
    </xdr:to>
    <xdr:graphicFrame macro="">
      <xdr:nvGraphicFramePr>
        <xdr:cNvPr id="1437427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419100</xdr:colOff>
      <xdr:row>46</xdr:row>
      <xdr:rowOff>0</xdr:rowOff>
    </xdr:from>
    <xdr:to>
      <xdr:col>19</xdr:col>
      <xdr:colOff>9525</xdr:colOff>
      <xdr:row>63</xdr:row>
      <xdr:rowOff>123825</xdr:rowOff>
    </xdr:to>
    <xdr:graphicFrame macro="">
      <xdr:nvGraphicFramePr>
        <xdr:cNvPr id="1437427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8</xdr:col>
      <xdr:colOff>104775</xdr:colOff>
      <xdr:row>28</xdr:row>
      <xdr:rowOff>85725</xdr:rowOff>
    </xdr:from>
    <xdr:to>
      <xdr:col>23</xdr:col>
      <xdr:colOff>104775</xdr:colOff>
      <xdr:row>47</xdr:row>
      <xdr:rowOff>85725</xdr:rowOff>
    </xdr:to>
    <xdr:graphicFrame macro="">
      <xdr:nvGraphicFramePr>
        <xdr:cNvPr id="1610576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47625</xdr:colOff>
      <xdr:row>28</xdr:row>
      <xdr:rowOff>66675</xdr:rowOff>
    </xdr:from>
    <xdr:to>
      <xdr:col>8</xdr:col>
      <xdr:colOff>47625</xdr:colOff>
      <xdr:row>47</xdr:row>
      <xdr:rowOff>66675</xdr:rowOff>
    </xdr:to>
    <xdr:graphicFrame macro="">
      <xdr:nvGraphicFramePr>
        <xdr:cNvPr id="1610576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314325</xdr:colOff>
      <xdr:row>0</xdr:row>
      <xdr:rowOff>9525</xdr:rowOff>
    </xdr:from>
    <xdr:to>
      <xdr:col>23</xdr:col>
      <xdr:colOff>247650</xdr:colOff>
      <xdr:row>22</xdr:row>
      <xdr:rowOff>9525</xdr:rowOff>
    </xdr:to>
    <xdr:graphicFrame macro="">
      <xdr:nvGraphicFramePr>
        <xdr:cNvPr id="16105766"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0.15464</cdr:x>
      <cdr:y>0.44245</cdr:y>
    </cdr:from>
    <cdr:to>
      <cdr:x>0.4721</cdr:x>
      <cdr:y>0.52681</cdr:y>
    </cdr:to>
    <cdr:sp macro="" textlink="">
      <cdr:nvSpPr>
        <cdr:cNvPr id="17409" name="Text Box 1"/>
        <cdr:cNvSpPr txBox="1">
          <a:spLocks xmlns:a="http://schemas.openxmlformats.org/drawingml/2006/main" noChangeArrowheads="1"/>
        </cdr:cNvSpPr>
      </cdr:nvSpPr>
      <cdr:spPr bwMode="auto">
        <a:xfrm xmlns:a="http://schemas.openxmlformats.org/drawingml/2006/main">
          <a:off x="1177100" y="2590794"/>
          <a:ext cx="2410021" cy="493328"/>
        </a:xfrm>
        <a:prstGeom xmlns:a="http://schemas.openxmlformats.org/drawingml/2006/main" prst="rect">
          <a:avLst/>
        </a:prstGeom>
        <a:solidFill xmlns:a="http://schemas.openxmlformats.org/drawingml/2006/main">
          <a:srgbClr val="FFFFFF"/>
        </a:solidFill>
        <a:ln xmlns:a="http://schemas.openxmlformats.org/drawingml/2006/main" w="0">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100" b="0" i="0" u="none" strike="noStrike" baseline="0">
              <a:solidFill>
                <a:srgbClr val="000000"/>
              </a:solidFill>
              <a:latin typeface="Arial"/>
              <a:cs typeface="Arial"/>
            </a:rPr>
            <a:t>Total Blade Cost:</a:t>
          </a:r>
        </a:p>
        <a:p xmlns:a="http://schemas.openxmlformats.org/drawingml/2006/main">
          <a:pPr algn="ctr" rtl="0">
            <a:defRPr sz="1000"/>
          </a:pPr>
          <a:r>
            <a:rPr lang="en-US" sz="1100" b="0" i="0" u="none" strike="noStrike" baseline="0">
              <a:solidFill>
                <a:srgbClr val="000000"/>
              </a:solidFill>
              <a:latin typeface="Arial"/>
              <a:cs typeface="Arial"/>
            </a:rPr>
            <a:t>$ = (Material + Labor) / (1-0.28)</a:t>
          </a:r>
        </a:p>
      </cdr:txBody>
    </cdr:sp>
  </cdr:relSizeAnchor>
  <cdr:relSizeAnchor xmlns:cdr="http://schemas.openxmlformats.org/drawingml/2006/chartDrawing">
    <cdr:from>
      <cdr:x>0.55875</cdr:x>
      <cdr:y>0.2949</cdr:y>
    </cdr:from>
    <cdr:to>
      <cdr:x>0.62713</cdr:x>
      <cdr:y>0.35515</cdr:y>
    </cdr:to>
    <cdr:sp macro="" textlink="">
      <cdr:nvSpPr>
        <cdr:cNvPr id="17410" name="Line 2"/>
        <cdr:cNvSpPr>
          <a:spLocks xmlns:a="http://schemas.openxmlformats.org/drawingml/2006/main" noChangeShapeType="1"/>
        </cdr:cNvSpPr>
      </cdr:nvSpPr>
      <cdr:spPr bwMode="auto">
        <a:xfrm xmlns:a="http://schemas.openxmlformats.org/drawingml/2006/main">
          <a:off x="4244910" y="1727829"/>
          <a:ext cx="519110" cy="352377"/>
        </a:xfrm>
        <a:prstGeom xmlns:a="http://schemas.openxmlformats.org/drawingml/2006/main" prst="line">
          <a:avLst/>
        </a:prstGeom>
        <a:noFill xmlns:a="http://schemas.openxmlformats.org/drawingml/2006/main"/>
        <a:ln xmlns:a="http://schemas.openxmlformats.org/drawingml/2006/main" w="12700">
          <a:solidFill>
            <a:srgbClr val="9933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0.67651</cdr:x>
      <cdr:y>0.62542</cdr:y>
    </cdr:from>
    <cdr:to>
      <cdr:x>0.73699</cdr:x>
      <cdr:y>0.66305</cdr:y>
    </cdr:to>
    <cdr:sp macro="" textlink="">
      <cdr:nvSpPr>
        <cdr:cNvPr id="17411" name="Line 3"/>
        <cdr:cNvSpPr>
          <a:spLocks xmlns:a="http://schemas.openxmlformats.org/drawingml/2006/main" noChangeShapeType="1"/>
        </cdr:cNvSpPr>
      </cdr:nvSpPr>
      <cdr:spPr bwMode="auto">
        <a:xfrm xmlns:a="http://schemas.openxmlformats.org/drawingml/2006/main">
          <a:off x="5138829" y="3660870"/>
          <a:ext cx="459141" cy="220056"/>
        </a:xfrm>
        <a:prstGeom xmlns:a="http://schemas.openxmlformats.org/drawingml/2006/main" prst="line">
          <a:avLst/>
        </a:prstGeom>
        <a:noFill xmlns:a="http://schemas.openxmlformats.org/drawingml/2006/main"/>
        <a:ln xmlns:a="http://schemas.openxmlformats.org/drawingml/2006/main" w="12700">
          <a:solidFill>
            <a:srgbClr val="0000FF"/>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0.61849</cdr:x>
      <cdr:y>0.73289</cdr:y>
    </cdr:from>
    <cdr:to>
      <cdr:x>0.74563</cdr:x>
      <cdr:y>0.74126</cdr:y>
    </cdr:to>
    <cdr:sp macro="" textlink="">
      <cdr:nvSpPr>
        <cdr:cNvPr id="17412" name="Line 4"/>
        <cdr:cNvSpPr>
          <a:spLocks xmlns:a="http://schemas.openxmlformats.org/drawingml/2006/main" noChangeShapeType="1"/>
        </cdr:cNvSpPr>
      </cdr:nvSpPr>
      <cdr:spPr bwMode="auto">
        <a:xfrm xmlns:a="http://schemas.openxmlformats.org/drawingml/2006/main" flipH="1" flipV="1">
          <a:off x="4698429" y="4289396"/>
          <a:ext cx="965132" cy="48902"/>
        </a:xfrm>
        <a:prstGeom xmlns:a="http://schemas.openxmlformats.org/drawingml/2006/main" prst="line">
          <a:avLst/>
        </a:prstGeom>
        <a:noFill xmlns:a="http://schemas.openxmlformats.org/drawingml/2006/main"/>
        <a:ln xmlns:a="http://schemas.openxmlformats.org/drawingml/2006/main" w="12700">
          <a:solidFill>
            <a:srgbClr val="00808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0.55875</cdr:x>
      <cdr:y>0.77347</cdr:y>
    </cdr:from>
    <cdr:to>
      <cdr:x>0.61134</cdr:x>
      <cdr:y>0.80446</cdr:y>
    </cdr:to>
    <cdr:sp macro="" textlink="">
      <cdr:nvSpPr>
        <cdr:cNvPr id="17413" name="Line 5"/>
        <cdr:cNvSpPr>
          <a:spLocks xmlns:a="http://schemas.openxmlformats.org/drawingml/2006/main" noChangeShapeType="1"/>
        </cdr:cNvSpPr>
      </cdr:nvSpPr>
      <cdr:spPr bwMode="auto">
        <a:xfrm xmlns:a="http://schemas.openxmlformats.org/drawingml/2006/main" flipH="1" flipV="1">
          <a:off x="4244910" y="4526712"/>
          <a:ext cx="399171" cy="181222"/>
        </a:xfrm>
        <a:prstGeom xmlns:a="http://schemas.openxmlformats.org/drawingml/2006/main" prst="line">
          <a:avLst/>
        </a:prstGeom>
        <a:noFill xmlns:a="http://schemas.openxmlformats.org/drawingml/2006/main"/>
        <a:ln xmlns:a="http://schemas.openxmlformats.org/drawingml/2006/main" w="12700">
          <a:solidFill>
            <a:srgbClr val="FF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5.xml><?xml version="1.0" encoding="utf-8"?>
<c:userShapes xmlns:c="http://schemas.openxmlformats.org/drawingml/2006/chart">
  <cdr:relSizeAnchor xmlns:cdr="http://schemas.openxmlformats.org/drawingml/2006/chartDrawing">
    <cdr:from>
      <cdr:x>0.56</cdr:x>
      <cdr:y>0.80782</cdr:y>
    </cdr:from>
    <cdr:to>
      <cdr:x>0.91175</cdr:x>
      <cdr:y>0.86932</cdr:y>
    </cdr:to>
    <cdr:sp macro="" textlink="">
      <cdr:nvSpPr>
        <cdr:cNvPr id="18433" name="Text Box 1"/>
        <cdr:cNvSpPr txBox="1">
          <a:spLocks xmlns:a="http://schemas.openxmlformats.org/drawingml/2006/main" noChangeArrowheads="1"/>
        </cdr:cNvSpPr>
      </cdr:nvSpPr>
      <cdr:spPr bwMode="auto">
        <a:xfrm xmlns:a="http://schemas.openxmlformats.org/drawingml/2006/main">
          <a:off x="6299496" y="6386449"/>
          <a:ext cx="3956844" cy="486203"/>
        </a:xfrm>
        <a:prstGeom xmlns:a="http://schemas.openxmlformats.org/drawingml/2006/main" prst="rect">
          <a:avLst/>
        </a:prstGeom>
        <a:solidFill xmlns:a="http://schemas.openxmlformats.org/drawingml/2006/main">
          <a:srgbClr val="FFFFFF"/>
        </a:solidFill>
        <a:ln xmlns:a="http://schemas.openxmlformats.org/drawingml/2006/main" w="0">
          <a:noFill/>
          <a:miter lim="800000"/>
          <a:headEnd/>
          <a:tailEnd/>
        </a:ln>
        <a:effectLst xmlns:a="http://schemas.openxmlformats.org/drawingml/2006/main"/>
      </cdr:spPr>
      <cdr:txBody>
        <a:bodyPr xmlns:a="http://schemas.openxmlformats.org/drawingml/2006/main" vertOverflow="clip" wrap="square" lIns="36576" tIns="22860" rIns="36576" bIns="22860" anchor="ctr" upright="1"/>
        <a:lstStyle xmlns:a="http://schemas.openxmlformats.org/drawingml/2006/main"/>
        <a:p xmlns:a="http://schemas.openxmlformats.org/drawingml/2006/main">
          <a:pPr algn="ctr" rtl="0">
            <a:defRPr sz="1000"/>
          </a:pPr>
          <a:r>
            <a:rPr lang="en-US" sz="1200" b="0" i="0" u="none" strike="noStrike" baseline="0">
              <a:solidFill>
                <a:srgbClr val="000000"/>
              </a:solidFill>
              <a:latin typeface="Arial"/>
              <a:cs typeface="Arial"/>
            </a:rPr>
            <a:t>Baseline blade mass curve = WindPACT baseline</a:t>
          </a:r>
        </a:p>
        <a:p xmlns:a="http://schemas.openxmlformats.org/drawingml/2006/main">
          <a:pPr algn="ctr" rtl="0">
            <a:defRPr sz="1000"/>
          </a:pPr>
          <a:r>
            <a:rPr lang="en-US" sz="1200" b="0" i="0" u="none" strike="noStrike" baseline="0">
              <a:solidFill>
                <a:srgbClr val="000000"/>
              </a:solidFill>
              <a:latin typeface="Arial"/>
              <a:cs typeface="Arial"/>
            </a:rPr>
            <a:t>Advanced blade mass curve = LM advanced design</a:t>
          </a:r>
        </a:p>
      </cdr:txBody>
    </cdr:sp>
  </cdr:relSizeAnchor>
  <cdr:relSizeAnchor xmlns:cdr="http://schemas.openxmlformats.org/drawingml/2006/chartDrawing">
    <cdr:from>
      <cdr:x>0.50804</cdr:x>
      <cdr:y>0.20241</cdr:y>
    </cdr:from>
    <cdr:to>
      <cdr:x>0.61643</cdr:x>
      <cdr:y>0.26024</cdr:y>
    </cdr:to>
    <cdr:sp macro="" textlink="">
      <cdr:nvSpPr>
        <cdr:cNvPr id="18435" name="Line 3"/>
        <cdr:cNvSpPr>
          <a:spLocks xmlns:a="http://schemas.openxmlformats.org/drawingml/2006/main" noChangeShapeType="1"/>
        </cdr:cNvSpPr>
      </cdr:nvSpPr>
      <cdr:spPr bwMode="auto">
        <a:xfrm xmlns:a="http://schemas.openxmlformats.org/drawingml/2006/main" flipH="1">
          <a:off x="5714999" y="1600201"/>
          <a:ext cx="1219199" cy="457199"/>
        </a:xfrm>
        <a:prstGeom xmlns:a="http://schemas.openxmlformats.org/drawingml/2006/main" prst="line">
          <a:avLst/>
        </a:prstGeom>
        <a:noFill xmlns:a="http://schemas.openxmlformats.org/drawingml/2006/main"/>
        <a:ln xmlns:a="http://schemas.openxmlformats.org/drawingml/2006/main" w="15875">
          <a:solidFill>
            <a:srgbClr val="00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0.52496</cdr:x>
      <cdr:y>0.38</cdr:y>
    </cdr:from>
    <cdr:to>
      <cdr:x>0.60056</cdr:x>
      <cdr:y>0.41038</cdr:y>
    </cdr:to>
    <cdr:sp macro="" textlink="">
      <cdr:nvSpPr>
        <cdr:cNvPr id="18436" name="Line 4"/>
        <cdr:cNvSpPr>
          <a:spLocks xmlns:a="http://schemas.openxmlformats.org/drawingml/2006/main" noChangeShapeType="1"/>
        </cdr:cNvSpPr>
      </cdr:nvSpPr>
      <cdr:spPr bwMode="auto">
        <a:xfrm xmlns:a="http://schemas.openxmlformats.org/drawingml/2006/main" flipH="1" flipV="1">
          <a:off x="5905320" y="3004147"/>
          <a:ext cx="850426" cy="240177"/>
        </a:xfrm>
        <a:prstGeom xmlns:a="http://schemas.openxmlformats.org/drawingml/2006/main" prst="line">
          <a:avLst/>
        </a:prstGeom>
        <a:noFill xmlns:a="http://schemas.openxmlformats.org/drawingml/2006/main"/>
        <a:ln xmlns:a="http://schemas.openxmlformats.org/drawingml/2006/main" w="12700">
          <a:solidFill>
            <a:srgbClr val="00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0.54005</cdr:x>
      <cdr:y>0.5273</cdr:y>
    </cdr:from>
    <cdr:to>
      <cdr:x>0.6092</cdr:x>
      <cdr:y>0.56312</cdr:y>
    </cdr:to>
    <cdr:sp macro="" textlink="">
      <cdr:nvSpPr>
        <cdr:cNvPr id="18437" name="Line 5"/>
        <cdr:cNvSpPr>
          <a:spLocks xmlns:a="http://schemas.openxmlformats.org/drawingml/2006/main" noChangeShapeType="1"/>
        </cdr:cNvSpPr>
      </cdr:nvSpPr>
      <cdr:spPr bwMode="auto">
        <a:xfrm xmlns:a="http://schemas.openxmlformats.org/drawingml/2006/main" flipH="1" flipV="1">
          <a:off x="6075076" y="4168704"/>
          <a:ext cx="777870" cy="283184"/>
        </a:xfrm>
        <a:prstGeom xmlns:a="http://schemas.openxmlformats.org/drawingml/2006/main" prst="line">
          <a:avLst/>
        </a:prstGeom>
        <a:noFill xmlns:a="http://schemas.openxmlformats.org/drawingml/2006/main"/>
        <a:ln xmlns:a="http://schemas.openxmlformats.org/drawingml/2006/main" w="12700">
          <a:solidFill>
            <a:srgbClr val="00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0.41659</cdr:x>
      <cdr:y>0.74145</cdr:y>
    </cdr:from>
    <cdr:to>
      <cdr:x>0.42845</cdr:x>
      <cdr:y>0.80723</cdr:y>
    </cdr:to>
    <cdr:sp macro="" textlink="">
      <cdr:nvSpPr>
        <cdr:cNvPr id="18438" name="Line 6"/>
        <cdr:cNvSpPr>
          <a:spLocks xmlns:a="http://schemas.openxmlformats.org/drawingml/2006/main" noChangeShapeType="1"/>
        </cdr:cNvSpPr>
      </cdr:nvSpPr>
      <cdr:spPr bwMode="auto">
        <a:xfrm xmlns:a="http://schemas.openxmlformats.org/drawingml/2006/main" flipH="1" flipV="1">
          <a:off x="4686282" y="5861690"/>
          <a:ext cx="133368" cy="520060"/>
        </a:xfrm>
        <a:prstGeom xmlns:a="http://schemas.openxmlformats.org/drawingml/2006/main" prst="line">
          <a:avLst/>
        </a:prstGeom>
        <a:noFill xmlns:a="http://schemas.openxmlformats.org/drawingml/2006/main"/>
        <a:ln xmlns:a="http://schemas.openxmlformats.org/drawingml/2006/main" w="12700">
          <a:solidFill>
            <a:srgbClr val="00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6.xml><?xml version="1.0" encoding="utf-8"?>
<c:userShapes xmlns:c="http://schemas.openxmlformats.org/drawingml/2006/chart">
  <cdr:relSizeAnchor xmlns:cdr="http://schemas.openxmlformats.org/drawingml/2006/chartDrawing">
    <cdr:from>
      <cdr:x>0.3213</cdr:x>
      <cdr:y>0.48697</cdr:y>
    </cdr:from>
    <cdr:to>
      <cdr:x>0.66489</cdr:x>
      <cdr:y>0.56788</cdr:y>
    </cdr:to>
    <cdr:sp macro="" textlink="">
      <cdr:nvSpPr>
        <cdr:cNvPr id="19457" name="Text Box 1"/>
        <cdr:cNvSpPr txBox="1">
          <a:spLocks xmlns:a="http://schemas.openxmlformats.org/drawingml/2006/main" noChangeArrowheads="1"/>
        </cdr:cNvSpPr>
      </cdr:nvSpPr>
      <cdr:spPr bwMode="auto">
        <a:xfrm xmlns:a="http://schemas.openxmlformats.org/drawingml/2006/main">
          <a:off x="2176066" y="2860394"/>
          <a:ext cx="2323623" cy="474759"/>
        </a:xfrm>
        <a:prstGeom xmlns:a="http://schemas.openxmlformats.org/drawingml/2006/main" prst="rect">
          <a:avLst/>
        </a:prstGeom>
        <a:solidFill xmlns:a="http://schemas.openxmlformats.org/drawingml/2006/main">
          <a:srgbClr val="FFFFFF"/>
        </a:solidFill>
        <a:ln xmlns:a="http://schemas.openxmlformats.org/drawingml/2006/main" w="0">
          <a:noFill/>
          <a:miter lim="800000"/>
          <a:headEnd/>
          <a:tailEnd/>
        </a:ln>
        <a:effectLst xmlns:a="http://schemas.openxmlformats.org/drawingml/2006/main"/>
      </cdr:spPr>
      <cdr:txBody>
        <a:bodyPr xmlns:a="http://schemas.openxmlformats.org/drawingml/2006/main" vertOverflow="clip" wrap="square" lIns="36576" tIns="22860" rIns="36576" bIns="22860" anchor="ctr" upright="1"/>
        <a:lstStyle xmlns:a="http://schemas.openxmlformats.org/drawingml/2006/main"/>
        <a:p xmlns:a="http://schemas.openxmlformats.org/drawingml/2006/main">
          <a:pPr algn="ctr" rtl="0">
            <a:defRPr sz="1000"/>
          </a:pPr>
          <a:r>
            <a:rPr lang="en-US" sz="1200" b="0" i="0" u="none" strike="noStrike" baseline="0">
              <a:solidFill>
                <a:srgbClr val="000000"/>
              </a:solidFill>
              <a:latin typeface="Arial"/>
              <a:cs typeface="Arial"/>
            </a:rPr>
            <a:t>Total Blade Cost:</a:t>
          </a:r>
        </a:p>
        <a:p xmlns:a="http://schemas.openxmlformats.org/drawingml/2006/main">
          <a:pPr algn="ctr" rtl="0">
            <a:defRPr sz="1000"/>
          </a:pPr>
          <a:r>
            <a:rPr lang="en-US" sz="1200" b="0" i="0" u="none" strike="noStrike" baseline="0">
              <a:solidFill>
                <a:srgbClr val="000000"/>
              </a:solidFill>
              <a:latin typeface="Arial"/>
              <a:cs typeface="Arial"/>
            </a:rPr>
            <a:t>$ = (Material + Labor) / (1-0.28)</a:t>
          </a:r>
        </a:p>
      </cdr:txBody>
    </cdr:sp>
  </cdr:relSizeAnchor>
  <cdr:relSizeAnchor xmlns:cdr="http://schemas.openxmlformats.org/drawingml/2006/chartDrawing">
    <cdr:from>
      <cdr:x>0.74278</cdr:x>
      <cdr:y>0.30989</cdr:y>
    </cdr:from>
    <cdr:to>
      <cdr:x>0.82363</cdr:x>
      <cdr:y>0.35194</cdr:y>
    </cdr:to>
    <cdr:sp macro="" textlink="">
      <cdr:nvSpPr>
        <cdr:cNvPr id="19458" name="Line 2"/>
        <cdr:cNvSpPr>
          <a:spLocks xmlns:a="http://schemas.openxmlformats.org/drawingml/2006/main" noChangeShapeType="1"/>
        </cdr:cNvSpPr>
      </cdr:nvSpPr>
      <cdr:spPr bwMode="auto">
        <a:xfrm xmlns:a="http://schemas.openxmlformats.org/drawingml/2006/main">
          <a:off x="5026422" y="1821407"/>
          <a:ext cx="546735" cy="246759"/>
        </a:xfrm>
        <a:prstGeom xmlns:a="http://schemas.openxmlformats.org/drawingml/2006/main" prst="line">
          <a:avLst/>
        </a:prstGeom>
        <a:noFill xmlns:a="http://schemas.openxmlformats.org/drawingml/2006/main"/>
        <a:ln xmlns:a="http://schemas.openxmlformats.org/drawingml/2006/main" w="12700">
          <a:solidFill>
            <a:srgbClr val="9933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0.83595</cdr:x>
      <cdr:y>0.60403</cdr:y>
    </cdr:from>
    <cdr:to>
      <cdr:x>0.86873</cdr:x>
      <cdr:y>0.63478</cdr:y>
    </cdr:to>
    <cdr:sp macro="" textlink="">
      <cdr:nvSpPr>
        <cdr:cNvPr id="19459" name="Line 3"/>
        <cdr:cNvSpPr>
          <a:spLocks xmlns:a="http://schemas.openxmlformats.org/drawingml/2006/main" noChangeShapeType="1"/>
        </cdr:cNvSpPr>
      </cdr:nvSpPr>
      <cdr:spPr bwMode="auto">
        <a:xfrm xmlns:a="http://schemas.openxmlformats.org/drawingml/2006/main">
          <a:off x="5656501" y="3547280"/>
          <a:ext cx="221694" cy="180380"/>
        </a:xfrm>
        <a:prstGeom xmlns:a="http://schemas.openxmlformats.org/drawingml/2006/main" prst="line">
          <a:avLst/>
        </a:prstGeom>
        <a:noFill xmlns:a="http://schemas.openxmlformats.org/drawingml/2006/main"/>
        <a:ln xmlns:a="http://schemas.openxmlformats.org/drawingml/2006/main" w="12700">
          <a:solidFill>
            <a:srgbClr val="0000FF"/>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0.5562</cdr:x>
      <cdr:y>0.72922</cdr:y>
    </cdr:from>
    <cdr:to>
      <cdr:x>0.67894</cdr:x>
      <cdr:y>0.80866</cdr:y>
    </cdr:to>
    <cdr:sp macro="" textlink="">
      <cdr:nvSpPr>
        <cdr:cNvPr id="19460" name="Line 4"/>
        <cdr:cNvSpPr>
          <a:spLocks xmlns:a="http://schemas.openxmlformats.org/drawingml/2006/main" noChangeShapeType="1"/>
        </cdr:cNvSpPr>
      </cdr:nvSpPr>
      <cdr:spPr bwMode="auto">
        <a:xfrm xmlns:a="http://schemas.openxmlformats.org/drawingml/2006/main">
          <a:off x="3764598" y="4281786"/>
          <a:ext cx="830103" cy="466101"/>
        </a:xfrm>
        <a:prstGeom xmlns:a="http://schemas.openxmlformats.org/drawingml/2006/main" prst="line">
          <a:avLst/>
        </a:prstGeom>
        <a:noFill xmlns:a="http://schemas.openxmlformats.org/drawingml/2006/main"/>
        <a:ln xmlns:a="http://schemas.openxmlformats.org/drawingml/2006/main" w="9525">
          <a:solidFill>
            <a:srgbClr val="00808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0.81648</cdr:x>
      <cdr:y>0.7666</cdr:y>
    </cdr:from>
    <cdr:to>
      <cdr:x>0.88574</cdr:x>
      <cdr:y>0.81997</cdr:y>
    </cdr:to>
    <cdr:sp macro="" textlink="">
      <cdr:nvSpPr>
        <cdr:cNvPr id="19461" name="Line 5"/>
        <cdr:cNvSpPr>
          <a:spLocks xmlns:a="http://schemas.openxmlformats.org/drawingml/2006/main" noChangeShapeType="1"/>
        </cdr:cNvSpPr>
      </cdr:nvSpPr>
      <cdr:spPr bwMode="auto">
        <a:xfrm xmlns:a="http://schemas.openxmlformats.org/drawingml/2006/main" flipH="1" flipV="1">
          <a:off x="5524818" y="4501128"/>
          <a:ext cx="468391" cy="313139"/>
        </a:xfrm>
        <a:prstGeom xmlns:a="http://schemas.openxmlformats.org/drawingml/2006/main" prst="line">
          <a:avLst/>
        </a:prstGeom>
        <a:noFill xmlns:a="http://schemas.openxmlformats.org/drawingml/2006/main"/>
        <a:ln xmlns:a="http://schemas.openxmlformats.org/drawingml/2006/main" w="12700">
          <a:solidFill>
            <a:srgbClr val="FF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7.xml><?xml version="1.0" encoding="utf-8"?>
<c:userShapes xmlns:c="http://schemas.openxmlformats.org/drawingml/2006/chart">
  <cdr:relSizeAnchor xmlns:cdr="http://schemas.openxmlformats.org/drawingml/2006/chartDrawing">
    <cdr:from>
      <cdr:x>0.56619</cdr:x>
      <cdr:y>0.13075</cdr:y>
    </cdr:from>
    <cdr:to>
      <cdr:x>0.92562</cdr:x>
      <cdr:y>0.19365</cdr:y>
    </cdr:to>
    <cdr:sp macro="" textlink="">
      <cdr:nvSpPr>
        <cdr:cNvPr id="20481" name="Text Box 1"/>
        <cdr:cNvSpPr txBox="1">
          <a:spLocks xmlns:a="http://schemas.openxmlformats.org/drawingml/2006/main" noChangeArrowheads="1"/>
        </cdr:cNvSpPr>
      </cdr:nvSpPr>
      <cdr:spPr bwMode="auto">
        <a:xfrm xmlns:a="http://schemas.openxmlformats.org/drawingml/2006/main">
          <a:off x="6377600" y="934753"/>
          <a:ext cx="4046697" cy="448128"/>
        </a:xfrm>
        <a:prstGeom xmlns:a="http://schemas.openxmlformats.org/drawingml/2006/main" prst="rect">
          <a:avLst/>
        </a:prstGeom>
        <a:solidFill xmlns:a="http://schemas.openxmlformats.org/drawingml/2006/main">
          <a:srgbClr val="FFFFFF"/>
        </a:solidFill>
        <a:ln xmlns:a="http://schemas.openxmlformats.org/drawingml/2006/main" w="0">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150" b="0" i="0" u="none" strike="noStrike" baseline="0">
              <a:solidFill>
                <a:srgbClr val="000000"/>
              </a:solidFill>
              <a:latin typeface="Arial"/>
              <a:cs typeface="Arial"/>
            </a:rPr>
            <a:t>Baseline blade mass curve = WindPACT baseline</a:t>
          </a:r>
        </a:p>
        <a:p xmlns:a="http://schemas.openxmlformats.org/drawingml/2006/main">
          <a:pPr algn="ctr" rtl="0">
            <a:defRPr sz="1000"/>
          </a:pPr>
          <a:r>
            <a:rPr lang="en-US" sz="1150" b="0" i="0" u="none" strike="noStrike" baseline="0">
              <a:solidFill>
                <a:srgbClr val="000000"/>
              </a:solidFill>
              <a:latin typeface="Arial"/>
              <a:cs typeface="Arial"/>
            </a:rPr>
            <a:t>Advanced blade mass curve = LM advanced design</a:t>
          </a:r>
        </a:p>
      </cdr:txBody>
    </cdr:sp>
  </cdr:relSizeAnchor>
  <cdr:relSizeAnchor xmlns:cdr="http://schemas.openxmlformats.org/drawingml/2006/chartDrawing">
    <cdr:from>
      <cdr:x>0.62058</cdr:x>
      <cdr:y>0.31536</cdr:y>
    </cdr:from>
    <cdr:to>
      <cdr:x>0.68205</cdr:x>
      <cdr:y>0.36519</cdr:y>
    </cdr:to>
    <cdr:sp macro="" textlink="">
      <cdr:nvSpPr>
        <cdr:cNvPr id="20482" name="Line 2"/>
        <cdr:cNvSpPr>
          <a:spLocks xmlns:a="http://schemas.openxmlformats.org/drawingml/2006/main" noChangeShapeType="1"/>
        </cdr:cNvSpPr>
      </cdr:nvSpPr>
      <cdr:spPr bwMode="auto">
        <a:xfrm xmlns:a="http://schemas.openxmlformats.org/drawingml/2006/main">
          <a:off x="6980875" y="2243826"/>
          <a:ext cx="691477" cy="354550"/>
        </a:xfrm>
        <a:prstGeom xmlns:a="http://schemas.openxmlformats.org/drawingml/2006/main" prst="line">
          <a:avLst/>
        </a:prstGeom>
        <a:noFill xmlns:a="http://schemas.openxmlformats.org/drawingml/2006/main"/>
        <a:ln xmlns:a="http://schemas.openxmlformats.org/drawingml/2006/main" w="12700">
          <a:solidFill>
            <a:srgbClr val="00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0.70713</cdr:x>
      <cdr:y>0.43732</cdr:y>
    </cdr:from>
    <cdr:to>
      <cdr:x>0.77802</cdr:x>
      <cdr:y>0.4642</cdr:y>
    </cdr:to>
    <cdr:sp macro="" textlink="">
      <cdr:nvSpPr>
        <cdr:cNvPr id="20483" name="Line 3"/>
        <cdr:cNvSpPr>
          <a:spLocks xmlns:a="http://schemas.openxmlformats.org/drawingml/2006/main" noChangeShapeType="1"/>
        </cdr:cNvSpPr>
      </cdr:nvSpPr>
      <cdr:spPr bwMode="auto">
        <a:xfrm xmlns:a="http://schemas.openxmlformats.org/drawingml/2006/main" flipH="1">
          <a:off x="7954551" y="3111590"/>
          <a:ext cx="797444" cy="191256"/>
        </a:xfrm>
        <a:prstGeom xmlns:a="http://schemas.openxmlformats.org/drawingml/2006/main" prst="line">
          <a:avLst/>
        </a:prstGeom>
        <a:noFill xmlns:a="http://schemas.openxmlformats.org/drawingml/2006/main"/>
        <a:ln xmlns:a="http://schemas.openxmlformats.org/drawingml/2006/main" w="12700">
          <a:solidFill>
            <a:srgbClr val="00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0.73182</cdr:x>
      <cdr:y>0.56283</cdr:y>
    </cdr:from>
    <cdr:to>
      <cdr:x>0.79404</cdr:x>
      <cdr:y>0.5912</cdr:y>
    </cdr:to>
    <cdr:sp macro="" textlink="">
      <cdr:nvSpPr>
        <cdr:cNvPr id="20484" name="Line 4"/>
        <cdr:cNvSpPr>
          <a:spLocks xmlns:a="http://schemas.openxmlformats.org/drawingml/2006/main" noChangeShapeType="1"/>
        </cdr:cNvSpPr>
      </cdr:nvSpPr>
      <cdr:spPr bwMode="auto">
        <a:xfrm xmlns:a="http://schemas.openxmlformats.org/drawingml/2006/main" flipH="1" flipV="1">
          <a:off x="8232285" y="4004645"/>
          <a:ext cx="699915" cy="201857"/>
        </a:xfrm>
        <a:prstGeom xmlns:a="http://schemas.openxmlformats.org/drawingml/2006/main" prst="line">
          <a:avLst/>
        </a:prstGeom>
        <a:noFill xmlns:a="http://schemas.openxmlformats.org/drawingml/2006/main"/>
        <a:ln xmlns:a="http://schemas.openxmlformats.org/drawingml/2006/main" w="12700">
          <a:solidFill>
            <a:srgbClr val="00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0.58996</cdr:x>
      <cdr:y>0.79161</cdr:y>
    </cdr:from>
    <cdr:to>
      <cdr:x>0.63111</cdr:x>
      <cdr:y>0.83132</cdr:y>
    </cdr:to>
    <cdr:sp macro="" textlink="">
      <cdr:nvSpPr>
        <cdr:cNvPr id="20485" name="Line 5"/>
        <cdr:cNvSpPr>
          <a:spLocks xmlns:a="http://schemas.openxmlformats.org/drawingml/2006/main" noChangeShapeType="1"/>
        </cdr:cNvSpPr>
      </cdr:nvSpPr>
      <cdr:spPr bwMode="auto">
        <a:xfrm xmlns:a="http://schemas.openxmlformats.org/drawingml/2006/main" flipH="1" flipV="1">
          <a:off x="6636446" y="5632439"/>
          <a:ext cx="462897" cy="282544"/>
        </a:xfrm>
        <a:prstGeom xmlns:a="http://schemas.openxmlformats.org/drawingml/2006/main" prst="line">
          <a:avLst/>
        </a:prstGeom>
        <a:noFill xmlns:a="http://schemas.openxmlformats.org/drawingml/2006/main"/>
        <a:ln xmlns:a="http://schemas.openxmlformats.org/drawingml/2006/main" w="12700">
          <a:solidFill>
            <a:srgbClr val="00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8.xml><?xml version="1.0" encoding="utf-8"?>
<c:userShapes xmlns:c="http://schemas.openxmlformats.org/drawingml/2006/chart">
  <cdr:relSizeAnchor xmlns:cdr="http://schemas.openxmlformats.org/drawingml/2006/chartDrawing">
    <cdr:from>
      <cdr:x>0.48488</cdr:x>
      <cdr:y>0.13444</cdr:y>
    </cdr:from>
    <cdr:to>
      <cdr:x>0.92513</cdr:x>
      <cdr:y>0.21584</cdr:y>
    </cdr:to>
    <cdr:sp macro="" textlink="">
      <cdr:nvSpPr>
        <cdr:cNvPr id="64513" name="Text Box 1"/>
        <cdr:cNvSpPr txBox="1">
          <a:spLocks xmlns:a="http://schemas.openxmlformats.org/drawingml/2006/main" noChangeArrowheads="1"/>
        </cdr:cNvSpPr>
      </cdr:nvSpPr>
      <cdr:spPr bwMode="auto">
        <a:xfrm xmlns:a="http://schemas.openxmlformats.org/drawingml/2006/main">
          <a:off x="5471444" y="963581"/>
          <a:ext cx="4964964" cy="581501"/>
        </a:xfrm>
        <a:prstGeom xmlns:a="http://schemas.openxmlformats.org/drawingml/2006/main" prst="rect">
          <a:avLst/>
        </a:prstGeom>
        <a:solidFill xmlns:a="http://schemas.openxmlformats.org/drawingml/2006/main">
          <a:srgbClr val="FFFFFF"/>
        </a:solidFill>
        <a:ln xmlns:a="http://schemas.openxmlformats.org/drawingml/2006/main" w="0">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0">
            <a:defRPr sz="1000"/>
          </a:pPr>
          <a:r>
            <a:rPr lang="en-US" sz="1400" b="0" i="0" u="none" strike="noStrike" baseline="0">
              <a:solidFill>
                <a:srgbClr val="000000"/>
              </a:solidFill>
              <a:latin typeface="Arial"/>
              <a:cs typeface="Arial"/>
            </a:rPr>
            <a:t>Baseline blade mass curve = WindPACT baseline</a:t>
          </a:r>
        </a:p>
        <a:p xmlns:a="http://schemas.openxmlformats.org/drawingml/2006/main">
          <a:pPr algn="ctr" rtl="0">
            <a:defRPr sz="1000"/>
          </a:pPr>
          <a:r>
            <a:rPr lang="en-US" sz="1400" b="0" i="0" u="none" strike="noStrike" baseline="0">
              <a:solidFill>
                <a:srgbClr val="000000"/>
              </a:solidFill>
              <a:latin typeface="Arial"/>
              <a:cs typeface="Arial"/>
            </a:rPr>
            <a:t>Advanced blade mass curve = LM advanced design</a:t>
          </a:r>
        </a:p>
      </cdr:txBody>
    </cdr:sp>
  </cdr:relSizeAnchor>
  <cdr:relSizeAnchor xmlns:cdr="http://schemas.openxmlformats.org/drawingml/2006/chartDrawing">
    <cdr:from>
      <cdr:x>0.70624</cdr:x>
      <cdr:y>0.32363</cdr:y>
    </cdr:from>
    <cdr:to>
      <cdr:x>0.76722</cdr:x>
      <cdr:y>0.37272</cdr:y>
    </cdr:to>
    <cdr:sp macro="" textlink="">
      <cdr:nvSpPr>
        <cdr:cNvPr id="64514" name="Line 2"/>
        <cdr:cNvSpPr>
          <a:spLocks xmlns:a="http://schemas.openxmlformats.org/drawingml/2006/main" noChangeShapeType="1"/>
        </cdr:cNvSpPr>
      </cdr:nvSpPr>
      <cdr:spPr bwMode="auto">
        <a:xfrm xmlns:a="http://schemas.openxmlformats.org/drawingml/2006/main">
          <a:off x="7967904" y="2315131"/>
          <a:ext cx="687714" cy="350663"/>
        </a:xfrm>
        <a:prstGeom xmlns:a="http://schemas.openxmlformats.org/drawingml/2006/main" prst="line">
          <a:avLst/>
        </a:prstGeom>
        <a:noFill xmlns:a="http://schemas.openxmlformats.org/drawingml/2006/main"/>
        <a:ln xmlns:a="http://schemas.openxmlformats.org/drawingml/2006/main" w="12700">
          <a:solidFill>
            <a:srgbClr val="00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0.56842</cdr:x>
      <cdr:y>0.47681</cdr:y>
    </cdr:from>
    <cdr:to>
      <cdr:x>0.73549</cdr:x>
      <cdr:y>0.53207</cdr:y>
    </cdr:to>
    <cdr:sp macro="" textlink="">
      <cdr:nvSpPr>
        <cdr:cNvPr id="64515" name="Line 3"/>
        <cdr:cNvSpPr>
          <a:spLocks xmlns:a="http://schemas.openxmlformats.org/drawingml/2006/main" noChangeShapeType="1"/>
        </cdr:cNvSpPr>
      </cdr:nvSpPr>
      <cdr:spPr bwMode="auto">
        <a:xfrm xmlns:a="http://schemas.openxmlformats.org/drawingml/2006/main">
          <a:off x="6413557" y="3409410"/>
          <a:ext cx="1884226" cy="394716"/>
        </a:xfrm>
        <a:prstGeom xmlns:a="http://schemas.openxmlformats.org/drawingml/2006/main" prst="line">
          <a:avLst/>
        </a:prstGeom>
        <a:noFill xmlns:a="http://schemas.openxmlformats.org/drawingml/2006/main"/>
        <a:ln xmlns:a="http://schemas.openxmlformats.org/drawingml/2006/main" w="12700">
          <a:solidFill>
            <a:srgbClr val="00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0.49479</cdr:x>
      <cdr:y>0.5999</cdr:y>
    </cdr:from>
    <cdr:to>
      <cdr:x>0.73549</cdr:x>
      <cdr:y>0.62703</cdr:y>
    </cdr:to>
    <cdr:sp macro="" textlink="">
      <cdr:nvSpPr>
        <cdr:cNvPr id="64516" name="Line 4"/>
        <cdr:cNvSpPr>
          <a:spLocks xmlns:a="http://schemas.openxmlformats.org/drawingml/2006/main" noChangeShapeType="1"/>
        </cdr:cNvSpPr>
      </cdr:nvSpPr>
      <cdr:spPr bwMode="auto">
        <a:xfrm xmlns:a="http://schemas.openxmlformats.org/drawingml/2006/main">
          <a:off x="5583268" y="4288711"/>
          <a:ext cx="2714515" cy="193833"/>
        </a:xfrm>
        <a:prstGeom xmlns:a="http://schemas.openxmlformats.org/drawingml/2006/main" prst="line">
          <a:avLst/>
        </a:prstGeom>
        <a:noFill xmlns:a="http://schemas.openxmlformats.org/drawingml/2006/main"/>
        <a:ln xmlns:a="http://schemas.openxmlformats.org/drawingml/2006/main" w="12700">
          <a:solidFill>
            <a:srgbClr val="00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0.73549</cdr:x>
      <cdr:y>0.74321</cdr:y>
    </cdr:from>
    <cdr:to>
      <cdr:x>0.7764</cdr:x>
      <cdr:y>0.78243</cdr:y>
    </cdr:to>
    <cdr:sp macro="" textlink="">
      <cdr:nvSpPr>
        <cdr:cNvPr id="64517" name="Line 5"/>
        <cdr:cNvSpPr>
          <a:spLocks xmlns:a="http://schemas.openxmlformats.org/drawingml/2006/main" noChangeShapeType="1"/>
        </cdr:cNvSpPr>
      </cdr:nvSpPr>
      <cdr:spPr bwMode="auto">
        <a:xfrm xmlns:a="http://schemas.openxmlformats.org/drawingml/2006/main" flipH="1" flipV="1">
          <a:off x="8297783" y="5312505"/>
          <a:ext cx="461272" cy="280178"/>
        </a:xfrm>
        <a:prstGeom xmlns:a="http://schemas.openxmlformats.org/drawingml/2006/main" prst="line">
          <a:avLst/>
        </a:prstGeom>
        <a:noFill xmlns:a="http://schemas.openxmlformats.org/drawingml/2006/main"/>
        <a:ln xmlns:a="http://schemas.openxmlformats.org/drawingml/2006/main" w="12700">
          <a:solidFill>
            <a:srgbClr val="00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9.xml><?xml version="1.0" encoding="utf-8"?>
<c:userShapes xmlns:c="http://schemas.openxmlformats.org/drawingml/2006/chart">
  <cdr:relSizeAnchor xmlns:cdr="http://schemas.openxmlformats.org/drawingml/2006/chartDrawing">
    <cdr:from>
      <cdr:x>0.21591</cdr:x>
      <cdr:y>0.42773</cdr:y>
    </cdr:from>
    <cdr:to>
      <cdr:x>0.45637</cdr:x>
      <cdr:y>0.51011</cdr:y>
    </cdr:to>
    <cdr:sp macro="" textlink="">
      <cdr:nvSpPr>
        <cdr:cNvPr id="65537" name="Text Box 1"/>
        <cdr:cNvSpPr txBox="1">
          <a:spLocks xmlns:a="http://schemas.openxmlformats.org/drawingml/2006/main" noChangeArrowheads="1"/>
        </cdr:cNvSpPr>
      </cdr:nvSpPr>
      <cdr:spPr bwMode="auto">
        <a:xfrm xmlns:a="http://schemas.openxmlformats.org/drawingml/2006/main">
          <a:off x="2450433" y="3038423"/>
          <a:ext cx="2725579" cy="584573"/>
        </a:xfrm>
        <a:prstGeom xmlns:a="http://schemas.openxmlformats.org/drawingml/2006/main" prst="rect">
          <a:avLst/>
        </a:prstGeom>
        <a:solidFill xmlns:a="http://schemas.openxmlformats.org/drawingml/2006/main">
          <a:srgbClr val="FFFFFF"/>
        </a:solidFill>
        <a:ln xmlns:a="http://schemas.openxmlformats.org/drawingml/2006/main" w="0">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0">
            <a:defRPr sz="1000"/>
          </a:pPr>
          <a:r>
            <a:rPr lang="en-US" sz="1450" b="0" i="0" u="none" strike="noStrike" baseline="0">
              <a:solidFill>
                <a:srgbClr val="000000"/>
              </a:solidFill>
              <a:latin typeface="Arial"/>
              <a:cs typeface="Arial"/>
            </a:rPr>
            <a:t>Total Blade Cost:</a:t>
          </a:r>
        </a:p>
        <a:p xmlns:a="http://schemas.openxmlformats.org/drawingml/2006/main">
          <a:pPr algn="ctr" rtl="0">
            <a:defRPr sz="1000"/>
          </a:pPr>
          <a:r>
            <a:rPr lang="en-US" sz="1450" b="0" i="0" u="none" strike="noStrike" baseline="0">
              <a:solidFill>
                <a:srgbClr val="000000"/>
              </a:solidFill>
              <a:latin typeface="Arial"/>
              <a:cs typeface="Arial"/>
            </a:rPr>
            <a:t>$ = (Material + Labor) / (1-0.28)</a:t>
          </a:r>
        </a:p>
      </cdr:txBody>
    </cdr:sp>
  </cdr:relSizeAnchor>
  <cdr:relSizeAnchor xmlns:cdr="http://schemas.openxmlformats.org/drawingml/2006/chartDrawing">
    <cdr:from>
      <cdr:x>0.71443</cdr:x>
      <cdr:y>0.3086</cdr:y>
    </cdr:from>
    <cdr:to>
      <cdr:x>0.78905</cdr:x>
      <cdr:y>0.3858</cdr:y>
    </cdr:to>
    <cdr:sp macro="" textlink="">
      <cdr:nvSpPr>
        <cdr:cNvPr id="65538" name="Line 2"/>
        <cdr:cNvSpPr>
          <a:spLocks xmlns:a="http://schemas.openxmlformats.org/drawingml/2006/main" noChangeShapeType="1"/>
        </cdr:cNvSpPr>
      </cdr:nvSpPr>
      <cdr:spPr bwMode="auto">
        <a:xfrm xmlns:a="http://schemas.openxmlformats.org/drawingml/2006/main">
          <a:off x="8101092" y="2193068"/>
          <a:ext cx="845772" cy="547818"/>
        </a:xfrm>
        <a:prstGeom xmlns:a="http://schemas.openxmlformats.org/drawingml/2006/main" prst="line">
          <a:avLst/>
        </a:prstGeom>
        <a:noFill xmlns:a="http://schemas.openxmlformats.org/drawingml/2006/main"/>
        <a:ln xmlns:a="http://schemas.openxmlformats.org/drawingml/2006/main" w="12700">
          <a:solidFill>
            <a:srgbClr val="9933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0.83095</cdr:x>
      <cdr:y>0.59027</cdr:y>
    </cdr:from>
    <cdr:to>
      <cdr:x>0.8426</cdr:x>
      <cdr:y>0.66747</cdr:y>
    </cdr:to>
    <cdr:sp macro="" textlink="">
      <cdr:nvSpPr>
        <cdr:cNvPr id="65539" name="Line 3"/>
        <cdr:cNvSpPr>
          <a:spLocks xmlns:a="http://schemas.openxmlformats.org/drawingml/2006/main" noChangeShapeType="1"/>
        </cdr:cNvSpPr>
      </cdr:nvSpPr>
      <cdr:spPr bwMode="auto">
        <a:xfrm xmlns:a="http://schemas.openxmlformats.org/drawingml/2006/main" flipH="1">
          <a:off x="9421733" y="4191818"/>
          <a:ext cx="132064" cy="547818"/>
        </a:xfrm>
        <a:prstGeom xmlns:a="http://schemas.openxmlformats.org/drawingml/2006/main" prst="line">
          <a:avLst/>
        </a:prstGeom>
        <a:noFill xmlns:a="http://schemas.openxmlformats.org/drawingml/2006/main"/>
        <a:ln xmlns:a="http://schemas.openxmlformats.org/drawingml/2006/main" w="12700">
          <a:solidFill>
            <a:srgbClr val="0000FF"/>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0.47645</cdr:x>
      <cdr:y>0.71532</cdr:y>
    </cdr:from>
    <cdr:to>
      <cdr:x>0.57784</cdr:x>
      <cdr:y>0.81792</cdr:y>
    </cdr:to>
    <cdr:sp macro="" textlink="">
      <cdr:nvSpPr>
        <cdr:cNvPr id="65540" name="Line 4"/>
        <cdr:cNvSpPr>
          <a:spLocks xmlns:a="http://schemas.openxmlformats.org/drawingml/2006/main" noChangeShapeType="1"/>
        </cdr:cNvSpPr>
      </cdr:nvSpPr>
      <cdr:spPr bwMode="auto">
        <a:xfrm xmlns:a="http://schemas.openxmlformats.org/drawingml/2006/main">
          <a:off x="5403612" y="5079178"/>
          <a:ext cx="1149239" cy="728091"/>
        </a:xfrm>
        <a:prstGeom xmlns:a="http://schemas.openxmlformats.org/drawingml/2006/main" prst="line">
          <a:avLst/>
        </a:prstGeom>
        <a:noFill xmlns:a="http://schemas.openxmlformats.org/drawingml/2006/main"/>
        <a:ln xmlns:a="http://schemas.openxmlformats.org/drawingml/2006/main" w="9525">
          <a:solidFill>
            <a:srgbClr val="00808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0.79326</cdr:x>
      <cdr:y>0.74985</cdr:y>
    </cdr:from>
    <cdr:to>
      <cdr:x>0.8426</cdr:x>
      <cdr:y>0.80066</cdr:y>
    </cdr:to>
    <cdr:sp macro="" textlink="">
      <cdr:nvSpPr>
        <cdr:cNvPr id="65541" name="Line 5"/>
        <cdr:cNvSpPr>
          <a:spLocks xmlns:a="http://schemas.openxmlformats.org/drawingml/2006/main" noChangeShapeType="1"/>
        </cdr:cNvSpPr>
      </cdr:nvSpPr>
      <cdr:spPr bwMode="auto">
        <a:xfrm xmlns:a="http://schemas.openxmlformats.org/drawingml/2006/main" flipH="1" flipV="1">
          <a:off x="8994632" y="5324209"/>
          <a:ext cx="559165" cy="360545"/>
        </a:xfrm>
        <a:prstGeom xmlns:a="http://schemas.openxmlformats.org/drawingml/2006/main" prst="line">
          <a:avLst/>
        </a:prstGeom>
        <a:noFill xmlns:a="http://schemas.openxmlformats.org/drawingml/2006/main"/>
        <a:ln xmlns:a="http://schemas.openxmlformats.org/drawingml/2006/main" w="12700">
          <a:solidFill>
            <a:srgbClr val="FF0000"/>
          </a:solidFill>
          <a:round/>
          <a:headEnd/>
          <a:tailEnd type="triangle" w="med" len="me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0.22682</cdr:x>
      <cdr:y>0.0442</cdr:y>
    </cdr:from>
    <cdr:to>
      <cdr:x>0.62891</cdr:x>
      <cdr:y>0.10611</cdr:y>
    </cdr:to>
    <cdr:sp macro="" textlink="">
      <cdr:nvSpPr>
        <cdr:cNvPr id="65542" name="Text Box 6"/>
        <cdr:cNvSpPr txBox="1">
          <a:spLocks xmlns:a="http://schemas.openxmlformats.org/drawingml/2006/main" noChangeArrowheads="1"/>
        </cdr:cNvSpPr>
      </cdr:nvSpPr>
      <cdr:spPr bwMode="auto">
        <a:xfrm xmlns:a="http://schemas.openxmlformats.org/drawingml/2006/main">
          <a:off x="2574068" y="316833"/>
          <a:ext cx="4557617" cy="43930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36576" tIns="27432" rIns="0" bIns="0" anchor="t" upright="1"/>
        <a:lstStyle xmlns:a="http://schemas.openxmlformats.org/drawingml/2006/main"/>
        <a:p xmlns:a="http://schemas.openxmlformats.org/drawingml/2006/main">
          <a:pPr algn="l" rtl="0">
            <a:defRPr sz="1000"/>
          </a:pPr>
          <a:r>
            <a:rPr lang="en-US" sz="1525" b="0" i="0" u="none" strike="noStrike" baseline="0">
              <a:solidFill>
                <a:srgbClr val="000000"/>
              </a:solidFill>
              <a:latin typeface="Arial"/>
              <a:cs typeface="Arial"/>
            </a:rPr>
            <a:t>Look at legend to see if LWST or TPI is better.</a:t>
          </a:r>
        </a:p>
        <a:p xmlns:a="http://schemas.openxmlformats.org/drawingml/2006/main">
          <a:pPr algn="l" rtl="0">
            <a:defRPr sz="1000"/>
          </a:pPr>
          <a:r>
            <a:rPr lang="en-US" sz="1525" b="0" i="0" u="none" strike="noStrike" baseline="0">
              <a:solidFill>
                <a:srgbClr val="000000"/>
              </a:solidFill>
              <a:latin typeface="Arial"/>
              <a:cs typeface="Arial"/>
            </a:rPr>
            <a:t>Should blue dots be removed to make it publishable?</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mone/Desktop/LeedCO/FOA415/Baseline/Offshore%20BOS%20model%2012-12-05%20-%20Rotor%20opt%20with%20Monopile%20by%20HH%20RD%20and%20TT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Input"/>
      <sheetName val="Results"/>
      <sheetName val="Engineering&amp;Permitting"/>
      <sheetName val="Ports"/>
      <sheetName val="Foundations"/>
      <sheetName val="Electrical"/>
      <sheetName val="Vessels"/>
      <sheetName val="Decommissioning"/>
      <sheetName val="Site Metocean"/>
      <sheetName val="Offshore BOS model 12-12-05 - R"/>
    </sheetNames>
    <definedNames>
      <definedName name="NumTurbines" refersTo="='Input'!$B$7"/>
    </definedNames>
    <sheetDataSet>
      <sheetData sheetId="0"/>
      <sheetData sheetId="1">
        <row r="7">
          <cell r="B7">
            <v>100</v>
          </cell>
        </row>
      </sheetData>
      <sheetData sheetId="2">
        <row r="7">
          <cell r="A7" t="str">
            <v>Total Engineering Costs [$k]</v>
          </cell>
          <cell r="B7">
            <v>3050</v>
          </cell>
        </row>
        <row r="8">
          <cell r="A8" t="str">
            <v>Total Permitting Costs [$k]</v>
          </cell>
          <cell r="B8">
            <v>6060</v>
          </cell>
        </row>
        <row r="9">
          <cell r="A9" t="str">
            <v>Total Ports and Staging Costs [$k]</v>
          </cell>
          <cell r="B9">
            <v>43009.398835110405</v>
          </cell>
        </row>
        <row r="10">
          <cell r="A10" t="str">
            <v>Total Foundations Cost [$k]</v>
          </cell>
          <cell r="B10">
            <v>360215.61703990801</v>
          </cell>
        </row>
        <row r="11">
          <cell r="A11" t="str">
            <v>Total Electrical Costs [$k]</v>
          </cell>
          <cell r="B11">
            <v>178540.62093374212</v>
          </cell>
        </row>
        <row r="12">
          <cell r="A12" t="str">
            <v>Total Vessels Costs [$k]</v>
          </cell>
          <cell r="B12">
            <v>351093.99751468049</v>
          </cell>
        </row>
        <row r="13">
          <cell r="A13" t="str">
            <v>Total Decommissioning Costs [$k]</v>
          </cell>
          <cell r="B13">
            <v>94611.097558404785</v>
          </cell>
        </row>
        <row r="14">
          <cell r="A14" t="str">
            <v>Additional Capital Expenditures [$k]</v>
          </cell>
          <cell r="B14">
            <v>113036.35611881294</v>
          </cell>
        </row>
      </sheetData>
      <sheetData sheetId="3"/>
      <sheetData sheetId="4"/>
      <sheetData sheetId="5"/>
      <sheetData sheetId="6"/>
      <sheetData sheetId="7"/>
      <sheetData sheetId="8"/>
      <sheetData sheetId="9"/>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7.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8.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9.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20.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21.x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2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23.x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drawing" Target="../drawings/drawing24.x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3.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drawing" Target="../drawings/drawing25.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drawing" Target="../drawings/drawing27.x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7.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drawing" Target="../drawings/drawing28.xml"/></Relationships>
</file>

<file path=xl/worksheets/_rels/sheet28.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drawing" Target="../drawings/drawing29.x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3.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30.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5.xml"/><Relationship Id="rId1" Type="http://schemas.openxmlformats.org/officeDocument/2006/relationships/vmlDrawing" Target="../drawings/vmlDrawing35.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7.xml"/><Relationship Id="rId1" Type="http://schemas.openxmlformats.org/officeDocument/2006/relationships/vmlDrawing" Target="../drawings/vmlDrawing37.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38.xml"/><Relationship Id="rId1" Type="http://schemas.openxmlformats.org/officeDocument/2006/relationships/vmlDrawing" Target="../drawings/vmlDrawing38.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39.xml"/><Relationship Id="rId1" Type="http://schemas.openxmlformats.org/officeDocument/2006/relationships/vmlDrawing" Target="../drawings/vmlDrawing39.vml"/></Relationships>
</file>

<file path=xl/worksheets/_rels/sheet41.xml.rels><?xml version="1.0" encoding="UTF-8" standalone="yes"?>
<Relationships xmlns="http://schemas.openxmlformats.org/package/2006/relationships"><Relationship Id="rId2" Type="http://schemas.openxmlformats.org/officeDocument/2006/relationships/comments" Target="../comments40.xml"/><Relationship Id="rId1" Type="http://schemas.openxmlformats.org/officeDocument/2006/relationships/vmlDrawing" Target="../drawings/vmlDrawing40.vml"/></Relationships>
</file>

<file path=xl/worksheets/_rels/sheet42.xml.rels><?xml version="1.0" encoding="UTF-8" standalone="yes"?>
<Relationships xmlns="http://schemas.openxmlformats.org/package/2006/relationships"><Relationship Id="rId2" Type="http://schemas.openxmlformats.org/officeDocument/2006/relationships/comments" Target="../comments41.xml"/><Relationship Id="rId1" Type="http://schemas.openxmlformats.org/officeDocument/2006/relationships/vmlDrawing" Target="../drawings/vmlDrawing41.vml"/></Relationships>
</file>

<file path=xl/worksheets/_rels/sheet43.xml.rels><?xml version="1.0" encoding="UTF-8" standalone="yes"?>
<Relationships xmlns="http://schemas.openxmlformats.org/package/2006/relationships"><Relationship Id="rId2" Type="http://schemas.openxmlformats.org/officeDocument/2006/relationships/comments" Target="../comments42.xml"/><Relationship Id="rId1" Type="http://schemas.openxmlformats.org/officeDocument/2006/relationships/vmlDrawing" Target="../drawings/vmlDrawing42.vml"/></Relationships>
</file>

<file path=xl/worksheets/_rels/sheet44.xml.rels><?xml version="1.0" encoding="UTF-8" standalone="yes"?>
<Relationships xmlns="http://schemas.openxmlformats.org/package/2006/relationships"><Relationship Id="rId2" Type="http://schemas.openxmlformats.org/officeDocument/2006/relationships/comments" Target="../comments43.xml"/><Relationship Id="rId1" Type="http://schemas.openxmlformats.org/officeDocument/2006/relationships/vmlDrawing" Target="../drawings/vmlDrawing43.vml"/></Relationships>
</file>

<file path=xl/worksheets/_rels/sheet45.xml.rels><?xml version="1.0" encoding="UTF-8" standalone="yes"?>
<Relationships xmlns="http://schemas.openxmlformats.org/package/2006/relationships"><Relationship Id="rId2" Type="http://schemas.openxmlformats.org/officeDocument/2006/relationships/comments" Target="../comments44.xml"/><Relationship Id="rId1" Type="http://schemas.openxmlformats.org/officeDocument/2006/relationships/vmlDrawing" Target="../drawings/vmlDrawing44.vml"/></Relationships>
</file>

<file path=xl/worksheets/_rels/sheet46.xml.rels><?xml version="1.0" encoding="UTF-8" standalone="yes"?>
<Relationships xmlns="http://schemas.openxmlformats.org/package/2006/relationships"><Relationship Id="rId2" Type="http://schemas.openxmlformats.org/officeDocument/2006/relationships/comments" Target="../comments45.xml"/><Relationship Id="rId1" Type="http://schemas.openxmlformats.org/officeDocument/2006/relationships/vmlDrawing" Target="../drawings/vmlDrawing45.vml"/></Relationships>
</file>

<file path=xl/worksheets/_rels/sheet47.xml.rels><?xml version="1.0" encoding="UTF-8" standalone="yes"?>
<Relationships xmlns="http://schemas.openxmlformats.org/package/2006/relationships"><Relationship Id="rId2" Type="http://schemas.openxmlformats.org/officeDocument/2006/relationships/comments" Target="../comments46.xml"/><Relationship Id="rId1" Type="http://schemas.openxmlformats.org/officeDocument/2006/relationships/vmlDrawing" Target="../drawings/vmlDrawing46.vml"/></Relationships>
</file>

<file path=xl/worksheets/_rels/sheet48.xml.rels><?xml version="1.0" encoding="UTF-8" standalone="yes"?>
<Relationships xmlns="http://schemas.openxmlformats.org/package/2006/relationships"><Relationship Id="rId2" Type="http://schemas.openxmlformats.org/officeDocument/2006/relationships/comments" Target="../comments47.xml"/><Relationship Id="rId1" Type="http://schemas.openxmlformats.org/officeDocument/2006/relationships/vmlDrawing" Target="../drawings/vmlDrawing47.vml"/></Relationships>
</file>

<file path=xl/worksheets/_rels/sheet49.xml.rels><?xml version="1.0" encoding="UTF-8" standalone="yes"?>
<Relationships xmlns="http://schemas.openxmlformats.org/package/2006/relationships"><Relationship Id="rId2" Type="http://schemas.openxmlformats.org/officeDocument/2006/relationships/comments" Target="../comments48.xml"/><Relationship Id="rId1" Type="http://schemas.openxmlformats.org/officeDocument/2006/relationships/vmlDrawing" Target="../drawings/vmlDrawing48.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2" Type="http://schemas.openxmlformats.org/officeDocument/2006/relationships/comments" Target="../comments49.xml"/><Relationship Id="rId1" Type="http://schemas.openxmlformats.org/officeDocument/2006/relationships/vmlDrawing" Target="../drawings/vmlDrawing49.vml"/></Relationships>
</file>

<file path=xl/worksheets/_rels/sheet51.xml.rels><?xml version="1.0" encoding="UTF-8" standalone="yes"?>
<Relationships xmlns="http://schemas.openxmlformats.org/package/2006/relationships"><Relationship Id="rId2" Type="http://schemas.openxmlformats.org/officeDocument/2006/relationships/comments" Target="../comments50.xml"/><Relationship Id="rId1" Type="http://schemas.openxmlformats.org/officeDocument/2006/relationships/vmlDrawing" Target="../drawings/vmlDrawing50.vml"/></Relationships>
</file>

<file path=xl/worksheets/_rels/sheet52.xml.rels><?xml version="1.0" encoding="UTF-8" standalone="yes"?>
<Relationships xmlns="http://schemas.openxmlformats.org/package/2006/relationships"><Relationship Id="rId2" Type="http://schemas.openxmlformats.org/officeDocument/2006/relationships/comments" Target="../comments51.xml"/><Relationship Id="rId1" Type="http://schemas.openxmlformats.org/officeDocument/2006/relationships/vmlDrawing" Target="../drawings/vmlDrawing51.vml"/></Relationships>
</file>

<file path=xl/worksheets/_rels/sheet53.xml.rels><?xml version="1.0" encoding="UTF-8" standalone="yes"?>
<Relationships xmlns="http://schemas.openxmlformats.org/package/2006/relationships"><Relationship Id="rId2" Type="http://schemas.openxmlformats.org/officeDocument/2006/relationships/comments" Target="../comments52.xml"/><Relationship Id="rId1" Type="http://schemas.openxmlformats.org/officeDocument/2006/relationships/vmlDrawing" Target="../drawings/vmlDrawing52.vml"/></Relationships>
</file>

<file path=xl/worksheets/_rels/sheet54.xml.rels><?xml version="1.0" encoding="UTF-8" standalone="yes"?>
<Relationships xmlns="http://schemas.openxmlformats.org/package/2006/relationships"><Relationship Id="rId3" Type="http://schemas.openxmlformats.org/officeDocument/2006/relationships/comments" Target="../comments53.xml"/><Relationship Id="rId2" Type="http://schemas.openxmlformats.org/officeDocument/2006/relationships/vmlDrawing" Target="../drawings/vmlDrawing53.vml"/><Relationship Id="rId1" Type="http://schemas.openxmlformats.org/officeDocument/2006/relationships/drawing" Target="../drawings/drawing30.xml"/></Relationships>
</file>

<file path=xl/worksheets/_rels/sheet55.xml.rels><?xml version="1.0" encoding="UTF-8" standalone="yes"?>
<Relationships xmlns="http://schemas.openxmlformats.org/package/2006/relationships"><Relationship Id="rId3" Type="http://schemas.openxmlformats.org/officeDocument/2006/relationships/comments" Target="../comments54.xml"/><Relationship Id="rId2" Type="http://schemas.openxmlformats.org/officeDocument/2006/relationships/vmlDrawing" Target="../drawings/vmlDrawing54.vml"/><Relationship Id="rId1" Type="http://schemas.openxmlformats.org/officeDocument/2006/relationships/drawing" Target="../drawings/drawing31.xml"/></Relationships>
</file>

<file path=xl/worksheets/_rels/sheet57.xml.rels><?xml version="1.0" encoding="UTF-8" standalone="yes"?>
<Relationships xmlns="http://schemas.openxmlformats.org/package/2006/relationships"><Relationship Id="rId2" Type="http://schemas.openxmlformats.org/officeDocument/2006/relationships/comments" Target="../comments55.xml"/><Relationship Id="rId1" Type="http://schemas.openxmlformats.org/officeDocument/2006/relationships/vmlDrawing" Target="../drawings/vmlDrawing5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0.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2.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1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1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3"/>
    <pageSetUpPr fitToPage="1"/>
  </sheetPr>
  <dimension ref="A1:U74"/>
  <sheetViews>
    <sheetView zoomScale="130" zoomScaleNormal="130" zoomScalePageLayoutView="150" workbookViewId="0">
      <selection activeCell="B6" sqref="B6"/>
    </sheetView>
  </sheetViews>
  <sheetFormatPr defaultColWidth="8.85546875" defaultRowHeight="12.75" x14ac:dyDescent="0.2"/>
  <cols>
    <col min="1" max="1" width="39.42578125" style="1080" customWidth="1"/>
    <col min="2" max="2" width="23.7109375" style="1080" bestFit="1" customWidth="1"/>
    <col min="3" max="3" width="24.28515625" style="1080" customWidth="1"/>
    <col min="4" max="4" width="8.85546875" style="1080"/>
    <col min="5" max="5" width="13.42578125" style="1080" customWidth="1"/>
    <col min="6" max="16384" width="8.85546875" style="1080"/>
  </cols>
  <sheetData>
    <row r="1" spans="1:21" x14ac:dyDescent="0.2">
      <c r="A1" s="1078" t="s">
        <v>1517</v>
      </c>
      <c r="B1" s="1078"/>
      <c r="C1" s="1078"/>
      <c r="D1" s="1079"/>
    </row>
    <row r="2" spans="1:21" ht="25.5" x14ac:dyDescent="0.2">
      <c r="A2" s="1081" t="s">
        <v>626</v>
      </c>
      <c r="B2" s="1081"/>
      <c r="C2" s="1081"/>
    </row>
    <row r="3" spans="1:21" ht="13.5" thickBot="1" x14ac:dyDescent="0.25">
      <c r="A3" s="1078"/>
      <c r="B3" s="1078"/>
      <c r="C3" s="1078"/>
    </row>
    <row r="4" spans="1:21" ht="13.5" thickBot="1" x14ac:dyDescent="0.25">
      <c r="A4" s="1082" t="s">
        <v>732</v>
      </c>
      <c r="B4" s="1064">
        <v>1</v>
      </c>
      <c r="C4" s="1083"/>
    </row>
    <row r="5" spans="1:21" ht="39" thickBot="1" x14ac:dyDescent="0.25">
      <c r="A5" s="1084" t="s">
        <v>81</v>
      </c>
      <c r="B5" s="1085"/>
      <c r="C5" s="1086" t="s">
        <v>177</v>
      </c>
      <c r="E5" s="1087" t="s">
        <v>536</v>
      </c>
      <c r="F5" s="1087"/>
    </row>
    <row r="6" spans="1:21" ht="27" customHeight="1" thickBot="1" x14ac:dyDescent="0.25">
      <c r="A6" s="1088" t="s">
        <v>66</v>
      </c>
      <c r="B6" s="1089" t="s">
        <v>1130</v>
      </c>
      <c r="C6" s="1129" t="str">
        <f>IF(AND(HLOOKUP(B6,TurbineProfiles,166,FALSE)&lt;&gt;"I",HLOOKUP(B6,TurbineProfiles,166,FALSE)&lt;&gt;"II",HLOOKUP(B6,TurbineProfiles,166,FALSE)&lt;&gt;"III"),"",IF(AND(HLOOKUP(B6,TurbineProfiles,166,FALSE)="I",'AEP Input Output sheet'!B16&gt;9.25),"",IF(AND(HLOOKUP(B6,TurbineProfiles,166,FALSE)="II",'AEP Input Output sheet'!B16&lt;=9.25,'AEP Input Output sheet'!B16&gt;8),"",IF(AND(HLOOKUP(B6,TurbineProfiles,166,FALSE)="III",'AEP Input Output sheet'!B16&lt;=8),"","Caution: Turbine design does not match current wind class"))))</f>
        <v/>
      </c>
      <c r="E6" s="1090" t="s">
        <v>535</v>
      </c>
      <c r="F6" s="1065">
        <v>13</v>
      </c>
      <c r="J6" s="1080" t="s">
        <v>538</v>
      </c>
    </row>
    <row r="7" spans="1:21" ht="13.5" thickBot="1" x14ac:dyDescent="0.25">
      <c r="A7" s="1091" t="s">
        <v>84</v>
      </c>
      <c r="B7" s="1076">
        <v>1910</v>
      </c>
      <c r="E7" s="1090" t="s">
        <v>534</v>
      </c>
      <c r="F7" s="1065">
        <v>2010</v>
      </c>
      <c r="K7" s="1080" t="s">
        <v>409</v>
      </c>
    </row>
    <row r="8" spans="1:21" ht="13.5" thickBot="1" x14ac:dyDescent="0.25">
      <c r="A8" s="1092" t="s">
        <v>15</v>
      </c>
      <c r="B8" s="1077">
        <v>96.9</v>
      </c>
      <c r="C8" s="1066" t="s">
        <v>539</v>
      </c>
      <c r="E8" s="1083" t="s">
        <v>830</v>
      </c>
      <c r="K8" s="1080" t="s">
        <v>539</v>
      </c>
    </row>
    <row r="9" spans="1:21" ht="13.5" thickBot="1" x14ac:dyDescent="0.25">
      <c r="A9" s="1092" t="s">
        <v>16</v>
      </c>
      <c r="B9" s="1063">
        <v>82.7</v>
      </c>
      <c r="C9" s="1066" t="s">
        <v>539</v>
      </c>
      <c r="D9" s="1093"/>
      <c r="E9" s="1263" t="str">
        <f>IF(F7&lt;2000, "Ending Date&lt; Table Values","OK")</f>
        <v>OK</v>
      </c>
      <c r="F9" s="1264"/>
      <c r="G9" s="1265"/>
    </row>
    <row r="10" spans="1:21" ht="29.25" customHeight="1" thickBot="1" x14ac:dyDescent="0.25">
      <c r="A10" s="1261" t="str">
        <f>IF(B6='AEP Input Output sheet'!U50, "**Enter Idealized Turbine Power Parameters below**","**These parameters only apply to the Idealized Turbine Selection**")</f>
        <v>**Enter Idealized Turbine Power Parameters below**</v>
      </c>
      <c r="B10" s="1262"/>
      <c r="E10" s="1263" t="str">
        <f>IF(F7&lt;2000,"OK",IF(ISERR('PPI Calculation'!D18="N/A"), "Ending Date &gt; Than Table Values",IF(OR('PPI Calculation'!D18="N/A", 'PPI Calculation'!D18=0),"Ending Date &gt; Than Table Values", "OK")))</f>
        <v>OK</v>
      </c>
      <c r="F10" s="1264"/>
      <c r="G10" s="1265"/>
      <c r="J10" s="1080" t="s">
        <v>540</v>
      </c>
    </row>
    <row r="11" spans="1:21" ht="13.5" thickBot="1" x14ac:dyDescent="0.25">
      <c r="A11" s="1094" t="s">
        <v>1425</v>
      </c>
      <c r="B11" s="1067">
        <f>B7</f>
        <v>1910</v>
      </c>
      <c r="E11" s="1259" t="s">
        <v>1469</v>
      </c>
      <c r="F11" s="1259"/>
      <c r="K11" s="1080" t="s">
        <v>541</v>
      </c>
    </row>
    <row r="12" spans="1:21" ht="13.5" thickBot="1" x14ac:dyDescent="0.25">
      <c r="A12" s="1094" t="s">
        <v>15</v>
      </c>
      <c r="B12" s="1068">
        <f>B8</f>
        <v>96.9</v>
      </c>
      <c r="E12" s="1260"/>
      <c r="F12" s="1260"/>
    </row>
    <row r="13" spans="1:21" x14ac:dyDescent="0.2">
      <c r="A13" s="1092" t="s">
        <v>803</v>
      </c>
      <c r="B13" s="1063">
        <v>7.25</v>
      </c>
      <c r="C13" s="1234"/>
      <c r="E13" s="1260"/>
      <c r="F13" s="1260"/>
      <c r="T13" s="481"/>
      <c r="U13" s="481"/>
    </row>
    <row r="14" spans="1:21" x14ac:dyDescent="0.2">
      <c r="A14" s="1092" t="s">
        <v>86</v>
      </c>
      <c r="B14" s="1063">
        <v>2</v>
      </c>
      <c r="C14" s="1128"/>
      <c r="E14" s="1260"/>
      <c r="F14" s="1260"/>
      <c r="K14" s="1080" t="s">
        <v>543</v>
      </c>
      <c r="T14" s="481"/>
      <c r="U14" s="481"/>
    </row>
    <row r="15" spans="1:21" x14ac:dyDescent="0.2">
      <c r="A15" s="1092" t="s">
        <v>85</v>
      </c>
      <c r="B15" s="1069">
        <v>0.14299999999999999</v>
      </c>
      <c r="C15" s="1128"/>
      <c r="E15" s="1260"/>
      <c r="F15" s="1260"/>
      <c r="T15" s="481"/>
      <c r="U15" s="1095"/>
    </row>
    <row r="16" spans="1:21" x14ac:dyDescent="0.2">
      <c r="A16" s="1092" t="s">
        <v>831</v>
      </c>
      <c r="B16" s="1070">
        <v>450</v>
      </c>
      <c r="E16" s="1260"/>
      <c r="F16" s="1260"/>
      <c r="S16" s="1096"/>
      <c r="T16" s="1096"/>
      <c r="U16" s="1097"/>
    </row>
    <row r="17" spans="1:21" ht="13.5" thickBot="1" x14ac:dyDescent="0.25">
      <c r="A17" s="1092" t="s">
        <v>649</v>
      </c>
      <c r="B17" s="1071">
        <v>0.47</v>
      </c>
      <c r="S17" s="1096"/>
      <c r="T17" s="1096"/>
      <c r="U17" s="1098"/>
    </row>
    <row r="18" spans="1:21" ht="13.5" thickBot="1" x14ac:dyDescent="0.25">
      <c r="A18" s="1092" t="s">
        <v>367</v>
      </c>
      <c r="B18" s="1072">
        <v>80</v>
      </c>
      <c r="C18" s="1099" t="str">
        <f>'AEP Input Output sheet'!C14</f>
        <v>OK</v>
      </c>
      <c r="S18" s="1096"/>
      <c r="T18" s="1096"/>
      <c r="U18" s="1098"/>
    </row>
    <row r="19" spans="1:21" x14ac:dyDescent="0.2">
      <c r="A19" s="1092" t="s">
        <v>832</v>
      </c>
      <c r="B19" s="1063">
        <v>8</v>
      </c>
      <c r="S19" s="1096"/>
      <c r="T19" s="1096"/>
      <c r="U19" s="1098"/>
    </row>
    <row r="20" spans="1:21" x14ac:dyDescent="0.2">
      <c r="A20" s="1092" t="s">
        <v>63</v>
      </c>
      <c r="B20" s="1073">
        <v>0</v>
      </c>
      <c r="K20" s="1080" t="s">
        <v>544</v>
      </c>
      <c r="S20" s="1096"/>
      <c r="T20" s="1096"/>
    </row>
    <row r="21" spans="1:21" x14ac:dyDescent="0.2">
      <c r="A21" s="1092" t="s">
        <v>64</v>
      </c>
      <c r="B21" s="1073">
        <v>0.15</v>
      </c>
      <c r="K21" s="1080" t="s">
        <v>542</v>
      </c>
      <c r="S21" s="1096"/>
      <c r="T21" s="1096"/>
    </row>
    <row r="22" spans="1:21" x14ac:dyDescent="0.2">
      <c r="A22" s="1092" t="s">
        <v>65</v>
      </c>
      <c r="B22" s="1073">
        <v>0.98</v>
      </c>
      <c r="J22" s="1080" t="s">
        <v>545</v>
      </c>
      <c r="S22" s="1096"/>
      <c r="T22" s="1096"/>
    </row>
    <row r="23" spans="1:21" x14ac:dyDescent="0.2">
      <c r="A23" s="1092"/>
      <c r="B23" s="1063"/>
      <c r="K23" s="1080" t="s">
        <v>546</v>
      </c>
      <c r="S23" s="1096"/>
      <c r="T23" s="1096"/>
    </row>
    <row r="24" spans="1:21" x14ac:dyDescent="0.2">
      <c r="A24" s="1100" t="s">
        <v>245</v>
      </c>
      <c r="B24" s="1074">
        <v>1</v>
      </c>
      <c r="S24" s="1096"/>
      <c r="T24" s="1096"/>
    </row>
    <row r="25" spans="1:21" ht="13.5" thickBot="1" x14ac:dyDescent="0.25">
      <c r="A25" s="1101" t="s">
        <v>595</v>
      </c>
      <c r="B25" s="1075">
        <v>1</v>
      </c>
      <c r="K25" s="1080" t="s">
        <v>547</v>
      </c>
      <c r="S25" s="1096"/>
      <c r="T25" s="1096"/>
    </row>
    <row r="26" spans="1:21" ht="13.5" thickBot="1" x14ac:dyDescent="0.25">
      <c r="S26" s="1096"/>
      <c r="T26" s="1096"/>
    </row>
    <row r="27" spans="1:21" ht="13.5" thickBot="1" x14ac:dyDescent="0.25">
      <c r="A27" s="1102" t="s">
        <v>100</v>
      </c>
      <c r="B27" s="1103"/>
      <c r="S27" s="1096"/>
      <c r="T27" s="1096"/>
    </row>
    <row r="28" spans="1:21" x14ac:dyDescent="0.2">
      <c r="A28" s="1104" t="s">
        <v>470</v>
      </c>
      <c r="B28" s="1105">
        <f>'Cost Summary'!B35</f>
        <v>2262.4292782296689</v>
      </c>
      <c r="C28" s="1230"/>
      <c r="S28" s="1096"/>
      <c r="T28" s="1096"/>
    </row>
    <row r="29" spans="1:21" x14ac:dyDescent="0.2">
      <c r="A29" s="1106" t="s">
        <v>471</v>
      </c>
      <c r="B29" s="1107">
        <f>'Cost Summary'!B48</f>
        <v>11496.170880006588</v>
      </c>
      <c r="S29" s="1096"/>
      <c r="T29" s="1096"/>
    </row>
    <row r="30" spans="1:21" x14ac:dyDescent="0.2">
      <c r="A30" s="1106" t="s">
        <v>472</v>
      </c>
      <c r="B30" s="1107">
        <f>'Cost Summary'!B59</f>
        <v>61.651497683474659</v>
      </c>
      <c r="S30" s="1096"/>
      <c r="T30" s="1096"/>
    </row>
    <row r="31" spans="1:21" x14ac:dyDescent="0.2">
      <c r="A31" s="1106" t="s">
        <v>473</v>
      </c>
      <c r="B31" s="1107">
        <f>'Cost Summary'!B58</f>
        <v>23.018933916423709</v>
      </c>
      <c r="S31" s="1096"/>
      <c r="T31" s="1096"/>
    </row>
    <row r="32" spans="1:21" x14ac:dyDescent="0.2">
      <c r="A32" s="1106" t="s">
        <v>474</v>
      </c>
      <c r="B32" s="1107">
        <f>'Cost Summary'!B60</f>
        <v>9.5119453568789449</v>
      </c>
      <c r="D32" s="1233"/>
      <c r="S32" s="1096"/>
      <c r="T32" s="1096"/>
    </row>
    <row r="33" spans="1:4" x14ac:dyDescent="0.2">
      <c r="A33" s="1108" t="s">
        <v>101</v>
      </c>
      <c r="B33" s="1109">
        <f>'Cost Summary'!B65</f>
        <v>7819.4738218039483</v>
      </c>
      <c r="D33" s="1233"/>
    </row>
    <row r="34" spans="1:4" ht="13.5" thickBot="1" x14ac:dyDescent="0.25">
      <c r="A34" s="1110" t="s">
        <v>68</v>
      </c>
      <c r="B34" s="1111">
        <f>'Cost Summary'!B64</f>
        <v>0.46734764289153152</v>
      </c>
      <c r="D34" s="1233"/>
    </row>
    <row r="35" spans="1:4" ht="13.5" thickBot="1" x14ac:dyDescent="0.25">
      <c r="A35" s="1112"/>
      <c r="B35" s="1232">
        <f>'Cost Summary'!B70</f>
        <v>0.22003447240581814</v>
      </c>
    </row>
    <row r="36" spans="1:4" ht="13.5" thickBot="1" x14ac:dyDescent="0.25">
      <c r="A36" s="1113" t="s">
        <v>802</v>
      </c>
      <c r="B36" s="1231">
        <f>SUM(B37:B42)</f>
        <v>0.22003447240581814</v>
      </c>
      <c r="C36" s="1115" t="s">
        <v>102</v>
      </c>
    </row>
    <row r="37" spans="1:4" x14ac:dyDescent="0.2">
      <c r="A37" s="1116" t="s">
        <v>66</v>
      </c>
      <c r="B37" s="1117">
        <f>'Cost Summary'!B72+'Cost Summary'!B73</f>
        <v>3.4719921004214997E-2</v>
      </c>
      <c r="C37" s="1118">
        <f>B37/B36</f>
        <v>0.15779309771143357</v>
      </c>
    </row>
    <row r="38" spans="1:4" x14ac:dyDescent="0.2">
      <c r="A38" s="1119" t="s">
        <v>690</v>
      </c>
      <c r="B38" s="1120">
        <f>'Cost Summary'!B74</f>
        <v>4.6806218466956126E-4</v>
      </c>
      <c r="C38" s="1121">
        <f>B38/B36</f>
        <v>2.1272220645785719E-3</v>
      </c>
    </row>
    <row r="39" spans="1:4" x14ac:dyDescent="0.2">
      <c r="A39" s="1119" t="s">
        <v>103</v>
      </c>
      <c r="B39" s="1120">
        <f>'Cost Summary'!B76+'Cost Summary'!B77</f>
        <v>0.14855625671911415</v>
      </c>
      <c r="C39" s="1121">
        <f>B39/B36</f>
        <v>0.67514992125927464</v>
      </c>
    </row>
    <row r="40" spans="1:4" x14ac:dyDescent="0.2">
      <c r="A40" s="1119" t="s">
        <v>104</v>
      </c>
      <c r="B40" s="1120">
        <f>'Cost Summary'!B75</f>
        <v>2.7399381339838474E-2</v>
      </c>
      <c r="C40" s="1121">
        <f>B40/B36</f>
        <v>0.12452313058157873</v>
      </c>
    </row>
    <row r="41" spans="1:4" x14ac:dyDescent="0.2">
      <c r="A41" s="1119" t="s">
        <v>96</v>
      </c>
      <c r="B41" s="1120">
        <f>'Cost Summary'!B78</f>
        <v>4.1602389130830026E-3</v>
      </c>
      <c r="C41" s="1121">
        <f>B41/B36</f>
        <v>1.8907214254183371E-2</v>
      </c>
    </row>
    <row r="42" spans="1:4" ht="13.5" thickBot="1" x14ac:dyDescent="0.25">
      <c r="A42" s="1122" t="s">
        <v>105</v>
      </c>
      <c r="B42" s="1123">
        <f>'Cost Summary'!B79</f>
        <v>4.7306122448979582E-3</v>
      </c>
      <c r="C42" s="1111">
        <f>B42/B36</f>
        <v>2.149941412895115E-2</v>
      </c>
    </row>
    <row r="65" spans="1:3" ht="13.5" thickBot="1" x14ac:dyDescent="0.25"/>
    <row r="66" spans="1:3" ht="13.5" thickBot="1" x14ac:dyDescent="0.25">
      <c r="A66" s="1113" t="s">
        <v>805</v>
      </c>
      <c r="B66" s="1114">
        <f>SUM(B67:B74)</f>
        <v>0.22003447240581814</v>
      </c>
      <c r="C66" s="1115" t="s">
        <v>102</v>
      </c>
    </row>
    <row r="67" spans="1:3" x14ac:dyDescent="0.2">
      <c r="A67" s="1116" t="s">
        <v>66</v>
      </c>
      <c r="B67" s="1117">
        <f>'Cost Summary'!B72</f>
        <v>3.4719921004214997E-2</v>
      </c>
      <c r="C67" s="1118">
        <f>B67/B66</f>
        <v>0.15779309771143357</v>
      </c>
    </row>
    <row r="68" spans="1:3" x14ac:dyDescent="0.2">
      <c r="A68" s="1116" t="s">
        <v>799</v>
      </c>
      <c r="B68" s="1117">
        <f>'Cost Summary'!B73</f>
        <v>0</v>
      </c>
      <c r="C68" s="1118">
        <f>B68/B66</f>
        <v>0</v>
      </c>
    </row>
    <row r="69" spans="1:3" x14ac:dyDescent="0.2">
      <c r="A69" s="1119" t="s">
        <v>103</v>
      </c>
      <c r="B69" s="1120">
        <f>'Cost Summary'!B76</f>
        <v>9.4676314587608945E-2</v>
      </c>
      <c r="C69" s="1121">
        <f>B69/B66</f>
        <v>0.43027946281523438</v>
      </c>
    </row>
    <row r="70" spans="1:3" x14ac:dyDescent="0.2">
      <c r="A70" s="1119" t="s">
        <v>806</v>
      </c>
      <c r="B70" s="1120">
        <f>'Cost Summary'!B74</f>
        <v>4.6806218466956126E-4</v>
      </c>
      <c r="C70" s="1121">
        <f>B70/B66</f>
        <v>2.1272220645785719E-3</v>
      </c>
    </row>
    <row r="71" spans="1:3" x14ac:dyDescent="0.2">
      <c r="A71" s="1119" t="s">
        <v>807</v>
      </c>
      <c r="B71" s="1120">
        <f>'Cost Summary'!B77</f>
        <v>5.3879942131505203E-2</v>
      </c>
      <c r="C71" s="1121">
        <f>B71/B66</f>
        <v>0.24487045844404021</v>
      </c>
    </row>
    <row r="72" spans="1:3" x14ac:dyDescent="0.2">
      <c r="A72" s="1119" t="s">
        <v>104</v>
      </c>
      <c r="B72" s="1120">
        <f>'Cost Summary'!B75</f>
        <v>2.7399381339838474E-2</v>
      </c>
      <c r="C72" s="1121">
        <f>B72/B66</f>
        <v>0.12452313058157873</v>
      </c>
    </row>
    <row r="73" spans="1:3" x14ac:dyDescent="0.2">
      <c r="A73" s="1119" t="s">
        <v>96</v>
      </c>
      <c r="B73" s="1120">
        <f>'Cost Summary'!B78</f>
        <v>4.1602389130830026E-3</v>
      </c>
      <c r="C73" s="1121">
        <f>B73/B66</f>
        <v>1.8907214254183371E-2</v>
      </c>
    </row>
    <row r="74" spans="1:3" ht="13.5" thickBot="1" x14ac:dyDescent="0.25">
      <c r="A74" s="1122" t="s">
        <v>105</v>
      </c>
      <c r="B74" s="1123">
        <f>'Cost Summary'!B79</f>
        <v>4.7306122448979582E-3</v>
      </c>
      <c r="C74" s="1111">
        <f>B74/B66</f>
        <v>2.149941412895115E-2</v>
      </c>
    </row>
  </sheetData>
  <mergeCells count="4">
    <mergeCell ref="E11:F16"/>
    <mergeCell ref="A10:B10"/>
    <mergeCell ref="E10:G10"/>
    <mergeCell ref="E9:G9"/>
  </mergeCells>
  <phoneticPr fontId="3" type="noConversion"/>
  <conditionalFormatting sqref="C18">
    <cfRule type="cellIs" dxfId="8" priority="9" stopIfTrue="1" operator="equal">
      <formula>"OK"</formula>
    </cfRule>
    <cfRule type="cellIs" dxfId="7" priority="10" stopIfTrue="1" operator="notEqual">
      <formula>"OK"</formula>
    </cfRule>
  </conditionalFormatting>
  <conditionalFormatting sqref="E9">
    <cfRule type="cellIs" dxfId="6" priority="11" stopIfTrue="1" operator="equal">
      <formula>"OK"</formula>
    </cfRule>
    <cfRule type="cellIs" dxfId="5" priority="12" stopIfTrue="1" operator="notEqual">
      <formula>"OK"</formula>
    </cfRule>
  </conditionalFormatting>
  <conditionalFormatting sqref="E10">
    <cfRule type="cellIs" dxfId="4" priority="13" stopIfTrue="1" operator="equal">
      <formula>"OK"</formula>
    </cfRule>
    <cfRule type="cellIs" dxfId="3" priority="14" stopIfTrue="1" operator="notEqual">
      <formula>"OK"</formula>
    </cfRule>
  </conditionalFormatting>
  <conditionalFormatting sqref="C14:C15">
    <cfRule type="containsText" dxfId="2" priority="3" stopIfTrue="1" operator="containsText" text="Check Wind Speed Class">
      <formula>NOT(ISERROR(SEARCH("Check Wind Speed Class",C14)))</formula>
    </cfRule>
    <cfRule type="containsText" dxfId="1" priority="4" stopIfTrue="1" operator="containsText" text="OK">
      <formula>NOT(ISERROR(SEARCH("OK",C14)))</formula>
    </cfRule>
  </conditionalFormatting>
  <conditionalFormatting sqref="C6">
    <cfRule type="containsText" dxfId="0" priority="1" stopIfTrue="1" operator="containsText" text="Caution: Turbine design does not match current wind class">
      <formula>NOT(ISERROR(SEARCH("Caution: Turbine design does not match current wind class",C6)))</formula>
    </cfRule>
  </conditionalFormatting>
  <dataValidations count="2">
    <dataValidation type="list" allowBlank="1" showInputMessage="1" showErrorMessage="1" sqref="B6">
      <formula1>TurbineChoices</formula1>
    </dataValidation>
    <dataValidation type="list" allowBlank="1" showInputMessage="1" showErrorMessage="1" sqref="C8:C9">
      <formula1>$K$7:$K$8</formula1>
    </dataValidation>
  </dataValidations>
  <pageMargins left="0.75" right="0.75" top="1" bottom="1" header="0.5" footer="0.5"/>
  <pageSetup scale="54" orientation="portrait" horizontalDpi="300" verticalDpi="300"/>
  <headerFooter alignWithMargins="0"/>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25"/>
  </sheetPr>
  <dimension ref="A1:M21"/>
  <sheetViews>
    <sheetView topLeftCell="A13" workbookViewId="0">
      <selection activeCell="C11" sqref="C11"/>
    </sheetView>
  </sheetViews>
  <sheetFormatPr defaultColWidth="8.85546875" defaultRowHeight="12.75" x14ac:dyDescent="0.2"/>
  <cols>
    <col min="1" max="1" width="32.42578125" customWidth="1"/>
    <col min="2" max="2" width="10.28515625" customWidth="1"/>
    <col min="4" max="4" width="10.28515625" bestFit="1" customWidth="1"/>
    <col min="8" max="8" width="11" customWidth="1"/>
    <col min="9" max="9" width="9.85546875" customWidth="1"/>
    <col min="14" max="14" width="10.140625" customWidth="1"/>
    <col min="15" max="15" width="9.85546875" customWidth="1"/>
    <col min="21" max="21" width="11" customWidth="1"/>
  </cols>
  <sheetData>
    <row r="1" spans="1:13" x14ac:dyDescent="0.2">
      <c r="A1" s="1" t="str">
        <f>'Input &amp; Summary'!$A$1</f>
        <v>Based on Combined Land Based-Offshore Turbine Cost Model. V2.01.12</v>
      </c>
      <c r="B1" s="1"/>
      <c r="C1" s="1"/>
      <c r="D1" s="139"/>
    </row>
    <row r="2" spans="1:13" ht="38.25" x14ac:dyDescent="0.2">
      <c r="A2" s="555" t="str">
        <f>'Input &amp; Summary'!A2</f>
        <v>Note:  This Model Contains Proprietary or Wind Technology Protected Data, and Should Not Be Released Outside of the DOE/NREL/SNL, until Further Notice.</v>
      </c>
      <c r="B2" s="555"/>
      <c r="C2" s="555"/>
      <c r="D2" s="139"/>
    </row>
    <row r="4" spans="1:13" x14ac:dyDescent="0.2">
      <c r="A4" s="356" t="s">
        <v>638</v>
      </c>
      <c r="B4" s="1"/>
      <c r="C4" s="1"/>
      <c r="D4" s="1"/>
      <c r="E4" s="1"/>
      <c r="F4" s="1"/>
      <c r="G4" s="356"/>
      <c r="H4" s="1"/>
      <c r="I4" s="1"/>
      <c r="J4" s="1"/>
      <c r="K4" s="1"/>
      <c r="L4" s="1"/>
      <c r="M4" s="1"/>
    </row>
    <row r="5" spans="1:13" ht="13.5" thickBot="1" x14ac:dyDescent="0.25"/>
    <row r="6" spans="1:13" ht="39" thickBot="1" x14ac:dyDescent="0.25">
      <c r="B6" s="220" t="s">
        <v>602</v>
      </c>
    </row>
    <row r="7" spans="1:13" ht="13.5" thickBot="1" x14ac:dyDescent="0.25">
      <c r="A7" s="473" t="s">
        <v>89</v>
      </c>
      <c r="B7" s="466">
        <f>'Input &amp; Summary'!$B$8</f>
        <v>96.9</v>
      </c>
      <c r="G7" s="21" t="s">
        <v>639</v>
      </c>
    </row>
    <row r="8" spans="1:13" ht="14.25" thickTop="1" thickBot="1" x14ac:dyDescent="0.25">
      <c r="G8" s="40" t="s">
        <v>108</v>
      </c>
      <c r="H8" s="40" t="s">
        <v>12</v>
      </c>
      <c r="I8" s="40" t="s">
        <v>13</v>
      </c>
    </row>
    <row r="9" spans="1:13" ht="14.25" thickTop="1" thickBot="1" x14ac:dyDescent="0.25">
      <c r="A9" s="21"/>
      <c r="B9" s="517" t="s">
        <v>100</v>
      </c>
      <c r="G9" s="145">
        <f>$B$12</f>
        <v>7476.3007299235405</v>
      </c>
      <c r="H9" s="40">
        <f>$B$7</f>
        <v>96.9</v>
      </c>
      <c r="I9" s="507">
        <f>$B$10</f>
        <v>1272.1500000000001</v>
      </c>
    </row>
    <row r="10" spans="1:13" ht="13.5" thickBot="1" x14ac:dyDescent="0.25">
      <c r="A10" s="474" t="s">
        <v>454</v>
      </c>
      <c r="B10" s="477">
        <f>$B$20*$B$7+$B$21</f>
        <v>1272.1500000000001</v>
      </c>
      <c r="C10" s="22"/>
    </row>
    <row r="11" spans="1:13" ht="13.5" thickBot="1" x14ac:dyDescent="0.25">
      <c r="A11" s="474" t="s">
        <v>654</v>
      </c>
      <c r="B11" s="478">
        <v>5.57</v>
      </c>
      <c r="C11" s="470">
        <f>'PPI Calculation'!D135</f>
        <v>1.0550990812530561</v>
      </c>
      <c r="D11" s="22" t="s">
        <v>590</v>
      </c>
    </row>
    <row r="12" spans="1:13" ht="13.5" thickBot="1" x14ac:dyDescent="0.25">
      <c r="A12" s="569" t="s">
        <v>684</v>
      </c>
      <c r="B12" s="122">
        <f>B10*B11*C11</f>
        <v>7476.3007299235405</v>
      </c>
      <c r="C12" s="550">
        <f>'Input &amp; Summary'!F7</f>
        <v>2010</v>
      </c>
      <c r="D12" s="567" t="s">
        <v>648</v>
      </c>
    </row>
    <row r="13" spans="1:13" ht="13.5" thickBot="1" x14ac:dyDescent="0.25"/>
    <row r="14" spans="1:13" ht="13.5" thickBot="1" x14ac:dyDescent="0.25">
      <c r="A14" s="357" t="s">
        <v>640</v>
      </c>
      <c r="B14" s="358"/>
      <c r="C14" s="359"/>
      <c r="D14" s="573"/>
    </row>
    <row r="15" spans="1:13" ht="23.25" thickBot="1" x14ac:dyDescent="0.25">
      <c r="A15" s="502" t="s">
        <v>88</v>
      </c>
      <c r="B15" s="503" t="s">
        <v>641</v>
      </c>
      <c r="C15" s="570" t="s">
        <v>642</v>
      </c>
      <c r="D15" s="574" t="s">
        <v>655</v>
      </c>
    </row>
    <row r="16" spans="1:13" ht="13.5" thickTop="1" x14ac:dyDescent="0.2">
      <c r="A16" s="489">
        <v>43</v>
      </c>
      <c r="B16" s="490">
        <v>275</v>
      </c>
      <c r="C16" s="571"/>
      <c r="D16" s="575"/>
    </row>
    <row r="17" spans="1:4" ht="13.5" thickBot="1" x14ac:dyDescent="0.25">
      <c r="A17" s="482">
        <v>93</v>
      </c>
      <c r="B17" s="483">
        <v>1200</v>
      </c>
      <c r="C17" s="572">
        <v>6659</v>
      </c>
      <c r="D17" s="576">
        <f>C17/0.996227</f>
        <v>6684.219560401395</v>
      </c>
    </row>
    <row r="20" spans="1:4" x14ac:dyDescent="0.2">
      <c r="A20" s="138" t="s">
        <v>643</v>
      </c>
      <c r="B20" s="138">
        <f>SLOPE(B16:B17,A16:A17)</f>
        <v>18.5</v>
      </c>
    </row>
    <row r="21" spans="1:4" x14ac:dyDescent="0.2">
      <c r="A21" s="138" t="s">
        <v>644</v>
      </c>
      <c r="B21" s="138">
        <f>INTERCEPT(B16:B17,A16:A17)</f>
        <v>-520.5</v>
      </c>
    </row>
  </sheetData>
  <phoneticPr fontId="3" type="noConversion"/>
  <pageMargins left="0.75" right="0.75" top="1" bottom="1" header="0.5" footer="0.5"/>
  <pageSetup orientation="portrait" horizontalDpi="300" verticalDpi="300"/>
  <headerFooter alignWithMargins="0"/>
  <drawing r:id="rId1"/>
  <legacy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25"/>
  </sheetPr>
  <dimension ref="A1:K67"/>
  <sheetViews>
    <sheetView workbookViewId="0"/>
  </sheetViews>
  <sheetFormatPr defaultColWidth="8.85546875" defaultRowHeight="12.75" x14ac:dyDescent="0.2"/>
  <cols>
    <col min="1" max="1" width="27.7109375" customWidth="1"/>
    <col min="2" max="2" width="18.140625" customWidth="1"/>
    <col min="3" max="3" width="9.85546875" customWidth="1"/>
    <col min="7" max="7" width="9.85546875" customWidth="1"/>
    <col min="9" max="9" width="10.140625" customWidth="1"/>
    <col min="10" max="10" width="19" bestFit="1" customWidth="1"/>
    <col min="11" max="12" width="9.140625" customWidth="1"/>
  </cols>
  <sheetData>
    <row r="1" spans="1:11" x14ac:dyDescent="0.2">
      <c r="A1" s="1" t="str">
        <f>'Input &amp; Summary'!A1</f>
        <v>Based on Combined Land Based-Offshore Turbine Cost Model. V2.01.12</v>
      </c>
      <c r="B1" s="1"/>
      <c r="C1" s="1"/>
      <c r="D1" s="139"/>
    </row>
    <row r="2" spans="1:11" ht="38.25" x14ac:dyDescent="0.2">
      <c r="A2" s="555" t="str">
        <f>'Input &amp; Summary'!A2</f>
        <v>Note:  This Model Contains Proprietary or Wind Technology Protected Data, and Should Not Be Released Outside of the DOE/NREL/SNL, until Further Notice.</v>
      </c>
      <c r="B2" s="555"/>
      <c r="C2" s="555"/>
      <c r="D2" s="139"/>
    </row>
    <row r="4" spans="1:11" x14ac:dyDescent="0.2">
      <c r="A4" s="21" t="s">
        <v>106</v>
      </c>
    </row>
    <row r="5" spans="1:11" ht="13.5" thickBot="1" x14ac:dyDescent="0.25"/>
    <row r="6" spans="1:11" ht="13.5" thickBot="1" x14ac:dyDescent="0.25">
      <c r="B6" s="480" t="s">
        <v>602</v>
      </c>
    </row>
    <row r="7" spans="1:11" ht="13.5" thickBot="1" x14ac:dyDescent="0.25">
      <c r="A7" s="221" t="s">
        <v>89</v>
      </c>
      <c r="B7" s="466">
        <f>'Input &amp; Summary'!B8</f>
        <v>96.9</v>
      </c>
    </row>
    <row r="8" spans="1:11" ht="13.5" thickBot="1" x14ac:dyDescent="0.25">
      <c r="A8" s="221" t="s">
        <v>1329</v>
      </c>
      <c r="B8" s="466">
        <f>'Input &amp; Summary'!B7</f>
        <v>1910</v>
      </c>
    </row>
    <row r="9" spans="1:11" ht="13.5" thickBot="1" x14ac:dyDescent="0.25">
      <c r="A9" s="221" t="s">
        <v>1456</v>
      </c>
      <c r="B9" s="466">
        <f>ROUND('AEP Input Output sheet'!B17,0)</f>
        <v>2117</v>
      </c>
    </row>
    <row r="10" spans="1:11" ht="13.5" thickBot="1" x14ac:dyDescent="0.25">
      <c r="A10" s="221" t="s">
        <v>890</v>
      </c>
      <c r="B10" s="466">
        <f>'Input &amp; Summary'!B18</f>
        <v>80</v>
      </c>
    </row>
    <row r="11" spans="1:11" ht="13.5" thickBot="1" x14ac:dyDescent="0.25">
      <c r="A11" s="221" t="s">
        <v>259</v>
      </c>
      <c r="B11" s="466">
        <f>'Input &amp; Summary'!B24</f>
        <v>1</v>
      </c>
      <c r="J11" s="39"/>
      <c r="K11" s="39"/>
    </row>
    <row r="12" spans="1:11" ht="13.5" thickBot="1" x14ac:dyDescent="0.25">
      <c r="A12" s="60"/>
      <c r="B12" s="119"/>
      <c r="J12" s="39"/>
      <c r="K12" s="39"/>
    </row>
    <row r="13" spans="1:11" ht="13.5" thickBot="1" x14ac:dyDescent="0.25">
      <c r="A13" s="60"/>
      <c r="B13" s="519" t="s">
        <v>100</v>
      </c>
      <c r="J13" s="39"/>
      <c r="K13" s="39"/>
    </row>
    <row r="14" spans="1:11" ht="13.5" thickBot="1" x14ac:dyDescent="0.25">
      <c r="A14" s="472" t="s">
        <v>656</v>
      </c>
      <c r="B14" s="518">
        <f>HLOOKUP(B11,B20:E22,2)*B7^(HLOOKUP(B11,B20:E22,3))</f>
        <v>54230.446825081759</v>
      </c>
      <c r="C14" s="470">
        <f>'PPI Calculation'!D58</f>
        <v>1.5619314205738277</v>
      </c>
      <c r="D14" s="22" t="s">
        <v>590</v>
      </c>
      <c r="J14" s="39"/>
      <c r="K14" s="39"/>
    </row>
    <row r="15" spans="1:11" ht="13.5" thickBot="1" x14ac:dyDescent="0.25">
      <c r="A15" s="472" t="s">
        <v>652</v>
      </c>
      <c r="B15" s="518">
        <f>B14*C14</f>
        <v>84704.238847853383</v>
      </c>
      <c r="C15" s="550">
        <f>'Input &amp; Summary'!F7</f>
        <v>2010</v>
      </c>
      <c r="D15" s="567" t="s">
        <v>648</v>
      </c>
      <c r="J15" s="39"/>
      <c r="K15" s="39"/>
    </row>
    <row r="16" spans="1:11" ht="13.5" thickBot="1" x14ac:dyDescent="0.25">
      <c r="A16" s="472" t="s">
        <v>113</v>
      </c>
      <c r="B16" s="608">
        <f>C62</f>
        <v>11641.158693094339</v>
      </c>
    </row>
    <row r="19" spans="1:7" x14ac:dyDescent="0.2">
      <c r="A19" s="131" t="s">
        <v>910</v>
      </c>
    </row>
    <row r="20" spans="1:7" x14ac:dyDescent="0.2">
      <c r="A20" s="137" t="s">
        <v>259</v>
      </c>
      <c r="B20" s="138">
        <v>1</v>
      </c>
      <c r="C20" s="138">
        <v>2</v>
      </c>
      <c r="D20" s="138">
        <v>3</v>
      </c>
      <c r="E20" s="138">
        <v>4</v>
      </c>
    </row>
    <row r="21" spans="1:7" x14ac:dyDescent="0.2">
      <c r="A21" s="137" t="s">
        <v>909</v>
      </c>
      <c r="B21" s="138">
        <v>9.98E-2</v>
      </c>
      <c r="C21" s="138">
        <v>0</v>
      </c>
      <c r="D21" s="138">
        <v>0</v>
      </c>
      <c r="E21" s="138">
        <v>0</v>
      </c>
    </row>
    <row r="22" spans="1:7" x14ac:dyDescent="0.2">
      <c r="A22" s="137" t="s">
        <v>390</v>
      </c>
      <c r="B22" s="138">
        <v>2.8873000000000002</v>
      </c>
      <c r="C22" s="138">
        <v>0</v>
      </c>
      <c r="D22" s="138">
        <v>0</v>
      </c>
      <c r="E22" s="138">
        <v>0</v>
      </c>
    </row>
    <row r="24" spans="1:7" x14ac:dyDescent="0.2">
      <c r="A24" s="21" t="s">
        <v>1350</v>
      </c>
    </row>
    <row r="25" spans="1:7" x14ac:dyDescent="0.2">
      <c r="A25" s="1012" t="s">
        <v>259</v>
      </c>
      <c r="B25" s="1013">
        <v>1</v>
      </c>
      <c r="C25" s="1013">
        <v>2</v>
      </c>
      <c r="D25" s="1013">
        <v>3</v>
      </c>
      <c r="E25" s="1013">
        <v>4</v>
      </c>
    </row>
    <row r="26" spans="1:7" x14ac:dyDescent="0.2">
      <c r="A26" s="1012" t="s">
        <v>1351</v>
      </c>
      <c r="B26" s="1014">
        <f>C62</f>
        <v>11641.158693094339</v>
      </c>
      <c r="C26" s="1013">
        <v>0</v>
      </c>
      <c r="D26" s="1013">
        <v>0</v>
      </c>
      <c r="E26" s="1013">
        <v>0</v>
      </c>
    </row>
    <row r="27" spans="1:7" ht="13.5" thickBot="1" x14ac:dyDescent="0.25"/>
    <row r="28" spans="1:7" x14ac:dyDescent="0.2">
      <c r="A28" s="316" t="s">
        <v>249</v>
      </c>
      <c r="B28" s="208"/>
      <c r="C28" s="208"/>
      <c r="D28" s="208"/>
      <c r="E28" s="208"/>
      <c r="F28" s="208"/>
      <c r="G28" s="317"/>
    </row>
    <row r="29" spans="1:7" x14ac:dyDescent="0.2">
      <c r="A29" s="240" t="s">
        <v>77</v>
      </c>
      <c r="B29" s="142" t="s">
        <v>107</v>
      </c>
      <c r="C29" s="142" t="s">
        <v>108</v>
      </c>
      <c r="D29" s="142" t="s">
        <v>109</v>
      </c>
      <c r="E29" s="142" t="s">
        <v>111</v>
      </c>
      <c r="F29" s="142" t="s">
        <v>112</v>
      </c>
      <c r="G29" s="241" t="s">
        <v>110</v>
      </c>
    </row>
    <row r="30" spans="1:7" x14ac:dyDescent="0.2">
      <c r="A30" s="240">
        <v>750</v>
      </c>
      <c r="B30" s="142">
        <v>50</v>
      </c>
      <c r="C30" s="142">
        <v>8433</v>
      </c>
      <c r="D30" s="142">
        <v>1204</v>
      </c>
      <c r="E30" s="142">
        <v>1.3979999999999999</v>
      </c>
      <c r="F30" s="142">
        <f>0.5*G30</f>
        <v>0.21199999999999999</v>
      </c>
      <c r="G30" s="241">
        <v>0.42399999999999999</v>
      </c>
    </row>
    <row r="31" spans="1:7" x14ac:dyDescent="0.2">
      <c r="A31" s="240">
        <v>1500</v>
      </c>
      <c r="B31" s="142">
        <v>70</v>
      </c>
      <c r="C31" s="142">
        <v>19857</v>
      </c>
      <c r="D31" s="142">
        <v>2836</v>
      </c>
      <c r="E31" s="142">
        <v>1.98</v>
      </c>
      <c r="F31" s="142">
        <f>0.5*G31</f>
        <v>0.28000000000000003</v>
      </c>
      <c r="G31" s="241">
        <v>0.56000000000000005</v>
      </c>
    </row>
    <row r="32" spans="1:7" x14ac:dyDescent="0.2">
      <c r="A32" s="240">
        <v>3000</v>
      </c>
      <c r="B32" s="142">
        <v>99</v>
      </c>
      <c r="C32" s="142">
        <v>56263</v>
      </c>
      <c r="D32" s="142">
        <v>8037</v>
      </c>
      <c r="E32" s="142">
        <v>2.79</v>
      </c>
      <c r="F32" s="142">
        <f>0.5*G32</f>
        <v>0.39600000000000002</v>
      </c>
      <c r="G32" s="241">
        <v>0.79200000000000004</v>
      </c>
    </row>
    <row r="33" spans="1:7" ht="13.5" thickBot="1" x14ac:dyDescent="0.25">
      <c r="A33" s="245">
        <v>5000</v>
      </c>
      <c r="B33" s="246">
        <v>126</v>
      </c>
      <c r="C33" s="246">
        <v>120903</v>
      </c>
      <c r="D33" s="246">
        <v>17271</v>
      </c>
      <c r="E33" s="246">
        <v>3.6</v>
      </c>
      <c r="F33" s="246">
        <f>0.5*G33</f>
        <v>0.51200000000000001</v>
      </c>
      <c r="G33" s="247">
        <v>1.024</v>
      </c>
    </row>
    <row r="34" spans="1:7" x14ac:dyDescent="0.2">
      <c r="A34" s="609" t="s">
        <v>729</v>
      </c>
      <c r="B34" s="600"/>
      <c r="C34" s="600"/>
      <c r="D34" s="600"/>
      <c r="E34" s="600"/>
      <c r="F34" s="600"/>
      <c r="G34" s="601"/>
    </row>
    <row r="35" spans="1:7" ht="13.5" thickBot="1" x14ac:dyDescent="0.25">
      <c r="A35" s="602"/>
      <c r="B35" s="603">
        <f>B7</f>
        <v>96.9</v>
      </c>
      <c r="C35" s="607">
        <f>B14</f>
        <v>54230.446825081759</v>
      </c>
      <c r="D35" s="605"/>
      <c r="E35" s="603"/>
      <c r="F35" s="603"/>
      <c r="G35" s="604"/>
    </row>
    <row r="53" spans="1:3" x14ac:dyDescent="0.2">
      <c r="B53" s="39"/>
    </row>
    <row r="55" spans="1:3" x14ac:dyDescent="0.2">
      <c r="A55" s="1334" t="s">
        <v>1338</v>
      </c>
      <c r="B55" s="1334"/>
      <c r="C55" s="1334"/>
    </row>
    <row r="56" spans="1:3" x14ac:dyDescent="0.2">
      <c r="A56" s="1332" t="s">
        <v>1216</v>
      </c>
      <c r="B56" s="31" t="s">
        <v>1328</v>
      </c>
      <c r="C56" s="84">
        <f>(B10)/((B7/2)*(PI()/30))</f>
        <v>15.767672380621212</v>
      </c>
    </row>
    <row r="57" spans="1:3" x14ac:dyDescent="0.2">
      <c r="A57" s="1332"/>
      <c r="B57" s="31" t="s">
        <v>1315</v>
      </c>
      <c r="C57" s="31">
        <f>'Cost &amp; Mass Functions'!D28*3+'Cost &amp; Mass Functions'!D43+'Cost &amp; Mass Functions'!D61+'Cost &amp; Mass Functions'!D85</f>
        <v>48759.874176558769</v>
      </c>
    </row>
    <row r="58" spans="1:3" x14ac:dyDescent="0.2">
      <c r="A58" s="1332"/>
      <c r="B58" s="31" t="s">
        <v>1316</v>
      </c>
      <c r="C58" s="79">
        <f>B9/(C56*(PI()/30))*1000</f>
        <v>1282108.125</v>
      </c>
    </row>
    <row r="59" spans="1:3" x14ac:dyDescent="0.2">
      <c r="A59" s="1332" t="s">
        <v>624</v>
      </c>
      <c r="B59" s="31" t="s">
        <v>1317</v>
      </c>
      <c r="C59" s="966">
        <f>((32/PI())*C63*3.25*((C58*3/371000000)^2+(C64/71070000)^2)^(1/2))^(1/3)</f>
        <v>0.72401367881113943</v>
      </c>
    </row>
    <row r="60" spans="1:3" x14ac:dyDescent="0.2">
      <c r="A60" s="1332"/>
      <c r="B60" s="31" t="s">
        <v>1318</v>
      </c>
      <c r="C60" s="966">
        <f>C59/10</f>
        <v>7.240136788111394E-2</v>
      </c>
    </row>
    <row r="61" spans="1:3" x14ac:dyDescent="0.2">
      <c r="A61" s="1332"/>
      <c r="B61" s="31" t="s">
        <v>1319</v>
      </c>
      <c r="C61" s="84">
        <f>0.03*B7</f>
        <v>2.907</v>
      </c>
    </row>
    <row r="62" spans="1:3" x14ac:dyDescent="0.2">
      <c r="A62" s="1332"/>
      <c r="B62" s="31" t="s">
        <v>1320</v>
      </c>
      <c r="C62" s="84">
        <f>1.25*(PI()/4)*(C59^2-C60^2)*C61*C67</f>
        <v>11641.158693094339</v>
      </c>
    </row>
    <row r="63" spans="1:3" x14ac:dyDescent="0.2">
      <c r="A63" s="1333" t="s">
        <v>1321</v>
      </c>
      <c r="B63" s="31" t="s">
        <v>1322</v>
      </c>
      <c r="C63" s="84">
        <f>1/(1-(0.1)^4)</f>
        <v>1.000100010001</v>
      </c>
    </row>
    <row r="64" spans="1:3" x14ac:dyDescent="0.2">
      <c r="A64" s="1333"/>
      <c r="B64" s="31" t="s">
        <v>1323</v>
      </c>
      <c r="C64" s="84">
        <f>C65*C66</f>
        <v>347629.50025215623</v>
      </c>
    </row>
    <row r="65" spans="1:3" x14ac:dyDescent="0.2">
      <c r="A65" s="1333"/>
      <c r="B65" s="31" t="s">
        <v>1324</v>
      </c>
      <c r="C65" s="84">
        <f>1.25*9.81*C57</f>
        <v>597917.95709005196</v>
      </c>
    </row>
    <row r="66" spans="1:3" x14ac:dyDescent="0.2">
      <c r="A66" s="1333"/>
      <c r="B66" s="31" t="s">
        <v>1325</v>
      </c>
      <c r="C66" s="31">
        <f>C61/5</f>
        <v>0.58140000000000003</v>
      </c>
    </row>
    <row r="67" spans="1:3" x14ac:dyDescent="0.2">
      <c r="A67" s="1333"/>
      <c r="B67" s="31" t="s">
        <v>1326</v>
      </c>
      <c r="C67" s="31">
        <v>7860</v>
      </c>
    </row>
  </sheetData>
  <mergeCells count="4">
    <mergeCell ref="A56:A58"/>
    <mergeCell ref="A59:A62"/>
    <mergeCell ref="A63:A67"/>
    <mergeCell ref="A55:C55"/>
  </mergeCells>
  <phoneticPr fontId="3" type="noConversion"/>
  <pageMargins left="0.75" right="0.75" top="1" bottom="1" header="0.5" footer="0.5"/>
  <pageSetup orientation="portrait"/>
  <headerFooter alignWithMargins="0"/>
  <drawing r:id="rId1"/>
  <legacyDrawing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25"/>
  </sheetPr>
  <dimension ref="A1:D33"/>
  <sheetViews>
    <sheetView workbookViewId="0">
      <selection activeCell="C15" sqref="C15"/>
    </sheetView>
  </sheetViews>
  <sheetFormatPr defaultColWidth="8.85546875" defaultRowHeight="12.75" x14ac:dyDescent="0.2"/>
  <cols>
    <col min="1" max="1" width="26.85546875" customWidth="1"/>
    <col min="2" max="2" width="13.85546875" customWidth="1"/>
    <col min="4" max="4" width="11.140625" bestFit="1" customWidth="1"/>
    <col min="5" max="5" width="11" bestFit="1" customWidth="1"/>
  </cols>
  <sheetData>
    <row r="1" spans="1:4" x14ac:dyDescent="0.2">
      <c r="A1" s="1" t="str">
        <f>'Input &amp; Summary'!A1</f>
        <v>Based on Combined Land Based-Offshore Turbine Cost Model. V2.01.12</v>
      </c>
      <c r="B1" s="1"/>
      <c r="C1" s="1"/>
      <c r="D1" s="139"/>
    </row>
    <row r="2" spans="1:4" ht="38.25" x14ac:dyDescent="0.2">
      <c r="A2" s="555" t="str">
        <f>'Input &amp; Summary'!A2</f>
        <v>Note:  This Model Contains Proprietary or Wind Technology Protected Data, and Should Not Be Released Outside of the DOE/NREL/SNL, until Further Notice.</v>
      </c>
      <c r="B2" s="555"/>
      <c r="C2" s="555"/>
      <c r="D2" s="139"/>
    </row>
    <row r="4" spans="1:4" ht="13.5" thickBot="1" x14ac:dyDescent="0.25">
      <c r="A4" s="21" t="s">
        <v>498</v>
      </c>
    </row>
    <row r="5" spans="1:4" ht="26.25" thickBot="1" x14ac:dyDescent="0.25">
      <c r="B5" s="480" t="s">
        <v>602</v>
      </c>
    </row>
    <row r="6" spans="1:4" ht="13.5" thickBot="1" x14ac:dyDescent="0.25">
      <c r="A6" s="221" t="s">
        <v>89</v>
      </c>
      <c r="B6" s="466">
        <f>'Input &amp; Summary'!B8</f>
        <v>96.9</v>
      </c>
    </row>
    <row r="7" spans="1:4" ht="13.5" thickBot="1" x14ac:dyDescent="0.25">
      <c r="A7" s="221" t="s">
        <v>250</v>
      </c>
      <c r="B7" s="466">
        <f>'Input &amp; Summary'!B24</f>
        <v>1</v>
      </c>
    </row>
    <row r="8" spans="1:4" ht="13.5" thickBot="1" x14ac:dyDescent="0.25">
      <c r="A8" s="21"/>
      <c r="B8" s="119"/>
    </row>
    <row r="9" spans="1:4" ht="13.5" thickBot="1" x14ac:dyDescent="0.25">
      <c r="A9" s="21"/>
      <c r="B9" s="468" t="s">
        <v>100</v>
      </c>
    </row>
    <row r="10" spans="1:4" ht="13.5" thickBot="1" x14ac:dyDescent="0.25">
      <c r="A10" s="472" t="s">
        <v>494</v>
      </c>
      <c r="B10" s="477">
        <f>IF(B7=1,(B18*B6^3.5+B19*B6^2.5),0)</f>
        <v>1070.5895503714687</v>
      </c>
    </row>
    <row r="11" spans="1:4" ht="13.5" thickBot="1" x14ac:dyDescent="0.25">
      <c r="A11" s="472" t="s">
        <v>170</v>
      </c>
      <c r="B11" s="477">
        <f>B10</f>
        <v>1070.5895503714687</v>
      </c>
      <c r="C11" t="s">
        <v>497</v>
      </c>
    </row>
    <row r="12" spans="1:4" ht="13.5" thickBot="1" x14ac:dyDescent="0.25">
      <c r="A12" s="472" t="s">
        <v>500</v>
      </c>
      <c r="B12" s="477">
        <f>B10+B11</f>
        <v>2141.1791007429374</v>
      </c>
    </row>
    <row r="13" spans="1:4" ht="13.5" thickBot="1" x14ac:dyDescent="0.25">
      <c r="A13" s="472" t="s">
        <v>657</v>
      </c>
      <c r="B13" s="122">
        <f>B10*B20</f>
        <v>18842.37608653785</v>
      </c>
    </row>
    <row r="14" spans="1:4" ht="13.5" thickBot="1" x14ac:dyDescent="0.25">
      <c r="A14" s="472" t="s">
        <v>658</v>
      </c>
      <c r="B14" s="122">
        <f>B11*B20</f>
        <v>18842.37608653785</v>
      </c>
    </row>
    <row r="15" spans="1:4" ht="13.5" thickBot="1" x14ac:dyDescent="0.25">
      <c r="A15" s="472" t="s">
        <v>659</v>
      </c>
      <c r="B15" s="122">
        <f>B13+B14</f>
        <v>37684.7521730757</v>
      </c>
      <c r="C15" s="470">
        <f>'PPI Calculation'!D64</f>
        <v>1.3421985815602837</v>
      </c>
      <c r="D15" s="22" t="s">
        <v>590</v>
      </c>
    </row>
    <row r="16" spans="1:4" ht="13.5" thickBot="1" x14ac:dyDescent="0.25">
      <c r="A16" s="472" t="s">
        <v>660</v>
      </c>
      <c r="B16" s="122">
        <f>B15*C15</f>
        <v>50580.420913153022</v>
      </c>
      <c r="C16" s="550">
        <f>'Input &amp; Summary'!F7</f>
        <v>2010</v>
      </c>
      <c r="D16" s="567" t="s">
        <v>648</v>
      </c>
    </row>
    <row r="18" spans="1:4" x14ac:dyDescent="0.2">
      <c r="A18" s="137" t="s">
        <v>961</v>
      </c>
      <c r="B18" s="801">
        <f>8/600*0.0092</f>
        <v>1.2266666666666668E-4</v>
      </c>
    </row>
    <row r="19" spans="1:4" x14ac:dyDescent="0.2">
      <c r="A19" s="137" t="s">
        <v>962</v>
      </c>
      <c r="B19" s="801">
        <f>-0.033*0.0092</f>
        <v>-3.0360000000000001E-4</v>
      </c>
    </row>
    <row r="20" spans="1:4" x14ac:dyDescent="0.2">
      <c r="A20" s="137" t="s">
        <v>966</v>
      </c>
      <c r="B20" s="791">
        <v>17.600000000000001</v>
      </c>
      <c r="C20" t="s">
        <v>496</v>
      </c>
    </row>
    <row r="21" spans="1:4" x14ac:dyDescent="0.2">
      <c r="A21" s="21"/>
    </row>
    <row r="22" spans="1:4" x14ac:dyDescent="0.2">
      <c r="A22" s="21" t="s">
        <v>499</v>
      </c>
    </row>
    <row r="23" spans="1:4" x14ac:dyDescent="0.2">
      <c r="A23" s="21" t="s">
        <v>963</v>
      </c>
    </row>
    <row r="24" spans="1:4" x14ac:dyDescent="0.2">
      <c r="A24" s="21" t="s">
        <v>964</v>
      </c>
    </row>
    <row r="25" spans="1:4" x14ac:dyDescent="0.2">
      <c r="A25" s="21" t="s">
        <v>965</v>
      </c>
    </row>
    <row r="27" spans="1:4" ht="13.5" thickBot="1" x14ac:dyDescent="0.25">
      <c r="A27" s="300" t="s">
        <v>492</v>
      </c>
      <c r="B27" s="301"/>
      <c r="C27" s="301"/>
      <c r="D27" s="302"/>
    </row>
    <row r="28" spans="1:4" ht="52.5" thickTop="1" thickBot="1" x14ac:dyDescent="0.25">
      <c r="A28" s="303" t="s">
        <v>493</v>
      </c>
      <c r="B28" s="304" t="s">
        <v>491</v>
      </c>
      <c r="C28" s="304" t="s">
        <v>490</v>
      </c>
      <c r="D28" s="305" t="s">
        <v>495</v>
      </c>
    </row>
    <row r="29" spans="1:4" ht="13.5" thickTop="1" x14ac:dyDescent="0.2">
      <c r="A29" s="306">
        <v>50</v>
      </c>
      <c r="B29" s="307">
        <f>2*(((A29*8/600)-0.033)*(0.0092*(A29^2.5)))</f>
        <v>206.11219862546255</v>
      </c>
      <c r="C29" s="308">
        <f>B29*17.6</f>
        <v>3627.5746958081413</v>
      </c>
      <c r="D29" s="309">
        <v>3794</v>
      </c>
    </row>
    <row r="30" spans="1:4" x14ac:dyDescent="0.2">
      <c r="A30" s="196">
        <v>70</v>
      </c>
      <c r="B30" s="310">
        <f>2*(((A30*8/600)-0.033)*(0.0092*(A30^2.5)))</f>
        <v>679.15085615745159</v>
      </c>
      <c r="C30" s="311">
        <f>B30*17.6</f>
        <v>11953.055068371148</v>
      </c>
      <c r="D30" s="312">
        <v>12317</v>
      </c>
    </row>
    <row r="31" spans="1:4" x14ac:dyDescent="0.2">
      <c r="A31" s="196">
        <v>99</v>
      </c>
      <c r="B31" s="310">
        <f>2*(((A31*8/600)-0.033)*(0.0092*(A31^2.5)))</f>
        <v>2309.3212740471822</v>
      </c>
      <c r="C31" s="311">
        <f>B31*17.6</f>
        <v>40644.054423230409</v>
      </c>
      <c r="D31" s="312">
        <v>41436</v>
      </c>
    </row>
    <row r="32" spans="1:4" ht="13.5" thickBot="1" x14ac:dyDescent="0.25">
      <c r="A32" s="210">
        <v>126</v>
      </c>
      <c r="B32" s="313">
        <f>2*(((A32*8/600)-0.033)*(0.0092*(A32^2.5)))</f>
        <v>5400.5474346817391</v>
      </c>
      <c r="C32" s="314">
        <f>B32*17.6</f>
        <v>95049.634850398623</v>
      </c>
      <c r="D32" s="315">
        <v>101834</v>
      </c>
    </row>
    <row r="33" ht="13.5" thickTop="1" x14ac:dyDescent="0.2"/>
  </sheetData>
  <phoneticPr fontId="3" type="noConversion"/>
  <pageMargins left="0.75" right="0.75" top="1" bottom="1" header="0.5" footer="0.5"/>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25"/>
  </sheetPr>
  <dimension ref="A1:L80"/>
  <sheetViews>
    <sheetView workbookViewId="0"/>
  </sheetViews>
  <sheetFormatPr defaultColWidth="8.85546875" defaultRowHeight="12.75" x14ac:dyDescent="0.2"/>
  <cols>
    <col min="1" max="1" width="27.140625" customWidth="1"/>
    <col min="2" max="2" width="12.85546875" customWidth="1"/>
  </cols>
  <sheetData>
    <row r="1" spans="1:5" x14ac:dyDescent="0.2">
      <c r="A1" s="1" t="str">
        <f>'Input &amp; Summary'!A1</f>
        <v>Based on Combined Land Based-Offshore Turbine Cost Model. V2.01.12</v>
      </c>
      <c r="B1" s="1"/>
      <c r="C1" s="1"/>
      <c r="D1" s="139"/>
    </row>
    <row r="2" spans="1:5" ht="38.25" x14ac:dyDescent="0.2">
      <c r="A2" s="555" t="str">
        <f>'Input &amp; Summary'!A2</f>
        <v>Note:  This Model Contains Proprietary or Wind Technology Protected Data, and Should Not Be Released Outside of the DOE/NREL/SNL, until Further Notice.</v>
      </c>
      <c r="B2" s="555"/>
      <c r="C2" s="555"/>
      <c r="D2" s="139"/>
    </row>
    <row r="4" spans="1:5" x14ac:dyDescent="0.2">
      <c r="A4" s="21" t="s">
        <v>257</v>
      </c>
    </row>
    <row r="5" spans="1:5" ht="13.5" thickBot="1" x14ac:dyDescent="0.25"/>
    <row r="6" spans="1:5" ht="26.25" thickBot="1" x14ac:dyDescent="0.25">
      <c r="B6" s="480" t="s">
        <v>602</v>
      </c>
    </row>
    <row r="7" spans="1:5" ht="13.5" thickBot="1" x14ac:dyDescent="0.25">
      <c r="A7" s="596" t="s">
        <v>172</v>
      </c>
      <c r="B7" s="597">
        <f>'Input &amp; Summary'!B7</f>
        <v>1910</v>
      </c>
    </row>
    <row r="8" spans="1:5" ht="13.5" thickBot="1" x14ac:dyDescent="0.25">
      <c r="A8" s="1132" t="s">
        <v>1455</v>
      </c>
      <c r="B8" s="597">
        <f>ROUND('AEP Input Output sheet'!B17,0)</f>
        <v>2117</v>
      </c>
    </row>
    <row r="9" spans="1:5" ht="13.5" thickBot="1" x14ac:dyDescent="0.25">
      <c r="A9" s="596" t="s">
        <v>15</v>
      </c>
      <c r="B9" s="597">
        <f>'Input &amp; Summary'!B8</f>
        <v>96.9</v>
      </c>
    </row>
    <row r="10" spans="1:5" ht="13.5" thickBot="1" x14ac:dyDescent="0.25">
      <c r="A10" s="596" t="s">
        <v>367</v>
      </c>
      <c r="B10" s="597">
        <f>'Input &amp; Summary'!B18</f>
        <v>80</v>
      </c>
    </row>
    <row r="11" spans="1:5" ht="13.5" thickBot="1" x14ac:dyDescent="0.25">
      <c r="A11" s="21"/>
      <c r="B11" s="481"/>
      <c r="E11" s="7"/>
    </row>
    <row r="12" spans="1:5" ht="13.5" thickBot="1" x14ac:dyDescent="0.25">
      <c r="A12" s="21"/>
      <c r="B12" s="479" t="s">
        <v>100</v>
      </c>
    </row>
    <row r="13" spans="1:5" ht="13.5" thickBot="1" x14ac:dyDescent="0.25">
      <c r="A13" s="598" t="s">
        <v>368</v>
      </c>
      <c r="B13" s="591">
        <f>(B10)/((B9/2)*(PI()/30))</f>
        <v>15.767672380621212</v>
      </c>
    </row>
    <row r="14" spans="1:5" ht="13.5" thickBot="1" x14ac:dyDescent="0.25">
      <c r="A14" s="598" t="s">
        <v>369</v>
      </c>
      <c r="B14" s="592">
        <f>B8/(B13*(PI()/30))</f>
        <v>1282.108125</v>
      </c>
    </row>
    <row r="15" spans="1:5" ht="13.5" thickBot="1" x14ac:dyDescent="0.25">
      <c r="A15" s="598" t="s">
        <v>250</v>
      </c>
      <c r="B15" s="592">
        <f>'Input &amp; Summary'!B24</f>
        <v>1</v>
      </c>
    </row>
    <row r="16" spans="1:5" ht="13.5" thickBot="1" x14ac:dyDescent="0.25">
      <c r="A16" s="598" t="s">
        <v>589</v>
      </c>
      <c r="B16" s="593">
        <f>HLOOKUP(B15,B22:E24,2)*B7^HLOOKUP(B15,B22:E24,3)</f>
        <v>206302.59048079237</v>
      </c>
      <c r="C16" s="595">
        <f>'PPI Calculation'!D70</f>
        <v>1.3456416464891043</v>
      </c>
      <c r="D16" s="22" t="s">
        <v>590</v>
      </c>
    </row>
    <row r="17" spans="1:5" ht="13.5" thickBot="1" x14ac:dyDescent="0.25">
      <c r="A17" s="598" t="s">
        <v>685</v>
      </c>
      <c r="B17" s="593">
        <f>B16*C16</f>
        <v>277609.35752954084</v>
      </c>
      <c r="C17" s="550">
        <f>'Input &amp; Summary'!F7</f>
        <v>2010</v>
      </c>
      <c r="D17" s="567" t="s">
        <v>648</v>
      </c>
    </row>
    <row r="18" spans="1:5" ht="13.5" thickBot="1" x14ac:dyDescent="0.25">
      <c r="A18" s="598" t="s">
        <v>173</v>
      </c>
      <c r="B18" s="594">
        <f>HLOOKUP(B15,A27:E29,2)*B14^HLOOKUP(B15,A27:E29,3)</f>
        <v>14990.815905586207</v>
      </c>
    </row>
    <row r="21" spans="1:5" ht="13.5" thickBot="1" x14ac:dyDescent="0.25">
      <c r="A21" s="127" t="s">
        <v>456</v>
      </c>
      <c r="B21" s="39"/>
      <c r="C21" s="39"/>
      <c r="D21" s="39"/>
      <c r="E21" s="39"/>
    </row>
    <row r="22" spans="1:5" x14ac:dyDescent="0.2">
      <c r="A22" s="520" t="s">
        <v>251</v>
      </c>
      <c r="B22" s="521">
        <v>1</v>
      </c>
      <c r="C22" s="521">
        <v>2</v>
      </c>
      <c r="D22" s="521">
        <v>3</v>
      </c>
      <c r="E22" s="522">
        <v>4</v>
      </c>
    </row>
    <row r="23" spans="1:5" x14ac:dyDescent="0.2">
      <c r="A23" s="523" t="s">
        <v>82</v>
      </c>
      <c r="B23" s="137">
        <f>16.45</f>
        <v>16.45</v>
      </c>
      <c r="C23" s="137">
        <v>74.100999999999999</v>
      </c>
      <c r="D23" s="137">
        <f>(G38*G49)/B38*B23</f>
        <v>15.256970145754455</v>
      </c>
      <c r="E23" s="524">
        <v>0</v>
      </c>
    </row>
    <row r="24" spans="1:5" ht="13.5" thickBot="1" x14ac:dyDescent="0.25">
      <c r="A24" s="525" t="s">
        <v>255</v>
      </c>
      <c r="B24" s="526">
        <v>1.2491000000000001</v>
      </c>
      <c r="C24" s="526">
        <v>1.002</v>
      </c>
      <c r="D24" s="526">
        <v>1.2491000000000001</v>
      </c>
      <c r="E24" s="527">
        <v>0</v>
      </c>
    </row>
    <row r="26" spans="1:5" ht="13.5" thickBot="1" x14ac:dyDescent="0.25">
      <c r="A26" s="127" t="s">
        <v>457</v>
      </c>
      <c r="B26" s="39"/>
      <c r="C26" s="39"/>
      <c r="D26" s="39"/>
      <c r="E26" s="39"/>
    </row>
    <row r="27" spans="1:5" x14ac:dyDescent="0.2">
      <c r="A27" s="520" t="s">
        <v>251</v>
      </c>
      <c r="B27" s="521">
        <v>1</v>
      </c>
      <c r="C27" s="521">
        <v>2</v>
      </c>
      <c r="D27" s="521">
        <v>3</v>
      </c>
      <c r="E27" s="522">
        <v>4</v>
      </c>
    </row>
    <row r="28" spans="1:5" x14ac:dyDescent="0.2">
      <c r="A28" s="523" t="s">
        <v>82</v>
      </c>
      <c r="B28" s="137">
        <v>65.600999999999999</v>
      </c>
      <c r="C28" s="137">
        <f>I74/E74*B28</f>
        <v>81.639673347138512</v>
      </c>
      <c r="D28" s="137">
        <f>J75/E75*B28</f>
        <v>129.17029242999348</v>
      </c>
      <c r="E28" s="524">
        <v>0</v>
      </c>
    </row>
    <row r="29" spans="1:5" ht="13.5" thickBot="1" x14ac:dyDescent="0.25">
      <c r="A29" s="525" t="s">
        <v>255</v>
      </c>
      <c r="B29" s="526">
        <v>0.75900000000000001</v>
      </c>
      <c r="C29" s="526">
        <v>0.77380000000000004</v>
      </c>
      <c r="D29" s="526">
        <v>0.77380000000000004</v>
      </c>
      <c r="E29" s="527">
        <v>0</v>
      </c>
    </row>
    <row r="32" spans="1:5" x14ac:dyDescent="0.2">
      <c r="A32" s="60"/>
    </row>
    <row r="33" spans="1:10" ht="13.5" thickBot="1" x14ac:dyDescent="0.25">
      <c r="A33" s="124" t="s">
        <v>458</v>
      </c>
      <c r="B33" s="125"/>
      <c r="C33" s="125"/>
      <c r="D33" s="125"/>
      <c r="E33" s="125"/>
      <c r="F33" s="125"/>
      <c r="G33" s="125"/>
      <c r="H33" s="125"/>
      <c r="I33" s="125"/>
      <c r="J33" s="126"/>
    </row>
    <row r="34" spans="1:10" ht="13.5" thickTop="1" x14ac:dyDescent="0.2">
      <c r="A34" s="184" t="s">
        <v>459</v>
      </c>
      <c r="B34" s="185"/>
      <c r="C34" s="185"/>
      <c r="D34" s="185"/>
      <c r="E34" s="186"/>
      <c r="F34" s="187" t="s">
        <v>460</v>
      </c>
      <c r="G34" s="188"/>
      <c r="H34" s="188"/>
      <c r="I34" s="188"/>
      <c r="J34" s="189"/>
    </row>
    <row r="35" spans="1:10" ht="90" x14ac:dyDescent="0.2">
      <c r="A35" s="190" t="s">
        <v>77</v>
      </c>
      <c r="B35" s="191" t="s">
        <v>591</v>
      </c>
      <c r="C35" s="191" t="s">
        <v>592</v>
      </c>
      <c r="D35" s="191" t="s">
        <v>593</v>
      </c>
      <c r="E35" s="192" t="s">
        <v>313</v>
      </c>
      <c r="F35" s="193" t="s">
        <v>253</v>
      </c>
      <c r="G35" s="194" t="s">
        <v>254</v>
      </c>
      <c r="H35" s="194" t="s">
        <v>79</v>
      </c>
      <c r="I35" s="194" t="s">
        <v>461</v>
      </c>
      <c r="J35" s="195"/>
    </row>
    <row r="36" spans="1:10" x14ac:dyDescent="0.2">
      <c r="A36" s="30">
        <v>750</v>
      </c>
      <c r="B36" s="85">
        <f>$B$23*A36^$B$24</f>
        <v>64180.770474267607</v>
      </c>
      <c r="C36" s="85">
        <f>($C$23*A36^$C$24)*$F$49</f>
        <v>58001.754906852155</v>
      </c>
      <c r="D36" s="85">
        <f>$D$23*A36^$D$24</f>
        <v>59526.085049083274</v>
      </c>
      <c r="E36" s="32">
        <f>$E$23*A36^$E$24</f>
        <v>0</v>
      </c>
      <c r="F36" s="196">
        <v>57728</v>
      </c>
      <c r="G36" s="142"/>
      <c r="H36" s="142"/>
      <c r="I36" s="142">
        <v>64919</v>
      </c>
      <c r="J36" s="197"/>
    </row>
    <row r="37" spans="1:10" x14ac:dyDescent="0.2">
      <c r="A37" s="30">
        <v>1500</v>
      </c>
      <c r="B37" s="85">
        <f>$B$23*A37^$B$24</f>
        <v>152553.26042208247</v>
      </c>
      <c r="C37" s="85">
        <f>($C$23*A37^$C$24)*$F$49</f>
        <v>116164.43634522818</v>
      </c>
      <c r="D37" s="85">
        <f>$D$23*A37^$D$24</f>
        <v>141489.39452262718</v>
      </c>
      <c r="E37" s="32">
        <f>$E$23*A37^$E$24</f>
        <v>0</v>
      </c>
      <c r="F37" s="196">
        <v>107307</v>
      </c>
      <c r="G37" s="142"/>
      <c r="H37" s="142"/>
      <c r="I37" s="142">
        <v>150881</v>
      </c>
      <c r="J37" s="197"/>
    </row>
    <row r="38" spans="1:10" x14ac:dyDescent="0.2">
      <c r="A38" s="30">
        <v>2500</v>
      </c>
      <c r="B38" s="85">
        <f>$B$23*A38^$B$24</f>
        <v>288757.16355877847</v>
      </c>
      <c r="C38" s="85">
        <f>($C$23*A38^$C$24)*$F$49</f>
        <v>193805.29421956805</v>
      </c>
      <c r="D38" s="85">
        <f>$D$23*A38^$D$24</f>
        <v>267815.16254036594</v>
      </c>
      <c r="E38" s="32">
        <f>$E$23*A38^$E$24</f>
        <v>0</v>
      </c>
      <c r="F38" s="196"/>
      <c r="G38" s="142">
        <v>301211</v>
      </c>
      <c r="H38" s="142"/>
      <c r="I38" s="142"/>
      <c r="J38" s="197"/>
    </row>
    <row r="39" spans="1:10" x14ac:dyDescent="0.2">
      <c r="A39" s="30">
        <v>3000</v>
      </c>
      <c r="B39" s="85">
        <f>$B$23*A39^$B$24</f>
        <v>362608.56785348972</v>
      </c>
      <c r="C39" s="85">
        <f>($C$23*A39^$C$24)*$F$49</f>
        <v>232651.17224600384</v>
      </c>
      <c r="D39" s="85">
        <f>$D$23*A39^$D$24</f>
        <v>336310.52245200437</v>
      </c>
      <c r="E39" s="32">
        <f>$E$23*A39^$E$24</f>
        <v>0</v>
      </c>
      <c r="F39" s="196">
        <v>231548</v>
      </c>
      <c r="G39" s="142"/>
      <c r="H39" s="142">
        <v>0</v>
      </c>
      <c r="I39" s="142">
        <v>357224</v>
      </c>
      <c r="J39" s="197"/>
    </row>
    <row r="40" spans="1:10" x14ac:dyDescent="0.2">
      <c r="A40" s="30">
        <v>5000</v>
      </c>
      <c r="B40" s="85">
        <f>$B$23*A40^$B$24</f>
        <v>686355.84218774457</v>
      </c>
      <c r="C40" s="85">
        <f>($C$23*A40^$C$24)*$F$49</f>
        <v>388148.3034417223</v>
      </c>
      <c r="D40" s="85">
        <f>$D$23*A40^$D$24</f>
        <v>636578.15158799849</v>
      </c>
      <c r="E40" s="32">
        <f>$E$23*A40^$E$24</f>
        <v>0</v>
      </c>
      <c r="F40" s="196"/>
      <c r="G40" s="142"/>
      <c r="H40" s="142"/>
      <c r="I40" s="142">
        <v>697062</v>
      </c>
      <c r="J40" s="197"/>
    </row>
    <row r="41" spans="1:10" x14ac:dyDescent="0.2">
      <c r="A41" s="30" t="s">
        <v>462</v>
      </c>
      <c r="B41" s="31"/>
      <c r="C41" s="31"/>
      <c r="D41" s="31"/>
      <c r="E41" s="32"/>
      <c r="F41" s="196"/>
      <c r="G41" s="142"/>
      <c r="H41" s="142"/>
      <c r="I41" s="142"/>
      <c r="J41" s="197"/>
    </row>
    <row r="42" spans="1:10" ht="13.5" thickBot="1" x14ac:dyDescent="0.25">
      <c r="A42" s="198"/>
      <c r="B42" s="199"/>
      <c r="C42" s="199"/>
      <c r="D42" s="199"/>
      <c r="E42" s="200"/>
      <c r="F42" s="201"/>
      <c r="G42" s="202"/>
      <c r="H42" s="202"/>
      <c r="I42" s="202"/>
      <c r="J42" s="203"/>
    </row>
    <row r="43" spans="1:10" x14ac:dyDescent="0.2">
      <c r="A43" s="204" t="s">
        <v>359</v>
      </c>
      <c r="B43" s="205"/>
      <c r="C43" s="205"/>
      <c r="D43" s="205"/>
      <c r="E43" s="206"/>
      <c r="F43" s="207"/>
      <c r="G43" s="208"/>
      <c r="H43" s="208"/>
      <c r="I43" s="208"/>
      <c r="J43" s="209"/>
    </row>
    <row r="44" spans="1:10" x14ac:dyDescent="0.2">
      <c r="A44" s="30" t="s">
        <v>355</v>
      </c>
      <c r="B44" s="31">
        <v>2002</v>
      </c>
      <c r="C44" s="31"/>
      <c r="D44" s="31"/>
      <c r="E44" s="32"/>
      <c r="F44" s="196">
        <v>2000</v>
      </c>
      <c r="G44" s="142">
        <v>2005</v>
      </c>
      <c r="H44" s="142"/>
      <c r="I44" s="142"/>
      <c r="J44" s="197"/>
    </row>
    <row r="45" spans="1:10" x14ac:dyDescent="0.2">
      <c r="A45" s="30" t="s">
        <v>357</v>
      </c>
      <c r="B45" s="31" t="e">
        <f>(HLOOKUP(B48,'PPI Look Up Table'!$A$130:$P$151,VLOOKUP(B44,'PPI Look Up Table'!$A$130:$P$151,15)))</f>
        <v>#N/A</v>
      </c>
      <c r="C45" s="31"/>
      <c r="D45" s="31"/>
      <c r="E45" s="32"/>
      <c r="F45" s="142">
        <f>(HLOOKUP(F48,'PPI Look Up Table'!$A$144:$P$156,VLOOKUP(F44,'PPI Look Up Table'!$A$144:$P$156,15)))</f>
        <v>160.4</v>
      </c>
      <c r="G45" s="142">
        <f>(HLOOKUP(G48,'PPI Look Up Table'!$A$144:$P$156,VLOOKUP(G44,'PPI Look Up Table'!$A$144:$P$156,15)))</f>
        <v>185.8</v>
      </c>
      <c r="H45" s="142"/>
      <c r="I45" s="142"/>
      <c r="J45" s="197"/>
    </row>
    <row r="46" spans="1:10" x14ac:dyDescent="0.2">
      <c r="A46" s="30" t="s">
        <v>356</v>
      </c>
      <c r="B46" s="31">
        <v>2005</v>
      </c>
      <c r="C46" s="31"/>
      <c r="D46" s="31"/>
      <c r="E46" s="32"/>
      <c r="F46" s="196">
        <v>2002</v>
      </c>
      <c r="G46" s="142">
        <v>2002</v>
      </c>
      <c r="H46" s="142"/>
      <c r="I46" s="142"/>
      <c r="J46" s="197"/>
    </row>
    <row r="47" spans="1:10" x14ac:dyDescent="0.2">
      <c r="A47" s="30" t="s">
        <v>358</v>
      </c>
      <c r="B47" s="31" t="e">
        <f>(HLOOKUP(B48,'PPI Look Up Table'!$A$130:$P$151,VLOOKUP(B46,'PPI Look Up Table'!$A$130:$P$151,15)))</f>
        <v>#N/A</v>
      </c>
      <c r="C47" s="31"/>
      <c r="D47" s="31"/>
      <c r="E47" s="32"/>
      <c r="F47" s="142">
        <f>(HLOOKUP(F48,'PPI Look Up Table'!$A$144:$P$156,VLOOKUP(F46,'PPI Look Up Table'!$A$144:$P$156,15)))</f>
        <v>165.2</v>
      </c>
      <c r="G47" s="142">
        <f>(HLOOKUP(G48,'PPI Look Up Table'!$A$144:$P$156,VLOOKUP(G46,'PPI Look Up Table'!$A$144:$P$156,15)))</f>
        <v>165.2</v>
      </c>
      <c r="H47" s="142"/>
      <c r="I47" s="142"/>
      <c r="J47" s="197"/>
    </row>
    <row r="48" spans="1:10" x14ac:dyDescent="0.2">
      <c r="A48" s="30" t="s">
        <v>304</v>
      </c>
      <c r="B48" s="31">
        <v>9</v>
      </c>
      <c r="C48" s="31"/>
      <c r="D48" s="31"/>
      <c r="E48" s="32"/>
      <c r="F48" s="196">
        <v>9</v>
      </c>
      <c r="G48" s="142">
        <v>9</v>
      </c>
      <c r="H48" s="142"/>
      <c r="I48" s="142"/>
      <c r="J48" s="197"/>
    </row>
    <row r="49" spans="1:10" x14ac:dyDescent="0.2">
      <c r="A49" s="30" t="s">
        <v>305</v>
      </c>
      <c r="B49" s="31" t="e">
        <f>B47/B45</f>
        <v>#N/A</v>
      </c>
      <c r="C49" s="31"/>
      <c r="D49" s="31"/>
      <c r="E49" s="32"/>
      <c r="F49" s="196">
        <f>F47/F45</f>
        <v>1.0299251870324189</v>
      </c>
      <c r="G49" s="142">
        <f>G47/G45</f>
        <v>0.88912809472551124</v>
      </c>
      <c r="H49" s="142"/>
      <c r="I49" s="142"/>
      <c r="J49" s="197"/>
    </row>
    <row r="50" spans="1:10" x14ac:dyDescent="0.2">
      <c r="A50" s="30"/>
      <c r="B50" s="31"/>
      <c r="C50" s="31"/>
      <c r="D50" s="31"/>
      <c r="E50" s="32"/>
      <c r="F50" s="196"/>
      <c r="G50" s="142"/>
      <c r="H50" s="142"/>
      <c r="I50" s="142"/>
      <c r="J50" s="197"/>
    </row>
    <row r="51" spans="1:10" ht="13.5" thickBot="1" x14ac:dyDescent="0.25">
      <c r="A51" s="33"/>
      <c r="B51" s="34"/>
      <c r="C51" s="34"/>
      <c r="D51" s="34"/>
      <c r="E51" s="35"/>
      <c r="F51" s="210"/>
      <c r="G51" s="211"/>
      <c r="H51" s="211"/>
      <c r="I51" s="211"/>
      <c r="J51" s="212"/>
    </row>
    <row r="52" spans="1:10" ht="13.5" thickTop="1" x14ac:dyDescent="0.2">
      <c r="A52" s="39"/>
      <c r="B52" s="39"/>
      <c r="C52" s="39"/>
      <c r="D52" s="39"/>
      <c r="E52" s="39"/>
      <c r="F52" s="39"/>
      <c r="G52" s="39"/>
      <c r="H52" s="39"/>
      <c r="I52" s="39"/>
      <c r="J52" s="39"/>
    </row>
    <row r="53" spans="1:10" x14ac:dyDescent="0.2">
      <c r="A53" s="39"/>
      <c r="B53" s="39"/>
      <c r="C53" s="39"/>
      <c r="D53" s="39"/>
      <c r="E53" s="39"/>
      <c r="F53" s="39"/>
      <c r="G53" s="39"/>
      <c r="H53" s="39"/>
      <c r="I53" s="39"/>
      <c r="J53" s="39"/>
    </row>
    <row r="54" spans="1:10" x14ac:dyDescent="0.2">
      <c r="A54" s="39"/>
      <c r="B54" s="39"/>
      <c r="C54" s="39"/>
      <c r="D54" s="39"/>
      <c r="E54" s="39"/>
      <c r="F54" s="39"/>
      <c r="G54" s="39"/>
      <c r="H54" s="39"/>
      <c r="I54" s="39"/>
      <c r="J54" s="39"/>
    </row>
    <row r="70" spans="1:12" ht="13.5" thickBot="1" x14ac:dyDescent="0.25">
      <c r="A70" s="130" t="s">
        <v>256</v>
      </c>
      <c r="B70" s="125"/>
      <c r="C70" s="125"/>
      <c r="D70" s="125"/>
      <c r="E70" s="125"/>
      <c r="F70" s="125"/>
      <c r="G70" s="125"/>
      <c r="H70" s="125"/>
      <c r="I70" s="125"/>
      <c r="J70" s="125"/>
      <c r="K70" s="125"/>
      <c r="L70" s="213"/>
    </row>
    <row r="71" spans="1:12" ht="13.5" thickTop="1" x14ac:dyDescent="0.2">
      <c r="A71" s="184" t="s">
        <v>459</v>
      </c>
      <c r="B71" s="185"/>
      <c r="C71" s="185"/>
      <c r="D71" s="185"/>
      <c r="E71" s="185"/>
      <c r="F71" s="185"/>
      <c r="G71" s="185"/>
      <c r="H71" s="186"/>
      <c r="I71" s="214" t="s">
        <v>463</v>
      </c>
      <c r="J71" s="188"/>
      <c r="K71" s="188"/>
      <c r="L71" s="189"/>
    </row>
    <row r="72" spans="1:12" ht="56.25" x14ac:dyDescent="0.2">
      <c r="A72" s="215" t="s">
        <v>77</v>
      </c>
      <c r="B72" s="216" t="s">
        <v>365</v>
      </c>
      <c r="C72" s="216" t="s">
        <v>366</v>
      </c>
      <c r="D72" s="56"/>
      <c r="E72" s="217" t="s">
        <v>360</v>
      </c>
      <c r="F72" s="217" t="s">
        <v>312</v>
      </c>
      <c r="G72" s="217" t="s">
        <v>464</v>
      </c>
      <c r="H72" s="218" t="s">
        <v>361</v>
      </c>
      <c r="I72" s="193" t="s">
        <v>465</v>
      </c>
      <c r="J72" s="194" t="s">
        <v>466</v>
      </c>
      <c r="K72" s="194" t="s">
        <v>467</v>
      </c>
      <c r="L72" s="195" t="s">
        <v>468</v>
      </c>
    </row>
    <row r="73" spans="1:12" x14ac:dyDescent="0.2">
      <c r="A73" s="30">
        <v>750</v>
      </c>
      <c r="B73" s="219">
        <v>28.6</v>
      </c>
      <c r="C73" s="219">
        <f>(A73/'AEP Input Output sheet'!I22)/(B73*(PI()/30))</f>
        <v>277.62274671238362</v>
      </c>
      <c r="D73" s="31"/>
      <c r="E73" s="85">
        <f t="shared" ref="E73:E78" si="0">$B$28*C73^$B$29</f>
        <v>4693.4569648569759</v>
      </c>
      <c r="F73" s="85">
        <f t="shared" ref="F73:F78" si="1">$C$28*C73^$C$29</f>
        <v>6348.1440562245971</v>
      </c>
      <c r="G73" s="85">
        <f t="shared" ref="G73:G78" si="2">$D$28*C73^$D$29</f>
        <v>10044.033623745472</v>
      </c>
      <c r="H73" s="32">
        <f t="shared" ref="H73:H78" si="3">$E$28*A73^$E$29</f>
        <v>0</v>
      </c>
      <c r="I73" s="196"/>
      <c r="J73" s="142"/>
      <c r="K73" s="142">
        <v>0</v>
      </c>
      <c r="L73" s="197">
        <v>4723</v>
      </c>
    </row>
    <row r="74" spans="1:12" x14ac:dyDescent="0.2">
      <c r="A74" s="30">
        <v>1500</v>
      </c>
      <c r="B74" s="219">
        <v>20.5</v>
      </c>
      <c r="C74" s="219">
        <f>(A74/'AEP Input Output sheet'!I22)/(B74*(PI()/30))</f>
        <v>774.63517619260222</v>
      </c>
      <c r="D74" s="31"/>
      <c r="E74" s="85">
        <f t="shared" si="0"/>
        <v>10226.693625413232</v>
      </c>
      <c r="F74" s="85">
        <f t="shared" si="1"/>
        <v>14043.801516707319</v>
      </c>
      <c r="G74" s="85">
        <f t="shared" si="2"/>
        <v>22220.102976507718</v>
      </c>
      <c r="H74" s="32">
        <f t="shared" si="3"/>
        <v>0</v>
      </c>
      <c r="I74" s="196">
        <v>12727</v>
      </c>
      <c r="J74" s="142"/>
      <c r="K74" s="142">
        <v>0</v>
      </c>
      <c r="L74" s="197">
        <v>10603</v>
      </c>
    </row>
    <row r="75" spans="1:12" x14ac:dyDescent="0.2">
      <c r="A75" s="30">
        <v>2500</v>
      </c>
      <c r="B75" s="31">
        <v>16.399999999999999</v>
      </c>
      <c r="C75" s="31">
        <f>(A75/'AEP Input Output sheet'!I22)/(B75*(PI()/30))</f>
        <v>1613.8232837345879</v>
      </c>
      <c r="D75" s="31"/>
      <c r="E75" s="85">
        <f t="shared" si="0"/>
        <v>17851.435547765108</v>
      </c>
      <c r="F75" s="85">
        <f t="shared" si="1"/>
        <v>24782.220306240786</v>
      </c>
      <c r="G75" s="85">
        <f t="shared" si="2"/>
        <v>39210.429351060666</v>
      </c>
      <c r="H75" s="32">
        <f t="shared" si="3"/>
        <v>0</v>
      </c>
      <c r="I75" s="196"/>
      <c r="J75" s="142">
        <v>35150</v>
      </c>
      <c r="K75" s="142">
        <v>0</v>
      </c>
      <c r="L75" s="197"/>
    </row>
    <row r="76" spans="1:12" x14ac:dyDescent="0.2">
      <c r="A76" s="30">
        <v>3200</v>
      </c>
      <c r="B76" s="31">
        <v>17.3</v>
      </c>
      <c r="C76" s="31">
        <f>(A76/'AEP Input Output sheet'!I22)/(B76*(PI()/30))</f>
        <v>1958.2299637084664</v>
      </c>
      <c r="D76" s="31"/>
      <c r="E76" s="85">
        <f t="shared" si="0"/>
        <v>20674.49935206537</v>
      </c>
      <c r="F76" s="85">
        <f t="shared" si="1"/>
        <v>28783.618040190453</v>
      </c>
      <c r="G76" s="85">
        <f t="shared" si="2"/>
        <v>45541.440907479489</v>
      </c>
      <c r="H76" s="32">
        <f t="shared" si="3"/>
        <v>0</v>
      </c>
      <c r="I76" s="196"/>
      <c r="J76" s="142"/>
      <c r="K76" s="142"/>
      <c r="L76" s="197">
        <v>18143</v>
      </c>
    </row>
    <row r="77" spans="1:12" x14ac:dyDescent="0.2">
      <c r="A77" s="30">
        <v>3000</v>
      </c>
      <c r="B77" s="31">
        <v>14.5</v>
      </c>
      <c r="C77" s="31">
        <f>(A77/'AEP Input Output sheet'!I22)/(B77*(PI()/30))</f>
        <v>2190.3477395790819</v>
      </c>
      <c r="D77" s="31"/>
      <c r="E77" s="85">
        <f t="shared" si="0"/>
        <v>22509.190616746353</v>
      </c>
      <c r="F77" s="85">
        <f t="shared" si="1"/>
        <v>31389.924497153243</v>
      </c>
      <c r="G77" s="85">
        <f t="shared" si="2"/>
        <v>49665.139023915712</v>
      </c>
      <c r="H77" s="32">
        <f t="shared" si="3"/>
        <v>0</v>
      </c>
      <c r="I77" s="196"/>
      <c r="J77" s="142"/>
      <c r="K77" s="142">
        <v>0</v>
      </c>
      <c r="L77" s="197">
        <v>23500</v>
      </c>
    </row>
    <row r="78" spans="1:12" x14ac:dyDescent="0.2">
      <c r="A78" s="30">
        <v>5000</v>
      </c>
      <c r="B78" s="31">
        <v>11.2</v>
      </c>
      <c r="C78" s="31">
        <f>(A78/'AEP Input Output sheet'!I22)/(B78*(PI()/30))</f>
        <v>4726.1967595084361</v>
      </c>
      <c r="D78" s="31"/>
      <c r="E78" s="85">
        <f t="shared" si="0"/>
        <v>40351.986018194533</v>
      </c>
      <c r="F78" s="85">
        <f t="shared" si="1"/>
        <v>56916.539554812131</v>
      </c>
      <c r="G78" s="85">
        <f t="shared" si="2"/>
        <v>90053.349762160215</v>
      </c>
      <c r="H78" s="32">
        <f t="shared" si="3"/>
        <v>0</v>
      </c>
      <c r="I78" s="196"/>
      <c r="J78" s="142"/>
      <c r="K78" s="142">
        <v>0</v>
      </c>
      <c r="L78" s="197">
        <v>42259</v>
      </c>
    </row>
    <row r="79" spans="1:12" ht="13.5" thickBot="1" x14ac:dyDescent="0.25">
      <c r="A79" s="33" t="s">
        <v>469</v>
      </c>
      <c r="B79" s="34"/>
      <c r="C79" s="34"/>
      <c r="D79" s="34"/>
      <c r="E79" s="34"/>
      <c r="F79" s="34"/>
      <c r="G79" s="34"/>
      <c r="H79" s="35"/>
      <c r="I79" s="210"/>
      <c r="J79" s="211"/>
      <c r="K79" s="211"/>
      <c r="L79" s="212"/>
    </row>
    <row r="80" spans="1:12" ht="13.5" thickTop="1" x14ac:dyDescent="0.2"/>
  </sheetData>
  <phoneticPr fontId="3" type="noConversion"/>
  <pageMargins left="0.75" right="0.75" top="1" bottom="1" header="0.5" footer="0.5"/>
  <pageSetup scale="93" orientation="landscape" horizontalDpi="300" verticalDpi="300"/>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25"/>
  </sheetPr>
  <dimension ref="A1:E26"/>
  <sheetViews>
    <sheetView topLeftCell="A7" workbookViewId="0">
      <selection activeCell="E16" sqref="E16"/>
    </sheetView>
  </sheetViews>
  <sheetFormatPr defaultColWidth="8.85546875" defaultRowHeight="12.75" x14ac:dyDescent="0.2"/>
  <cols>
    <col min="1" max="1" width="42" customWidth="1"/>
  </cols>
  <sheetData>
    <row r="1" spans="1:5" x14ac:dyDescent="0.2">
      <c r="A1" s="1" t="str">
        <f>'Input &amp; Summary'!A1</f>
        <v>Based on Combined Land Based-Offshore Turbine Cost Model. V2.01.12</v>
      </c>
      <c r="B1" s="1"/>
      <c r="C1" s="1"/>
      <c r="D1" s="139"/>
    </row>
    <row r="2" spans="1:5" ht="38.25" x14ac:dyDescent="0.2">
      <c r="A2" s="555" t="str">
        <f>'Input &amp; Summary'!A2</f>
        <v>Note:  This Model Contains Proprietary or Wind Technology Protected Data, and Should Not Be Released Outside of the DOE/NREL/SNL, until Further Notice.</v>
      </c>
      <c r="B2" s="555"/>
      <c r="C2" s="555"/>
      <c r="D2" s="139"/>
    </row>
    <row r="4" spans="1:5" x14ac:dyDescent="0.2">
      <c r="A4" s="21" t="s">
        <v>244</v>
      </c>
    </row>
    <row r="5" spans="1:5" ht="13.5" thickBot="1" x14ac:dyDescent="0.25"/>
    <row r="6" spans="1:5" ht="39" thickBot="1" x14ac:dyDescent="0.25">
      <c r="B6" s="480" t="s">
        <v>602</v>
      </c>
    </row>
    <row r="7" spans="1:5" ht="13.5" thickBot="1" x14ac:dyDescent="0.25">
      <c r="A7" s="221" t="s">
        <v>248</v>
      </c>
      <c r="B7" s="466">
        <f>'Input &amp; Summary'!B7</f>
        <v>1910</v>
      </c>
      <c r="E7" s="3"/>
    </row>
    <row r="8" spans="1:5" ht="13.5" thickBot="1" x14ac:dyDescent="0.25">
      <c r="A8" s="221" t="s">
        <v>89</v>
      </c>
      <c r="B8" s="466">
        <f>'Input &amp; Summary'!B8</f>
        <v>96.9</v>
      </c>
    </row>
    <row r="9" spans="1:5" ht="13.5" thickBot="1" x14ac:dyDescent="0.25">
      <c r="A9" s="21"/>
      <c r="B9" s="528"/>
    </row>
    <row r="10" spans="1:5" ht="13.5" thickBot="1" x14ac:dyDescent="0.25">
      <c r="A10" s="21"/>
      <c r="B10" s="468" t="s">
        <v>624</v>
      </c>
    </row>
    <row r="11" spans="1:5" ht="13.5" thickBot="1" x14ac:dyDescent="0.25">
      <c r="A11" s="472" t="s">
        <v>1023</v>
      </c>
      <c r="B11" s="752">
        <f>B12/10</f>
        <v>379.96399000000002</v>
      </c>
    </row>
    <row r="12" spans="1:5" ht="13.5" thickBot="1" x14ac:dyDescent="0.25">
      <c r="A12" s="472" t="s">
        <v>646</v>
      </c>
      <c r="B12" s="122">
        <f>1.9894*B7-0.1141</f>
        <v>3799.6399000000001</v>
      </c>
      <c r="C12" s="470">
        <f>'PPI Calculation'!D76</f>
        <v>1.0262417994376758</v>
      </c>
      <c r="D12" s="22" t="s">
        <v>590</v>
      </c>
    </row>
    <row r="13" spans="1:5" ht="13.5" thickBot="1" x14ac:dyDescent="0.25">
      <c r="A13" s="472" t="s">
        <v>652</v>
      </c>
      <c r="B13" s="122">
        <f>B12*C12</f>
        <v>3899.3492881911907</v>
      </c>
      <c r="C13" s="550">
        <f>'Input &amp; Summary'!F7</f>
        <v>2010</v>
      </c>
      <c r="D13" s="567" t="s">
        <v>648</v>
      </c>
    </row>
    <row r="15" spans="1:5" x14ac:dyDescent="0.2">
      <c r="A15" s="753" t="s">
        <v>1024</v>
      </c>
      <c r="B15" s="138">
        <v>1.9894000000000001</v>
      </c>
    </row>
    <row r="16" spans="1:5" x14ac:dyDescent="0.2">
      <c r="A16" s="753" t="s">
        <v>1025</v>
      </c>
      <c r="B16" s="138">
        <v>-0.11409999999999999</v>
      </c>
    </row>
    <row r="18" spans="1:4" ht="13.5" thickBot="1" x14ac:dyDescent="0.25"/>
    <row r="19" spans="1:4" x14ac:dyDescent="0.2">
      <c r="A19" s="316" t="s">
        <v>501</v>
      </c>
      <c r="B19" s="208"/>
      <c r="C19" s="208"/>
      <c r="D19" s="317"/>
    </row>
    <row r="20" spans="1:4" x14ac:dyDescent="0.2">
      <c r="A20" s="240"/>
      <c r="B20" s="318" t="s">
        <v>77</v>
      </c>
      <c r="C20" s="318" t="s">
        <v>12</v>
      </c>
      <c r="D20" s="319" t="s">
        <v>108</v>
      </c>
    </row>
    <row r="21" spans="1:4" x14ac:dyDescent="0.2">
      <c r="A21" s="240"/>
      <c r="B21" s="142">
        <v>750</v>
      </c>
      <c r="C21" s="142">
        <v>50</v>
      </c>
      <c r="D21" s="241">
        <v>1492</v>
      </c>
    </row>
    <row r="22" spans="1:4" x14ac:dyDescent="0.2">
      <c r="A22" s="240"/>
      <c r="B22" s="142">
        <v>1500</v>
      </c>
      <c r="C22" s="142">
        <v>70</v>
      </c>
      <c r="D22" s="241">
        <v>2984</v>
      </c>
    </row>
    <row r="23" spans="1:4" x14ac:dyDescent="0.2">
      <c r="A23" s="240"/>
      <c r="B23" s="142">
        <v>3000</v>
      </c>
      <c r="C23" s="142">
        <v>99</v>
      </c>
      <c r="D23" s="241">
        <v>5968</v>
      </c>
    </row>
    <row r="24" spans="1:4" ht="13.5" thickBot="1" x14ac:dyDescent="0.25">
      <c r="A24" s="245"/>
      <c r="B24" s="246">
        <v>5000</v>
      </c>
      <c r="C24" s="246">
        <v>128</v>
      </c>
      <c r="D24" s="247">
        <v>9947</v>
      </c>
    </row>
    <row r="25" spans="1:4" x14ac:dyDescent="0.2">
      <c r="A25" s="609" t="s">
        <v>729</v>
      </c>
      <c r="B25" s="600"/>
      <c r="C25" s="600"/>
      <c r="D25" s="601"/>
    </row>
    <row r="26" spans="1:4" ht="13.5" thickBot="1" x14ac:dyDescent="0.25">
      <c r="A26" s="602"/>
      <c r="B26" s="603">
        <f>B7</f>
        <v>1910</v>
      </c>
      <c r="C26" s="603">
        <f>B8</f>
        <v>96.9</v>
      </c>
      <c r="D26" s="606">
        <f>B12</f>
        <v>3799.6399000000001</v>
      </c>
    </row>
  </sheetData>
  <phoneticPr fontId="3"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25"/>
  </sheetPr>
  <dimension ref="A1:AW151"/>
  <sheetViews>
    <sheetView workbookViewId="0">
      <selection activeCell="A7" sqref="A7:B7"/>
    </sheetView>
  </sheetViews>
  <sheetFormatPr defaultColWidth="8.85546875" defaultRowHeight="12.75" x14ac:dyDescent="0.2"/>
  <cols>
    <col min="1" max="1" width="14.42578125" customWidth="1"/>
    <col min="2" max="2" width="13.85546875" customWidth="1"/>
    <col min="3" max="3" width="11" customWidth="1"/>
    <col min="7" max="7" width="9.42578125" customWidth="1"/>
    <col min="12" max="12" width="6" customWidth="1"/>
    <col min="13" max="13" width="6.7109375" customWidth="1"/>
    <col min="14" max="14" width="8.28515625" customWidth="1"/>
    <col min="15" max="15" width="6.28515625" customWidth="1"/>
    <col min="16" max="16" width="8.42578125" customWidth="1"/>
    <col min="17" max="17" width="7.28515625" customWidth="1"/>
    <col min="18" max="18" width="7.140625" customWidth="1"/>
    <col min="19" max="19" width="6.28515625" customWidth="1"/>
    <col min="20" max="22" width="8.42578125" customWidth="1"/>
    <col min="25" max="25" width="6.28515625" bestFit="1" customWidth="1"/>
    <col min="26" max="26" width="8.42578125" bestFit="1" customWidth="1"/>
    <col min="27" max="27" width="8.85546875" customWidth="1"/>
    <col min="28" max="28" width="8.28515625" customWidth="1"/>
    <col min="30" max="30" width="7.42578125" bestFit="1" customWidth="1"/>
    <col min="31" max="31" width="8" bestFit="1" customWidth="1"/>
    <col min="36" max="36" width="38" bestFit="1" customWidth="1"/>
  </cols>
  <sheetData>
    <row r="1" spans="1:49" x14ac:dyDescent="0.2">
      <c r="B1" s="1" t="str">
        <f>'Input &amp; Summary'!A1</f>
        <v>Based on Combined Land Based-Offshore Turbine Cost Model. V2.01.12</v>
      </c>
      <c r="C1" s="1"/>
      <c r="D1" s="1"/>
      <c r="E1" s="139"/>
    </row>
    <row r="2" spans="1:49" ht="51.75" x14ac:dyDescent="0.25">
      <c r="B2" s="555" t="str">
        <f>'Input &amp; Summary'!A2</f>
        <v>Note:  This Model Contains Proprietary or Wind Technology Protected Data, and Should Not Be Released Outside of the DOE/NREL/SNL, until Further Notice.</v>
      </c>
      <c r="C2" s="555"/>
      <c r="D2" s="555"/>
      <c r="E2" s="139"/>
      <c r="AK2" s="990"/>
      <c r="AL2" s="990"/>
      <c r="AM2" s="140"/>
      <c r="AN2" s="140"/>
      <c r="AO2" s="140"/>
      <c r="AP2" s="140"/>
      <c r="AQ2" s="140"/>
      <c r="AR2" s="140"/>
      <c r="AS2" s="140"/>
      <c r="AT2" s="140"/>
      <c r="AU2" s="140"/>
      <c r="AV2" s="140"/>
      <c r="AW2" s="140"/>
    </row>
    <row r="3" spans="1:49" ht="15.75" thickBot="1" x14ac:dyDescent="0.3">
      <c r="AK3" s="990"/>
      <c r="AL3" s="990"/>
      <c r="AM3" s="990"/>
      <c r="AN3" s="990"/>
      <c r="AO3" s="990"/>
      <c r="AP3" s="990"/>
      <c r="AQ3" s="990"/>
      <c r="AR3" s="990"/>
      <c r="AS3" s="990"/>
      <c r="AT3" s="990"/>
      <c r="AU3" s="990"/>
      <c r="AV3" s="990"/>
      <c r="AW3" s="990"/>
    </row>
    <row r="4" spans="1:49" ht="15.75" thickBot="1" x14ac:dyDescent="0.3">
      <c r="A4" s="1336" t="s">
        <v>475</v>
      </c>
      <c r="B4" s="1337"/>
      <c r="AK4" s="990"/>
      <c r="AL4" s="990"/>
      <c r="AM4" s="990"/>
      <c r="AN4" s="990"/>
      <c r="AO4" s="990"/>
      <c r="AP4" s="990"/>
      <c r="AQ4" s="990"/>
      <c r="AR4" s="990"/>
      <c r="AS4" s="990"/>
      <c r="AT4" s="990"/>
      <c r="AU4" s="990"/>
      <c r="AV4" s="990"/>
      <c r="AW4" s="990"/>
    </row>
    <row r="5" spans="1:49" ht="15.75" thickBot="1" x14ac:dyDescent="0.3">
      <c r="B5" s="21"/>
      <c r="AK5" s="990"/>
      <c r="AL5" s="991"/>
      <c r="AM5" s="991"/>
      <c r="AN5" s="991"/>
      <c r="AO5" s="991"/>
      <c r="AP5" s="991"/>
      <c r="AQ5" s="991"/>
      <c r="AR5" s="991"/>
      <c r="AS5" s="991"/>
      <c r="AT5" s="991"/>
      <c r="AU5" s="991"/>
      <c r="AV5" s="991"/>
      <c r="AW5" s="991"/>
    </row>
    <row r="6" spans="1:49" ht="27" thickBot="1" x14ac:dyDescent="0.3">
      <c r="C6" s="480" t="s">
        <v>602</v>
      </c>
      <c r="AK6" s="990"/>
      <c r="AL6" s="990"/>
      <c r="AM6" s="990"/>
      <c r="AN6" s="990"/>
      <c r="AO6" s="990"/>
      <c r="AP6" s="990"/>
      <c r="AQ6" s="990"/>
      <c r="AR6" s="990"/>
      <c r="AS6" s="990"/>
      <c r="AT6" s="990"/>
      <c r="AU6" s="990"/>
      <c r="AV6" s="990"/>
      <c r="AW6" s="990"/>
    </row>
    <row r="7" spans="1:49" ht="15.75" thickBot="1" x14ac:dyDescent="0.3">
      <c r="A7" s="1340" t="s">
        <v>248</v>
      </c>
      <c r="B7" s="1341"/>
      <c r="C7" s="955">
        <f>'Input &amp; Summary'!B7</f>
        <v>1910</v>
      </c>
      <c r="AK7" s="990"/>
      <c r="AL7" s="991"/>
      <c r="AM7" s="991"/>
      <c r="AN7" s="991"/>
      <c r="AO7" s="991"/>
      <c r="AP7" s="991"/>
      <c r="AQ7" s="991"/>
      <c r="AR7" s="991"/>
      <c r="AS7" s="991"/>
      <c r="AT7" s="991"/>
      <c r="AU7" s="991"/>
      <c r="AV7" s="991"/>
      <c r="AW7" s="991"/>
    </row>
    <row r="8" spans="1:49" ht="15.75" thickBot="1" x14ac:dyDescent="0.3">
      <c r="A8" s="1130" t="s">
        <v>1455</v>
      </c>
      <c r="B8" s="1131"/>
      <c r="C8" s="955">
        <f>ROUND('AEP Input Output sheet'!B17,0)</f>
        <v>2117</v>
      </c>
      <c r="AK8" s="990"/>
      <c r="AL8" s="991"/>
      <c r="AM8" s="991"/>
      <c r="AN8" s="991"/>
      <c r="AO8" s="991"/>
      <c r="AP8" s="991"/>
      <c r="AQ8" s="991"/>
      <c r="AR8" s="991"/>
      <c r="AS8" s="991"/>
      <c r="AT8" s="991"/>
      <c r="AU8" s="991"/>
      <c r="AV8" s="991"/>
      <c r="AW8" s="991"/>
    </row>
    <row r="9" spans="1:49" ht="15.75" thickBot="1" x14ac:dyDescent="0.3">
      <c r="A9" s="1340" t="s">
        <v>370</v>
      </c>
      <c r="B9" s="1341"/>
      <c r="C9" s="955">
        <f>'Input &amp; Summary'!B8</f>
        <v>96.9</v>
      </c>
      <c r="AK9" s="990"/>
      <c r="AL9" s="992"/>
      <c r="AM9" s="992"/>
      <c r="AN9" s="992"/>
      <c r="AO9" s="992"/>
      <c r="AP9" s="992"/>
      <c r="AQ9" s="992"/>
      <c r="AR9" s="992"/>
      <c r="AS9" s="992"/>
      <c r="AT9" s="992"/>
      <c r="AU9" s="992"/>
      <c r="AV9" s="992"/>
      <c r="AW9" s="992"/>
    </row>
    <row r="10" spans="1:49" ht="15.75" thickBot="1" x14ac:dyDescent="0.3">
      <c r="A10" s="1340" t="s">
        <v>371</v>
      </c>
      <c r="B10" s="1341"/>
      <c r="C10" s="955">
        <f>'Input &amp; Summary'!B18</f>
        <v>80</v>
      </c>
      <c r="AK10" s="990"/>
      <c r="AL10" s="992"/>
      <c r="AM10" s="992"/>
      <c r="AN10" s="992"/>
      <c r="AO10" s="992"/>
      <c r="AP10" s="992"/>
      <c r="AQ10" s="992"/>
      <c r="AR10" s="992"/>
      <c r="AS10" s="992"/>
      <c r="AT10" s="992"/>
      <c r="AU10" s="992"/>
      <c r="AV10" s="992"/>
      <c r="AW10" s="992"/>
    </row>
    <row r="11" spans="1:49" ht="13.5" thickBot="1" x14ac:dyDescent="0.25">
      <c r="B11" s="21"/>
      <c r="C11" s="528"/>
    </row>
    <row r="12" spans="1:49" ht="13.5" thickBot="1" x14ac:dyDescent="0.25">
      <c r="B12" s="21"/>
      <c r="C12" s="529" t="s">
        <v>100</v>
      </c>
    </row>
    <row r="13" spans="1:49" ht="15.75" thickBot="1" x14ac:dyDescent="0.3">
      <c r="A13" s="1342" t="s">
        <v>368</v>
      </c>
      <c r="B13" s="1343"/>
      <c r="C13" s="956">
        <f>(C10)/((C9/2)*(PI()/30))</f>
        <v>15.767672380621212</v>
      </c>
      <c r="AR13" s="990"/>
      <c r="AS13" s="990"/>
      <c r="AT13" s="990"/>
      <c r="AU13" s="990"/>
      <c r="AV13" s="990"/>
      <c r="AW13" s="990"/>
    </row>
    <row r="14" spans="1:49" ht="13.5" thickBot="1" x14ac:dyDescent="0.25">
      <c r="A14" s="1342" t="s">
        <v>369</v>
      </c>
      <c r="B14" s="1343"/>
      <c r="C14" s="957">
        <f>C8/(C13*(PI()/30))</f>
        <v>1282.108125</v>
      </c>
      <c r="AR14" s="140"/>
      <c r="AS14" s="140"/>
      <c r="AT14" s="140"/>
      <c r="AU14" s="140"/>
      <c r="AV14" s="140"/>
      <c r="AW14" s="140"/>
    </row>
    <row r="15" spans="1:49" ht="13.5" thickBot="1" x14ac:dyDescent="0.25">
      <c r="A15" s="1342" t="s">
        <v>250</v>
      </c>
      <c r="B15" s="1343"/>
      <c r="C15" s="958">
        <f>'Input &amp; Summary'!B24</f>
        <v>1</v>
      </c>
      <c r="AR15" s="140"/>
      <c r="AS15" s="140"/>
      <c r="AT15" s="140"/>
      <c r="AU15" s="140"/>
      <c r="AV15" s="140"/>
      <c r="AW15" s="140"/>
    </row>
    <row r="16" spans="1:49" ht="13.5" thickBot="1" x14ac:dyDescent="0.25">
      <c r="A16" s="1342" t="s">
        <v>252</v>
      </c>
      <c r="B16" s="1343"/>
      <c r="C16" s="959">
        <f>IF(C15=4,(HLOOKUP(C15,C26:F28,2)*C14^HLOOKUP(C15,C26:F466,3)),(HLOOKUP(C15,C26:F28,2)*C7^HLOOKUP(C15,C26:F28,3)))</f>
        <v>6874.634992897807</v>
      </c>
      <c r="AR16" s="140"/>
      <c r="AS16" s="140"/>
      <c r="AT16" s="140"/>
      <c r="AU16" s="140"/>
      <c r="AV16" s="140"/>
      <c r="AW16" s="140"/>
    </row>
    <row r="17" spans="1:49" ht="13.5" thickBot="1" x14ac:dyDescent="0.25">
      <c r="A17" s="1342" t="s">
        <v>661</v>
      </c>
      <c r="B17" s="1343"/>
      <c r="C17" s="960">
        <f>(HLOOKUP(C15,C22:F23,2)*C7)</f>
        <v>124150</v>
      </c>
      <c r="D17" s="470">
        <f>'PPI Calculation'!D82</f>
        <v>1.3123659756969264</v>
      </c>
      <c r="E17" s="22" t="s">
        <v>590</v>
      </c>
      <c r="AR17" s="140"/>
      <c r="AS17" s="140"/>
      <c r="AT17" s="140"/>
      <c r="AU17" s="140"/>
      <c r="AV17" s="140"/>
      <c r="AW17" s="140"/>
    </row>
    <row r="18" spans="1:49" ht="13.5" thickBot="1" x14ac:dyDescent="0.25">
      <c r="A18" s="1342" t="s">
        <v>686</v>
      </c>
      <c r="B18" s="1343"/>
      <c r="C18" s="960">
        <f>C17*D17</f>
        <v>162930.23588277341</v>
      </c>
      <c r="D18" s="550">
        <f>'Input &amp; Summary'!F7</f>
        <v>2010</v>
      </c>
      <c r="E18" s="567" t="s">
        <v>648</v>
      </c>
      <c r="AR18" s="140"/>
      <c r="AS18" s="140"/>
      <c r="AT18" s="140"/>
      <c r="AU18" s="140"/>
      <c r="AV18" s="140"/>
      <c r="AW18" s="140"/>
    </row>
    <row r="19" spans="1:49" x14ac:dyDescent="0.2">
      <c r="AR19" s="140"/>
      <c r="AS19" s="140"/>
      <c r="AT19" s="140"/>
      <c r="AU19" s="140"/>
      <c r="AV19" s="140"/>
      <c r="AW19" s="140"/>
    </row>
    <row r="20" spans="1:49" ht="13.5" thickBot="1" x14ac:dyDescent="0.25">
      <c r="AR20" s="140"/>
      <c r="AS20" s="140"/>
      <c r="AT20" s="140"/>
      <c r="AU20" s="140"/>
      <c r="AV20" s="140"/>
      <c r="AW20" s="140"/>
    </row>
    <row r="21" spans="1:49" ht="13.5" thickBot="1" x14ac:dyDescent="0.25">
      <c r="A21" s="1336" t="s">
        <v>1031</v>
      </c>
      <c r="B21" s="1337"/>
      <c r="C21" s="39"/>
      <c r="D21" s="39"/>
      <c r="E21" s="39"/>
      <c r="F21" s="39"/>
      <c r="AR21" s="140"/>
      <c r="AS21" s="140"/>
      <c r="AT21" s="140"/>
      <c r="AU21" s="140"/>
      <c r="AV21" s="140"/>
      <c r="AW21" s="140"/>
    </row>
    <row r="22" spans="1:49" ht="13.5" thickBot="1" x14ac:dyDescent="0.25">
      <c r="A22" s="1338" t="s">
        <v>251</v>
      </c>
      <c r="B22" s="1339"/>
      <c r="C22" s="961">
        <v>1</v>
      </c>
      <c r="D22" s="521">
        <v>2</v>
      </c>
      <c r="E22" s="521">
        <v>3</v>
      </c>
      <c r="F22" s="522">
        <v>4</v>
      </c>
      <c r="AR22" s="140"/>
      <c r="AS22" s="140"/>
      <c r="AT22" s="140"/>
      <c r="AU22" s="140"/>
      <c r="AV22" s="140"/>
      <c r="AW22" s="140"/>
    </row>
    <row r="23" spans="1:49" ht="15.75" thickBot="1" x14ac:dyDescent="0.3">
      <c r="A23" s="1338" t="s">
        <v>1033</v>
      </c>
      <c r="B23" s="1339"/>
      <c r="C23" s="962">
        <f>65</f>
        <v>65</v>
      </c>
      <c r="D23" s="530">
        <f>H36/C36*C23</f>
        <v>54.725333333333332</v>
      </c>
      <c r="E23" s="530">
        <f>I37/C37*C23</f>
        <v>48.029629629629632</v>
      </c>
      <c r="F23" s="531">
        <f>J36/C36*C23</f>
        <v>219.33333333333334</v>
      </c>
      <c r="AK23" s="990"/>
      <c r="AL23" s="140"/>
      <c r="AM23" s="140"/>
      <c r="AN23" s="140"/>
      <c r="AO23" s="140"/>
      <c r="AP23" s="140"/>
      <c r="AQ23" s="140"/>
      <c r="AR23" s="140"/>
      <c r="AS23" s="140"/>
      <c r="AT23" s="140"/>
      <c r="AU23" s="140"/>
      <c r="AV23" s="140"/>
      <c r="AW23" s="140"/>
    </row>
    <row r="24" spans="1:49" ht="13.5" thickBot="1" x14ac:dyDescent="0.25">
      <c r="AL24" s="140"/>
      <c r="AM24" s="140"/>
      <c r="AN24" s="140"/>
      <c r="AO24" s="140"/>
      <c r="AP24" s="140"/>
      <c r="AQ24" s="140"/>
      <c r="AR24" s="140"/>
      <c r="AS24" s="140"/>
      <c r="AT24" s="140"/>
      <c r="AU24" s="140"/>
      <c r="AV24" s="140"/>
      <c r="AW24" s="140"/>
    </row>
    <row r="25" spans="1:49" ht="13.5" thickBot="1" x14ac:dyDescent="0.25">
      <c r="A25" s="1336" t="s">
        <v>1032</v>
      </c>
      <c r="B25" s="1337"/>
      <c r="C25" s="39"/>
      <c r="D25" s="39"/>
      <c r="E25" s="39"/>
      <c r="F25" s="39"/>
      <c r="AL25" s="140"/>
      <c r="AM25" s="140"/>
      <c r="AN25" s="140"/>
      <c r="AO25" s="140"/>
      <c r="AP25" s="140"/>
      <c r="AQ25" s="140"/>
      <c r="AR25" s="140"/>
      <c r="AS25" s="140"/>
      <c r="AT25" s="140"/>
      <c r="AU25" s="140"/>
      <c r="AV25" s="140"/>
      <c r="AW25" s="140"/>
    </row>
    <row r="26" spans="1:49" ht="13.5" thickBot="1" x14ac:dyDescent="0.25">
      <c r="A26" s="1338" t="s">
        <v>251</v>
      </c>
      <c r="B26" s="1339"/>
      <c r="C26" s="961">
        <v>1</v>
      </c>
      <c r="D26" s="521">
        <v>2</v>
      </c>
      <c r="E26" s="521">
        <v>3</v>
      </c>
      <c r="F26" s="522">
        <v>4</v>
      </c>
      <c r="AL26" s="140"/>
      <c r="AM26" s="140"/>
      <c r="AN26" s="140"/>
      <c r="AO26" s="140"/>
      <c r="AP26" s="140"/>
      <c r="AQ26" s="140"/>
      <c r="AR26" s="140"/>
      <c r="AS26" s="140"/>
      <c r="AT26" s="140"/>
      <c r="AU26" s="140"/>
      <c r="AV26" s="140"/>
      <c r="AW26" s="140"/>
    </row>
    <row r="27" spans="1:49" ht="13.5" thickBot="1" x14ac:dyDescent="0.25">
      <c r="A27" s="1338" t="s">
        <v>909</v>
      </c>
      <c r="B27" s="1339"/>
      <c r="C27" s="963">
        <v>6.4737</v>
      </c>
      <c r="D27" s="532">
        <f>(H67/C67)*C27</f>
        <v>10.509719405470749</v>
      </c>
      <c r="E27" s="532">
        <f>I68/C68*C27</f>
        <v>5.3429022884795074</v>
      </c>
      <c r="F27" s="533">
        <v>37.683999999999997</v>
      </c>
      <c r="AL27" s="140"/>
      <c r="AM27" s="140"/>
      <c r="AN27" s="140"/>
      <c r="AO27" s="140"/>
      <c r="AP27" s="140"/>
      <c r="AQ27" s="140"/>
      <c r="AR27" s="140"/>
      <c r="AS27" s="140"/>
      <c r="AT27" s="140"/>
      <c r="AU27" s="140"/>
      <c r="AV27" s="140"/>
      <c r="AW27" s="140"/>
    </row>
    <row r="28" spans="1:49" ht="13.5" thickBot="1" x14ac:dyDescent="0.25">
      <c r="A28" s="1338" t="s">
        <v>390</v>
      </c>
      <c r="B28" s="1339"/>
      <c r="C28" s="962">
        <v>0.92230000000000001</v>
      </c>
      <c r="D28" s="526">
        <v>0.92230000000000001</v>
      </c>
      <c r="E28" s="526">
        <v>0.92230000000000001</v>
      </c>
      <c r="F28" s="527">
        <v>1</v>
      </c>
    </row>
    <row r="32" spans="1:49" ht="13.5" thickBot="1" x14ac:dyDescent="0.25">
      <c r="B32" s="222" t="s">
        <v>476</v>
      </c>
      <c r="C32" s="223"/>
      <c r="D32" s="223"/>
      <c r="E32" s="223"/>
      <c r="F32" s="223"/>
      <c r="G32" s="223"/>
      <c r="H32" s="223"/>
      <c r="I32" s="223"/>
      <c r="J32" s="224"/>
    </row>
    <row r="33" spans="2:10" ht="13.5" thickBot="1" x14ac:dyDescent="0.25">
      <c r="B33" s="225" t="s">
        <v>477</v>
      </c>
      <c r="C33" s="226"/>
      <c r="D33" s="226"/>
      <c r="E33" s="226"/>
      <c r="F33" s="227"/>
      <c r="G33" s="228" t="s">
        <v>478</v>
      </c>
      <c r="H33" s="229"/>
      <c r="I33" s="229"/>
      <c r="J33" s="230"/>
    </row>
    <row r="34" spans="2:10" ht="45" x14ac:dyDescent="0.2">
      <c r="B34" s="231" t="s">
        <v>479</v>
      </c>
      <c r="C34" s="232" t="s">
        <v>480</v>
      </c>
      <c r="D34" s="232" t="s">
        <v>312</v>
      </c>
      <c r="E34" s="232" t="s">
        <v>481</v>
      </c>
      <c r="F34" s="233" t="s">
        <v>362</v>
      </c>
      <c r="G34" s="234"/>
      <c r="H34" s="235" t="s">
        <v>482</v>
      </c>
      <c r="I34" s="236" t="s">
        <v>483</v>
      </c>
      <c r="J34" s="237" t="s">
        <v>467</v>
      </c>
    </row>
    <row r="35" spans="2:10" x14ac:dyDescent="0.2">
      <c r="B35" s="238">
        <v>750</v>
      </c>
      <c r="C35" s="31">
        <f>65*B35</f>
        <v>48750</v>
      </c>
      <c r="D35" s="31">
        <f>54.7*B35</f>
        <v>41025</v>
      </c>
      <c r="E35" s="31">
        <f>52*B35</f>
        <v>39000</v>
      </c>
      <c r="F35" s="239">
        <f>2190.3*B35</f>
        <v>1642725.0000000002</v>
      </c>
      <c r="G35" s="240"/>
      <c r="H35" s="142"/>
      <c r="I35" s="142"/>
      <c r="J35" s="241"/>
    </row>
    <row r="36" spans="2:10" x14ac:dyDescent="0.2">
      <c r="B36" s="238">
        <v>1500</v>
      </c>
      <c r="C36" s="31">
        <f>65*B36</f>
        <v>97500</v>
      </c>
      <c r="D36" s="31">
        <f>54.7*B36</f>
        <v>82050</v>
      </c>
      <c r="E36" s="31">
        <f>52*B36</f>
        <v>78000</v>
      </c>
      <c r="F36" s="239">
        <f>2190.3*B36</f>
        <v>3285450.0000000005</v>
      </c>
      <c r="G36" s="240"/>
      <c r="H36" s="142">
        <v>82088</v>
      </c>
      <c r="I36" s="142"/>
      <c r="J36" s="241">
        <v>329000</v>
      </c>
    </row>
    <row r="37" spans="2:10" x14ac:dyDescent="0.2">
      <c r="B37" s="238">
        <v>2500</v>
      </c>
      <c r="C37" s="31">
        <f>65*B37</f>
        <v>162500</v>
      </c>
      <c r="D37" s="31">
        <f>54.7*B37</f>
        <v>136750</v>
      </c>
      <c r="E37" s="31">
        <f>52*B37</f>
        <v>130000</v>
      </c>
      <c r="F37" s="239">
        <f>2190.3*B37</f>
        <v>5475750</v>
      </c>
      <c r="G37" s="240"/>
      <c r="H37" s="142"/>
      <c r="I37" s="397">
        <f>129680/1.08</f>
        <v>120074.07407407407</v>
      </c>
      <c r="J37" s="241"/>
    </row>
    <row r="38" spans="2:10" x14ac:dyDescent="0.2">
      <c r="B38" s="238">
        <v>3000</v>
      </c>
      <c r="C38" s="31">
        <f>65*B38</f>
        <v>195000</v>
      </c>
      <c r="D38" s="31">
        <f>54.7*B38</f>
        <v>164100</v>
      </c>
      <c r="E38" s="31">
        <f>52*B38</f>
        <v>156000</v>
      </c>
      <c r="F38" s="239">
        <f>2190.3*B38</f>
        <v>6570900.0000000009</v>
      </c>
      <c r="G38" s="240"/>
      <c r="H38" s="142"/>
      <c r="I38" s="142"/>
      <c r="J38" s="241"/>
    </row>
    <row r="39" spans="2:10" x14ac:dyDescent="0.2">
      <c r="B39" s="238">
        <v>5000</v>
      </c>
      <c r="C39" s="31">
        <f>65*B39</f>
        <v>325000</v>
      </c>
      <c r="D39" s="31">
        <f>54.7*B39</f>
        <v>273500</v>
      </c>
      <c r="E39" s="31">
        <f>52*B39</f>
        <v>260000</v>
      </c>
      <c r="F39" s="239">
        <f>2190.3*B39</f>
        <v>10951500</v>
      </c>
      <c r="G39" s="240"/>
      <c r="H39" s="142"/>
      <c r="I39" s="142"/>
      <c r="J39" s="241"/>
    </row>
    <row r="40" spans="2:10" ht="13.5" thickBot="1" x14ac:dyDescent="0.25">
      <c r="B40" s="242"/>
      <c r="C40" s="243"/>
      <c r="D40" s="243"/>
      <c r="E40" s="243"/>
      <c r="F40" s="244"/>
      <c r="G40" s="245"/>
      <c r="H40" s="246"/>
      <c r="I40" s="246"/>
      <c r="J40" s="247"/>
    </row>
    <row r="41" spans="2:10" x14ac:dyDescent="0.2">
      <c r="B41" s="39"/>
      <c r="C41" s="39"/>
      <c r="D41" s="39"/>
      <c r="E41" s="39"/>
      <c r="F41" s="39"/>
      <c r="G41" s="119"/>
      <c r="H41" s="119"/>
      <c r="I41" s="119"/>
      <c r="J41" s="119"/>
    </row>
    <row r="42" spans="2:10" x14ac:dyDescent="0.2">
      <c r="B42" s="39"/>
      <c r="C42" s="39"/>
      <c r="D42" s="39"/>
      <c r="E42" s="39"/>
      <c r="F42" s="39"/>
      <c r="G42" s="119"/>
      <c r="H42" s="119"/>
      <c r="I42" s="119"/>
      <c r="J42" s="119"/>
    </row>
    <row r="43" spans="2:10" x14ac:dyDescent="0.2">
      <c r="B43" s="39"/>
      <c r="C43" s="39"/>
      <c r="D43" s="39"/>
      <c r="E43" s="39"/>
      <c r="F43" s="39"/>
      <c r="G43" s="119"/>
      <c r="H43" s="119"/>
      <c r="I43" s="119"/>
      <c r="J43" s="119"/>
    </row>
    <row r="44" spans="2:10" x14ac:dyDescent="0.2">
      <c r="B44" s="39"/>
      <c r="C44" s="39"/>
      <c r="D44" s="39"/>
      <c r="E44" s="39"/>
      <c r="F44" s="39"/>
      <c r="G44" s="119"/>
      <c r="H44" s="119"/>
      <c r="I44" s="119"/>
      <c r="J44" s="119"/>
    </row>
    <row r="45" spans="2:10" x14ac:dyDescent="0.2">
      <c r="B45" s="39"/>
      <c r="C45" s="39"/>
      <c r="D45" s="39"/>
      <c r="E45" s="39"/>
      <c r="F45" s="39"/>
      <c r="G45" s="119"/>
      <c r="H45" s="119"/>
      <c r="I45" s="119"/>
      <c r="J45" s="119"/>
    </row>
    <row r="46" spans="2:10" x14ac:dyDescent="0.2">
      <c r="B46" s="39"/>
      <c r="C46" s="39"/>
      <c r="D46" s="39"/>
      <c r="E46" s="39"/>
      <c r="F46" s="39"/>
      <c r="G46" s="119"/>
      <c r="H46" s="119"/>
      <c r="I46" s="119"/>
      <c r="J46" s="119"/>
    </row>
    <row r="47" spans="2:10" x14ac:dyDescent="0.2">
      <c r="B47" s="39"/>
      <c r="C47" s="39"/>
      <c r="D47" s="39"/>
      <c r="E47" s="39"/>
      <c r="F47" s="39"/>
      <c r="G47" s="119"/>
      <c r="H47" s="119"/>
      <c r="I47" s="119"/>
      <c r="J47" s="119"/>
    </row>
    <row r="48" spans="2:10" x14ac:dyDescent="0.2">
      <c r="B48" s="39"/>
      <c r="C48" s="39"/>
      <c r="D48" s="39"/>
      <c r="E48" s="39"/>
      <c r="F48" s="39"/>
      <c r="G48" s="119"/>
      <c r="H48" s="119"/>
      <c r="I48" s="119"/>
      <c r="J48" s="119"/>
    </row>
    <row r="49" spans="1:48" x14ac:dyDescent="0.2">
      <c r="B49" s="39"/>
      <c r="C49" s="39"/>
      <c r="D49" s="39"/>
      <c r="E49" s="39"/>
      <c r="F49" s="39"/>
      <c r="G49" s="119"/>
      <c r="H49" s="119"/>
      <c r="I49" s="119"/>
      <c r="J49" s="119"/>
    </row>
    <row r="50" spans="1:48" x14ac:dyDescent="0.2">
      <c r="B50" s="39"/>
      <c r="C50" s="39"/>
      <c r="D50" s="39"/>
      <c r="E50" s="39"/>
      <c r="F50" s="39"/>
      <c r="G50" s="119"/>
      <c r="H50" s="119"/>
      <c r="I50" s="119"/>
      <c r="J50" s="119"/>
    </row>
    <row r="51" spans="1:48" x14ac:dyDescent="0.2">
      <c r="B51" s="39"/>
      <c r="C51" s="39"/>
      <c r="D51" s="39"/>
      <c r="E51" s="39"/>
      <c r="F51" s="39"/>
      <c r="G51" s="119"/>
      <c r="H51" s="119"/>
      <c r="I51" s="119"/>
      <c r="J51" s="119"/>
    </row>
    <row r="52" spans="1:48" x14ac:dyDescent="0.2">
      <c r="B52" s="39"/>
      <c r="C52" s="39"/>
      <c r="D52" s="39"/>
      <c r="E52" s="39"/>
      <c r="F52" s="39"/>
      <c r="G52" s="119"/>
      <c r="H52" s="119"/>
      <c r="I52" s="119"/>
      <c r="J52" s="119"/>
    </row>
    <row r="53" spans="1:48" x14ac:dyDescent="0.2">
      <c r="B53" s="39"/>
      <c r="C53" s="39"/>
      <c r="D53" s="39"/>
      <c r="E53" s="39"/>
      <c r="F53" s="39"/>
      <c r="G53" s="119"/>
      <c r="H53" s="119"/>
      <c r="I53" s="119"/>
      <c r="J53" s="119"/>
    </row>
    <row r="54" spans="1:48" x14ac:dyDescent="0.2">
      <c r="B54" s="39"/>
      <c r="C54" s="39"/>
      <c r="D54" s="39"/>
      <c r="E54" s="39"/>
      <c r="F54" s="39"/>
      <c r="G54" s="119"/>
      <c r="H54" s="119"/>
      <c r="I54" s="119"/>
      <c r="J54" s="119"/>
    </row>
    <row r="55" spans="1:48" x14ac:dyDescent="0.2">
      <c r="B55" s="39"/>
      <c r="C55" s="39"/>
      <c r="D55" s="39"/>
      <c r="E55" s="39"/>
      <c r="F55" s="39"/>
      <c r="G55" s="119"/>
      <c r="H55" s="119"/>
      <c r="I55" s="119"/>
      <c r="J55" s="119"/>
    </row>
    <row r="56" spans="1:48" x14ac:dyDescent="0.2">
      <c r="B56" s="39"/>
      <c r="C56" s="39"/>
      <c r="D56" s="39"/>
      <c r="E56" s="39"/>
      <c r="F56" s="39"/>
      <c r="G56" s="119"/>
      <c r="H56" s="119"/>
      <c r="I56" s="119"/>
      <c r="J56" s="119"/>
    </row>
    <row r="57" spans="1:48" x14ac:dyDescent="0.2">
      <c r="B57" s="39"/>
      <c r="C57" s="39"/>
      <c r="D57" s="39"/>
      <c r="E57" s="39"/>
      <c r="F57" s="39"/>
      <c r="G57" s="119"/>
      <c r="H57" s="119"/>
      <c r="I57" s="119"/>
      <c r="J57" s="119"/>
    </row>
    <row r="58" spans="1:48" x14ac:dyDescent="0.2">
      <c r="B58" s="39"/>
      <c r="C58" s="39"/>
      <c r="D58" s="39"/>
      <c r="E58" s="39"/>
      <c r="F58" s="39"/>
      <c r="G58" s="119"/>
      <c r="H58" s="119"/>
      <c r="I58" s="119"/>
      <c r="J58" s="119"/>
      <c r="X58" s="1348" t="s">
        <v>1312</v>
      </c>
      <c r="Y58" s="1348"/>
      <c r="Z58" s="1348"/>
      <c r="AA58" s="635" t="s">
        <v>1225</v>
      </c>
      <c r="AB58" s="635" t="s">
        <v>1226</v>
      </c>
    </row>
    <row r="59" spans="1:48" x14ac:dyDescent="0.2">
      <c r="B59" s="39"/>
      <c r="C59" s="39"/>
      <c r="D59" s="39"/>
      <c r="E59" s="39"/>
      <c r="F59" s="39"/>
      <c r="G59" s="119"/>
      <c r="H59" s="119"/>
      <c r="I59" s="119"/>
      <c r="J59" s="119"/>
      <c r="X59" s="1348"/>
      <c r="Y59" s="1348"/>
      <c r="Z59" s="1348"/>
      <c r="AA59">
        <v>10169</v>
      </c>
      <c r="AB59">
        <v>-0.748</v>
      </c>
    </row>
    <row r="60" spans="1:48" x14ac:dyDescent="0.2">
      <c r="B60" s="39"/>
      <c r="C60" s="39"/>
      <c r="D60" s="39"/>
      <c r="E60" s="39"/>
      <c r="F60" s="39"/>
      <c r="G60" s="119"/>
      <c r="H60" s="119"/>
      <c r="I60" s="119"/>
      <c r="J60" s="119"/>
    </row>
    <row r="61" spans="1:48" ht="13.5" thickBot="1" x14ac:dyDescent="0.25">
      <c r="A61" s="39"/>
      <c r="B61" s="1308" t="s">
        <v>484</v>
      </c>
      <c r="C61" s="1308"/>
      <c r="D61" s="1308"/>
      <c r="E61" s="1308"/>
      <c r="F61" s="1308"/>
      <c r="G61" s="1308"/>
      <c r="H61" s="1308"/>
      <c r="I61" s="1308"/>
      <c r="J61" s="769"/>
    </row>
    <row r="62" spans="1:48" ht="51.75" customHeight="1" thickBot="1" x14ac:dyDescent="0.25">
      <c r="B62" s="248" t="s">
        <v>485</v>
      </c>
      <c r="C62" s="249"/>
      <c r="D62" s="249"/>
      <c r="E62" s="249"/>
      <c r="F62" s="250"/>
      <c r="G62" s="1344" t="s">
        <v>486</v>
      </c>
      <c r="H62" s="1345"/>
      <c r="I62" s="1346"/>
      <c r="J62" s="1144"/>
      <c r="L62" s="1349" t="s">
        <v>1216</v>
      </c>
      <c r="M62" s="1350"/>
      <c r="N62" s="1350"/>
      <c r="O62" s="1350"/>
      <c r="P62" s="1351"/>
      <c r="Q62" s="1349" t="s">
        <v>624</v>
      </c>
      <c r="R62" s="1350"/>
      <c r="S62" s="1350"/>
      <c r="T62" s="1350"/>
      <c r="U62" s="1350"/>
      <c r="V62" s="1351"/>
      <c r="Z62">
        <v>10</v>
      </c>
      <c r="AA62">
        <v>1.8</v>
      </c>
      <c r="AB62">
        <v>62800</v>
      </c>
    </row>
    <row r="63" spans="1:48" ht="53.25" customHeight="1" thickBot="1" x14ac:dyDescent="0.25">
      <c r="B63" s="231" t="s">
        <v>487</v>
      </c>
      <c r="C63" s="232" t="s">
        <v>364</v>
      </c>
      <c r="D63" s="232" t="s">
        <v>488</v>
      </c>
      <c r="E63" s="232" t="s">
        <v>489</v>
      </c>
      <c r="F63" s="233" t="s">
        <v>313</v>
      </c>
      <c r="G63" s="234" t="s">
        <v>363</v>
      </c>
      <c r="H63" s="235" t="s">
        <v>78</v>
      </c>
      <c r="I63" s="236" t="s">
        <v>80</v>
      </c>
      <c r="J63" s="1145"/>
      <c r="L63" s="971" t="s">
        <v>1212</v>
      </c>
      <c r="M63" s="1133" t="s">
        <v>1457</v>
      </c>
      <c r="N63" s="969" t="s">
        <v>1220</v>
      </c>
      <c r="O63" s="969" t="s">
        <v>1215</v>
      </c>
      <c r="P63" s="970" t="s">
        <v>444</v>
      </c>
      <c r="Q63" s="970" t="s">
        <v>200</v>
      </c>
      <c r="R63" s="970" t="s">
        <v>1211</v>
      </c>
      <c r="S63" s="970" t="s">
        <v>365</v>
      </c>
      <c r="T63" s="969" t="s">
        <v>1214</v>
      </c>
      <c r="U63" s="970" t="s">
        <v>1227</v>
      </c>
      <c r="V63" s="946" t="s">
        <v>1223</v>
      </c>
      <c r="W63" s="976"/>
      <c r="Y63" s="976" t="s">
        <v>1221</v>
      </c>
      <c r="Z63" s="976" t="s">
        <v>444</v>
      </c>
      <c r="AA63" s="976" t="s">
        <v>200</v>
      </c>
      <c r="AB63" s="976" t="s">
        <v>1213</v>
      </c>
      <c r="AC63" s="976" t="s">
        <v>1219</v>
      </c>
      <c r="AD63" s="964" t="s">
        <v>1222</v>
      </c>
      <c r="AE63" s="964" t="s">
        <v>1214</v>
      </c>
      <c r="AF63" s="964" t="s">
        <v>1211</v>
      </c>
      <c r="AG63" s="964" t="s">
        <v>1311</v>
      </c>
      <c r="AJ63" s="1335" t="s">
        <v>1309</v>
      </c>
      <c r="AK63" s="1335"/>
      <c r="AL63" s="1335"/>
      <c r="AM63" s="1335"/>
      <c r="AN63" s="1335"/>
      <c r="AO63" s="1335"/>
      <c r="AP63" s="1335"/>
      <c r="AQ63" s="1335"/>
      <c r="AR63" s="1335"/>
      <c r="AS63" s="1335"/>
      <c r="AT63" s="1335"/>
      <c r="AU63" s="1335"/>
      <c r="AV63" s="1335"/>
    </row>
    <row r="64" spans="1:48" ht="15" x14ac:dyDescent="0.25">
      <c r="B64" s="251"/>
      <c r="C64" s="252"/>
      <c r="D64" s="252"/>
      <c r="E64" s="252"/>
      <c r="F64" s="253"/>
      <c r="G64" s="254"/>
      <c r="H64" s="255"/>
      <c r="I64" s="256"/>
      <c r="J64" s="964"/>
      <c r="L64" s="939">
        <v>1000</v>
      </c>
      <c r="M64" s="1135">
        <f>ROUND(L64/(1-('AEP Input Output sheet'!$B$19+'AEP Input Output sheet'!$B$20*1+'AEP Input Output sheet'!$B$21*1^2)),0)</f>
        <v>1109</v>
      </c>
      <c r="N64" s="1136">
        <v>55</v>
      </c>
      <c r="O64" s="1137">
        <v>75</v>
      </c>
      <c r="P64" s="205">
        <v>3.5</v>
      </c>
      <c r="Q64" s="1138">
        <f t="shared" ref="Q64:Q74" si="0">T64/(2*PI()*R64*(P64/2)^2)</f>
        <v>0.50281492155932028</v>
      </c>
      <c r="R64" s="205">
        <f t="shared" ref="R64:R74" si="1">$AF$87</f>
        <v>42.028012573031695</v>
      </c>
      <c r="S64" s="205">
        <f t="shared" ref="S64:S74" si="2">(O64)/((N64/2)*(PI()/30))</f>
        <v>26.043536142310149</v>
      </c>
      <c r="T64" s="205">
        <f>M64/(S64*(PI()/30))</f>
        <v>406.63333333333327</v>
      </c>
      <c r="U64" s="1139">
        <f t="shared" ref="U64:U74" si="3">(PI()*(P64/2)^2*Q64)*$AC$87</f>
        <v>15323.525036214514</v>
      </c>
      <c r="V64" s="1140">
        <f>(PI()*(P64/2)^2*Q64)*($AA$59*P64^$AB$59)</f>
        <v>19273.006930557487</v>
      </c>
      <c r="W64" s="978"/>
      <c r="X64" s="981"/>
      <c r="AJ64" s="983" t="s">
        <v>1233</v>
      </c>
      <c r="AK64" s="983">
        <v>1</v>
      </c>
      <c r="AL64" s="983">
        <v>1</v>
      </c>
      <c r="AM64" s="983">
        <v>1</v>
      </c>
      <c r="AN64" s="983">
        <v>1</v>
      </c>
      <c r="AO64" s="983">
        <v>1</v>
      </c>
      <c r="AP64" s="983">
        <v>1</v>
      </c>
      <c r="AQ64" s="983">
        <v>1</v>
      </c>
      <c r="AR64" s="983">
        <v>1</v>
      </c>
      <c r="AS64" s="983">
        <v>1</v>
      </c>
      <c r="AT64" s="983">
        <v>1</v>
      </c>
      <c r="AU64" s="983">
        <v>1</v>
      </c>
      <c r="AV64" s="983">
        <v>1</v>
      </c>
    </row>
    <row r="65" spans="1:48" ht="15" x14ac:dyDescent="0.25">
      <c r="B65" s="257">
        <v>1500</v>
      </c>
      <c r="C65" s="252"/>
      <c r="D65" s="252"/>
      <c r="E65" s="252"/>
      <c r="F65" s="253"/>
      <c r="G65" s="254"/>
      <c r="H65" s="255"/>
      <c r="I65" s="256"/>
      <c r="J65" s="964"/>
      <c r="L65" s="238">
        <v>2000</v>
      </c>
      <c r="M65" s="1134">
        <f>ROUND(L65/(1-('AEP Input Output sheet'!$B$19+'AEP Input Output sheet'!$B$20*1+'AEP Input Output sheet'!$B$21*1^2)),0)</f>
        <v>2217</v>
      </c>
      <c r="N65" s="219">
        <v>80</v>
      </c>
      <c r="O65" s="965">
        <v>75</v>
      </c>
      <c r="P65" s="31">
        <v>4</v>
      </c>
      <c r="Q65" s="966">
        <f t="shared" si="0"/>
        <v>1.1194010446297575</v>
      </c>
      <c r="R65" s="28">
        <f t="shared" si="1"/>
        <v>42.028012573031695</v>
      </c>
      <c r="S65" s="28">
        <f t="shared" si="2"/>
        <v>17.904931097838226</v>
      </c>
      <c r="T65" s="28">
        <f>M65/(S65*(PI()/30))</f>
        <v>1182.4000000000001</v>
      </c>
      <c r="U65" s="979">
        <f t="shared" si="3"/>
        <v>44557.429304418503</v>
      </c>
      <c r="V65" s="974">
        <f t="shared" ref="V65:V74" si="4">(PI()*(P65/2)^2*Q65)*($AA$59*P65^$AB$59)</f>
        <v>50714.593141174002</v>
      </c>
      <c r="W65" s="978"/>
      <c r="X65" s="930" t="s">
        <v>1224</v>
      </c>
      <c r="Y65">
        <v>0.02</v>
      </c>
      <c r="Z65" s="982">
        <v>0.69850139700279401</v>
      </c>
      <c r="AA65" s="982">
        <v>0.53975107950215906</v>
      </c>
      <c r="AB65" s="143">
        <v>578.34</v>
      </c>
      <c r="AC65" s="982">
        <f t="shared" ref="AC65:AC85" si="5">AB65/(PI()*(Z65/2)^2*AA65)</f>
        <v>2796.1809436603917</v>
      </c>
      <c r="AJ65" s="987" t="s">
        <v>1234</v>
      </c>
      <c r="AK65" s="987">
        <v>1500</v>
      </c>
      <c r="AL65" s="987">
        <v>1500</v>
      </c>
      <c r="AM65" s="987">
        <v>1500</v>
      </c>
      <c r="AN65" s="987">
        <v>1500</v>
      </c>
      <c r="AO65" s="987">
        <v>1500</v>
      </c>
      <c r="AP65" s="987">
        <v>1500</v>
      </c>
      <c r="AQ65" s="987">
        <v>1500</v>
      </c>
      <c r="AR65" s="987">
        <v>1500</v>
      </c>
      <c r="AS65" s="987">
        <v>1500</v>
      </c>
      <c r="AT65" s="987">
        <v>1500</v>
      </c>
      <c r="AU65" s="987">
        <v>1500</v>
      </c>
      <c r="AV65" s="987">
        <v>1500</v>
      </c>
    </row>
    <row r="66" spans="1:48" ht="15" x14ac:dyDescent="0.25">
      <c r="B66" s="238">
        <v>750</v>
      </c>
      <c r="C66" s="85">
        <f>$C$27*B66^$C$28</f>
        <v>2902.8298008967886</v>
      </c>
      <c r="D66" s="85">
        <f>$D$27*B66^$D$28</f>
        <v>4712.5950676218808</v>
      </c>
      <c r="E66" s="85">
        <f>$E$27*B66^$E$28</f>
        <v>2395.7761382637386</v>
      </c>
      <c r="F66" s="258"/>
      <c r="G66" s="259">
        <f>3.3*B66+471</f>
        <v>2946</v>
      </c>
      <c r="H66" s="142"/>
      <c r="I66" s="241"/>
      <c r="J66" s="119"/>
      <c r="L66" s="238">
        <v>3000</v>
      </c>
      <c r="M66" s="1134">
        <f>ROUND(L66/(1-('AEP Input Output sheet'!$B$19+'AEP Input Output sheet'!$B$20*1+'AEP Input Output sheet'!$B$21*1^2)),0)</f>
        <v>3326</v>
      </c>
      <c r="N66" s="219">
        <v>90</v>
      </c>
      <c r="O66" s="965">
        <v>75</v>
      </c>
      <c r="P66" s="31">
        <v>4.3</v>
      </c>
      <c r="Q66" s="966">
        <f t="shared" si="0"/>
        <v>1.6348497814077496</v>
      </c>
      <c r="R66" s="28">
        <f t="shared" si="1"/>
        <v>42.028012573031695</v>
      </c>
      <c r="S66" s="28">
        <f t="shared" si="2"/>
        <v>15.915494309189533</v>
      </c>
      <c r="T66" s="28">
        <f t="shared" ref="T66:T73" si="6">M66/(S66*(PI()/30))</f>
        <v>1995.6000000000001</v>
      </c>
      <c r="U66" s="979">
        <f t="shared" si="3"/>
        <v>75201.96711764003</v>
      </c>
      <c r="V66" s="974">
        <f t="shared" si="4"/>
        <v>81086.487607198302</v>
      </c>
      <c r="W66" s="978"/>
      <c r="X66" s="1347" t="s">
        <v>1217</v>
      </c>
      <c r="Y66">
        <v>2</v>
      </c>
      <c r="Z66">
        <v>4.3</v>
      </c>
      <c r="AA66">
        <v>0.8</v>
      </c>
      <c r="AB66">
        <v>40000</v>
      </c>
      <c r="AC66" s="982">
        <f>AB66/(PI()*(Z66/2)^2*AA66)</f>
        <v>3443.0490663471141</v>
      </c>
      <c r="AD66">
        <v>27.5</v>
      </c>
      <c r="AE66" s="982">
        <f>AD66*AB66/1000</f>
        <v>1100</v>
      </c>
      <c r="AF66" s="14">
        <f>(AE66/(Z66/2))/(PI()*Z66*AA66)</f>
        <v>47.341924662272817</v>
      </c>
      <c r="AJ66" s="983" t="s">
        <v>1235</v>
      </c>
      <c r="AK66" s="983">
        <v>1.6</v>
      </c>
      <c r="AL66" s="983">
        <v>1.8</v>
      </c>
      <c r="AM66" s="983">
        <v>2</v>
      </c>
      <c r="AN66" s="983">
        <v>2.2000000000000002</v>
      </c>
      <c r="AO66" s="983">
        <v>2.4</v>
      </c>
      <c r="AP66" s="983">
        <v>2.6</v>
      </c>
      <c r="AQ66" s="983">
        <v>2.8</v>
      </c>
      <c r="AR66" s="983">
        <v>3</v>
      </c>
      <c r="AS66" s="983">
        <v>3.2</v>
      </c>
      <c r="AT66" s="983">
        <v>3.4</v>
      </c>
      <c r="AU66" s="983">
        <v>3.6</v>
      </c>
      <c r="AV66" s="983">
        <v>3.8</v>
      </c>
    </row>
    <row r="67" spans="1:48" ht="15" x14ac:dyDescent="0.25">
      <c r="B67" s="238">
        <v>1500</v>
      </c>
      <c r="C67" s="85">
        <f>$C$27*B67^$C$28</f>
        <v>5501.2519810856256</v>
      </c>
      <c r="D67" s="85">
        <f>$D$27*B67^$D$28</f>
        <v>8931</v>
      </c>
      <c r="E67" s="85">
        <f>$E$27*B67^$E$28</f>
        <v>4540.3172527680945</v>
      </c>
      <c r="F67" s="258"/>
      <c r="G67" s="259">
        <f>3.3*B67+471</f>
        <v>5421</v>
      </c>
      <c r="H67" s="142">
        <v>8931</v>
      </c>
      <c r="I67" s="241"/>
      <c r="J67" s="119"/>
      <c r="L67" s="238">
        <v>4000</v>
      </c>
      <c r="M67" s="1134">
        <f>ROUND(L67/(1-('AEP Input Output sheet'!$B$19+'AEP Input Output sheet'!$B$20*1+'AEP Input Output sheet'!$B$21*1^2)),0)</f>
        <v>4435</v>
      </c>
      <c r="N67" s="219">
        <v>110</v>
      </c>
      <c r="O67" s="965">
        <v>80</v>
      </c>
      <c r="P67" s="31">
        <v>4.3</v>
      </c>
      <c r="Q67" s="966">
        <f t="shared" si="0"/>
        <v>2.4978749056041121</v>
      </c>
      <c r="R67" s="28">
        <f t="shared" si="1"/>
        <v>42.028012573031695</v>
      </c>
      <c r="S67" s="28">
        <f t="shared" si="2"/>
        <v>13.889885942565412</v>
      </c>
      <c r="T67" s="28">
        <f t="shared" si="6"/>
        <v>3049.0625</v>
      </c>
      <c r="U67" s="979">
        <f t="shared" si="3"/>
        <v>114900.53009853141</v>
      </c>
      <c r="V67" s="974">
        <f t="shared" si="4"/>
        <v>123891.44548998951</v>
      </c>
      <c r="W67" s="978"/>
      <c r="X67" s="1347"/>
      <c r="Y67">
        <v>2.5</v>
      </c>
      <c r="Z67">
        <v>4.3</v>
      </c>
      <c r="AA67">
        <v>1.05</v>
      </c>
      <c r="AB67">
        <v>52000</v>
      </c>
      <c r="AC67" s="982">
        <f t="shared" si="5"/>
        <v>3410.2581228580939</v>
      </c>
      <c r="AD67">
        <v>27.5</v>
      </c>
      <c r="AE67" s="982">
        <f t="shared" ref="AE67:AE73" si="7">AD67*AB67/1000</f>
        <v>1430</v>
      </c>
      <c r="AF67" s="14">
        <f t="shared" ref="AF67:AF73" si="8">(AE67/(Z67/2))/(PI()*Z67*AA67)</f>
        <v>46.891049189298784</v>
      </c>
      <c r="AJ67" s="983" t="s">
        <v>1236</v>
      </c>
      <c r="AK67" s="983">
        <v>2.9</v>
      </c>
      <c r="AL67" s="983">
        <v>3.3</v>
      </c>
      <c r="AM67" s="983">
        <v>3.7</v>
      </c>
      <c r="AN67" s="983">
        <v>4.0999999999999996</v>
      </c>
      <c r="AO67" s="983">
        <v>4.5</v>
      </c>
      <c r="AP67" s="983">
        <v>4.9000000000000004</v>
      </c>
      <c r="AQ67" s="983">
        <v>5.3</v>
      </c>
      <c r="AR67" s="983">
        <v>5.7</v>
      </c>
      <c r="AS67" s="983">
        <v>6.1</v>
      </c>
      <c r="AT67" s="983">
        <v>6.5</v>
      </c>
      <c r="AU67" s="983">
        <v>6.9</v>
      </c>
      <c r="AV67" s="983">
        <v>7.3</v>
      </c>
    </row>
    <row r="68" spans="1:48" ht="15" x14ac:dyDescent="0.25">
      <c r="B68" s="238">
        <v>2500</v>
      </c>
      <c r="C68" s="85">
        <f>$C$27*B68^$C$28</f>
        <v>8811.962488434925</v>
      </c>
      <c r="D68" s="85">
        <f>$D$27*B68^$D$28</f>
        <v>14305.7684423104</v>
      </c>
      <c r="E68" s="85">
        <f>$E$27*B68^$E$28</f>
        <v>7272.7272727272712</v>
      </c>
      <c r="F68" s="258"/>
      <c r="G68" s="259">
        <f>3.3*B68+471</f>
        <v>8721</v>
      </c>
      <c r="H68" s="142"/>
      <c r="I68" s="260">
        <f>4000*4/2.2</f>
        <v>7272.7272727272721</v>
      </c>
      <c r="J68" s="119"/>
      <c r="L68" s="238">
        <v>5000</v>
      </c>
      <c r="M68" s="1134">
        <f>ROUND(L68/(1-('AEP Input Output sheet'!$B$19+'AEP Input Output sheet'!$B$20*1+'AEP Input Output sheet'!$B$21*1^2)),0)</f>
        <v>5543</v>
      </c>
      <c r="N68" s="219">
        <v>120</v>
      </c>
      <c r="O68" s="965">
        <v>80</v>
      </c>
      <c r="P68" s="31">
        <v>4.3</v>
      </c>
      <c r="Q68" s="966">
        <f t="shared" si="0"/>
        <v>3.4057322378018471</v>
      </c>
      <c r="R68" s="28">
        <f t="shared" si="1"/>
        <v>42.028012573031695</v>
      </c>
      <c r="S68" s="28">
        <f t="shared" si="2"/>
        <v>12.732395447351628</v>
      </c>
      <c r="T68" s="28">
        <f t="shared" si="6"/>
        <v>4157.25</v>
      </c>
      <c r="U68" s="979">
        <f t="shared" si="3"/>
        <v>156661.34385638853</v>
      </c>
      <c r="V68" s="974">
        <f t="shared" si="4"/>
        <v>168920.02435609594</v>
      </c>
      <c r="W68" s="978"/>
      <c r="X68" s="1347"/>
      <c r="Y68">
        <v>3</v>
      </c>
      <c r="Z68">
        <v>4.3</v>
      </c>
      <c r="AA68">
        <v>1.35</v>
      </c>
      <c r="AB68">
        <v>67500</v>
      </c>
      <c r="AC68" s="982">
        <f t="shared" si="5"/>
        <v>3443.0490663471141</v>
      </c>
      <c r="AD68">
        <v>27.5</v>
      </c>
      <c r="AE68" s="982">
        <f t="shared" si="7"/>
        <v>1856.25</v>
      </c>
      <c r="AF68" s="14">
        <f t="shared" si="8"/>
        <v>47.341924662272817</v>
      </c>
      <c r="AJ68" s="983" t="s">
        <v>1237</v>
      </c>
      <c r="AK68" s="983">
        <v>76</v>
      </c>
      <c r="AL68" s="983">
        <v>86</v>
      </c>
      <c r="AM68" s="983">
        <v>96</v>
      </c>
      <c r="AN68" s="983">
        <v>108</v>
      </c>
      <c r="AO68" s="983">
        <v>118</v>
      </c>
      <c r="AP68" s="983">
        <v>128</v>
      </c>
      <c r="AQ68" s="983">
        <v>138</v>
      </c>
      <c r="AR68" s="983">
        <v>150</v>
      </c>
      <c r="AS68" s="983">
        <v>160</v>
      </c>
      <c r="AT68" s="983">
        <v>170</v>
      </c>
      <c r="AU68" s="983">
        <v>180</v>
      </c>
      <c r="AV68" s="983">
        <v>192</v>
      </c>
    </row>
    <row r="69" spans="1:48" ht="15" x14ac:dyDescent="0.25">
      <c r="B69" s="238">
        <v>3000</v>
      </c>
      <c r="C69" s="85">
        <f>$C$27*B69^$C$28</f>
        <v>10425.610674814252</v>
      </c>
      <c r="D69" s="85">
        <f>$D$27*B69^$D$28</f>
        <v>16925.443382142876</v>
      </c>
      <c r="E69" s="85">
        <f>$E$27*B69^$E$28</f>
        <v>8604.5104242182133</v>
      </c>
      <c r="F69" s="258"/>
      <c r="G69" s="259">
        <f>3.3*B69+471</f>
        <v>10371</v>
      </c>
      <c r="H69" s="142"/>
      <c r="I69" s="241"/>
      <c r="J69" s="119"/>
      <c r="L69" s="238">
        <v>6000</v>
      </c>
      <c r="M69" s="1134">
        <f>ROUND(L69/(1-('AEP Input Output sheet'!$B$19+'AEP Input Output sheet'!$B$20*1+'AEP Input Output sheet'!$B$21*1^2)),0)</f>
        <v>6652</v>
      </c>
      <c r="N69" s="219">
        <v>127.5</v>
      </c>
      <c r="O69" s="965">
        <v>80</v>
      </c>
      <c r="P69" s="31">
        <v>4.3</v>
      </c>
      <c r="Q69" s="966">
        <f t="shared" si="0"/>
        <v>4.3425697318643346</v>
      </c>
      <c r="R69" s="28">
        <f t="shared" si="1"/>
        <v>42.028012573031695</v>
      </c>
      <c r="S69" s="28">
        <f t="shared" si="2"/>
        <v>11.98343100927212</v>
      </c>
      <c r="T69" s="28">
        <f t="shared" si="6"/>
        <v>5300.8125</v>
      </c>
      <c r="U69" s="979">
        <f t="shared" si="3"/>
        <v>199755.22515623132</v>
      </c>
      <c r="V69" s="974">
        <f t="shared" si="4"/>
        <v>215385.98270662045</v>
      </c>
      <c r="W69" s="978"/>
      <c r="X69" s="1347"/>
      <c r="Y69">
        <v>3.5</v>
      </c>
      <c r="Z69">
        <v>4.3</v>
      </c>
      <c r="AA69">
        <v>1.6</v>
      </c>
      <c r="AB69">
        <v>80000</v>
      </c>
      <c r="AC69" s="982">
        <f t="shared" si="5"/>
        <v>3443.0490663471141</v>
      </c>
      <c r="AD69">
        <v>27.5</v>
      </c>
      <c r="AE69" s="982">
        <f t="shared" si="7"/>
        <v>2200</v>
      </c>
      <c r="AF69" s="14">
        <f t="shared" si="8"/>
        <v>47.341924662272817</v>
      </c>
      <c r="AJ69" s="983" t="s">
        <v>1238</v>
      </c>
      <c r="AK69" s="983">
        <v>13</v>
      </c>
      <c r="AL69" s="983">
        <v>14.7</v>
      </c>
      <c r="AM69" s="983">
        <v>16.399999999999999</v>
      </c>
      <c r="AN69" s="983">
        <v>18.5</v>
      </c>
      <c r="AO69" s="983">
        <v>20.2</v>
      </c>
      <c r="AP69" s="983">
        <v>21.9</v>
      </c>
      <c r="AQ69" s="983">
        <v>23.6</v>
      </c>
      <c r="AR69" s="983">
        <v>25.6</v>
      </c>
      <c r="AS69" s="983">
        <v>27.3</v>
      </c>
      <c r="AT69" s="983">
        <v>29</v>
      </c>
      <c r="AU69" s="983">
        <v>30.8</v>
      </c>
      <c r="AV69" s="983">
        <v>32.799999999999997</v>
      </c>
    </row>
    <row r="70" spans="1:48" ht="15" x14ac:dyDescent="0.25">
      <c r="B70" s="238">
        <v>5000</v>
      </c>
      <c r="C70" s="85">
        <f>$C$27*B70^$C$28</f>
        <v>16699.851324999709</v>
      </c>
      <c r="D70" s="85">
        <f>$D$27*B70^$D$28</f>
        <v>27111.350779125667</v>
      </c>
      <c r="E70" s="85">
        <f>$E$27*B70^$E$28</f>
        <v>13782.794053108497</v>
      </c>
      <c r="F70" s="258"/>
      <c r="G70" s="259">
        <f>3.3*B70+471</f>
        <v>16971</v>
      </c>
      <c r="H70" s="142"/>
      <c r="I70" s="241"/>
      <c r="J70" s="119"/>
      <c r="L70" s="238">
        <v>7000</v>
      </c>
      <c r="M70" s="1134">
        <f>ROUND(L70/(1-('AEP Input Output sheet'!$B$19+'AEP Input Output sheet'!$B$20*1+'AEP Input Output sheet'!$B$21*1^2)),0)</f>
        <v>7760</v>
      </c>
      <c r="N70" s="219">
        <v>133</v>
      </c>
      <c r="O70" s="965">
        <v>85</v>
      </c>
      <c r="P70" s="31">
        <v>4.3</v>
      </c>
      <c r="Q70" s="966">
        <f t="shared" si="0"/>
        <v>4.9735764635000237</v>
      </c>
      <c r="R70" s="28">
        <f t="shared" si="1"/>
        <v>42.028012573031695</v>
      </c>
      <c r="S70" s="28">
        <f t="shared" si="2"/>
        <v>12.205867816070169</v>
      </c>
      <c r="T70" s="28">
        <f t="shared" si="6"/>
        <v>6071.0588235294117</v>
      </c>
      <c r="U70" s="979">
        <f t="shared" si="3"/>
        <v>228781.10143130747</v>
      </c>
      <c r="V70" s="974">
        <f t="shared" si="4"/>
        <v>246683.12089431225</v>
      </c>
      <c r="W70" s="978"/>
      <c r="X70" s="1347"/>
      <c r="Y70">
        <v>4</v>
      </c>
      <c r="Z70">
        <v>4.5999999999999996</v>
      </c>
      <c r="AA70">
        <v>1.66</v>
      </c>
      <c r="AB70">
        <v>88000</v>
      </c>
      <c r="AC70" s="982">
        <f t="shared" si="5"/>
        <v>3189.8410258243089</v>
      </c>
      <c r="AD70">
        <v>30</v>
      </c>
      <c r="AE70" s="982">
        <f t="shared" si="7"/>
        <v>2640</v>
      </c>
      <c r="AF70" s="14">
        <f t="shared" si="8"/>
        <v>47.847615387364634</v>
      </c>
      <c r="AJ70" s="983" t="s">
        <v>1239</v>
      </c>
      <c r="AK70" s="983">
        <v>39.47</v>
      </c>
      <c r="AL70" s="983">
        <v>34.880000000000003</v>
      </c>
      <c r="AM70" s="983">
        <v>31.25</v>
      </c>
      <c r="AN70" s="983">
        <v>27.78</v>
      </c>
      <c r="AO70" s="983">
        <v>25.42</v>
      </c>
      <c r="AP70" s="983">
        <v>23.44</v>
      </c>
      <c r="AQ70" s="983">
        <v>21.74</v>
      </c>
      <c r="AR70" s="983">
        <v>20</v>
      </c>
      <c r="AS70" s="983">
        <v>18.75</v>
      </c>
      <c r="AT70" s="983">
        <v>17.649999999999999</v>
      </c>
      <c r="AU70" s="983">
        <v>16.670000000000002</v>
      </c>
      <c r="AV70" s="983">
        <v>15.63</v>
      </c>
    </row>
    <row r="71" spans="1:48" ht="15.75" thickBot="1" x14ac:dyDescent="0.3">
      <c r="A71" s="1142"/>
      <c r="B71" s="242"/>
      <c r="C71" s="243"/>
      <c r="D71" s="243"/>
      <c r="E71" s="243"/>
      <c r="F71" s="244"/>
      <c r="G71" s="245"/>
      <c r="H71" s="246"/>
      <c r="I71" s="247"/>
      <c r="J71" s="119"/>
      <c r="L71" s="238">
        <v>8000</v>
      </c>
      <c r="M71" s="1134">
        <f>ROUND(L71/(1-('AEP Input Output sheet'!$B$19+'AEP Input Output sheet'!$B$20*1+'AEP Input Output sheet'!$B$21*1^2)),0)</f>
        <v>8869</v>
      </c>
      <c r="N71" s="219">
        <v>138</v>
      </c>
      <c r="O71" s="965">
        <v>90</v>
      </c>
      <c r="P71" s="31">
        <v>4.3</v>
      </c>
      <c r="Q71" s="966">
        <f t="shared" si="0"/>
        <v>5.5703898971073462</v>
      </c>
      <c r="R71" s="28">
        <f t="shared" si="1"/>
        <v>42.028012573031695</v>
      </c>
      <c r="S71" s="28">
        <f t="shared" si="2"/>
        <v>12.455604241974418</v>
      </c>
      <c r="T71" s="28">
        <f t="shared" si="6"/>
        <v>6799.5666666666666</v>
      </c>
      <c r="U71" s="979">
        <f t="shared" si="3"/>
        <v>256234.10948129278</v>
      </c>
      <c r="V71" s="974">
        <f t="shared" si="4"/>
        <v>276284.31461765146</v>
      </c>
      <c r="W71" s="978"/>
      <c r="X71" s="1347"/>
      <c r="Y71">
        <v>5</v>
      </c>
      <c r="Z71">
        <v>5.2</v>
      </c>
      <c r="AA71">
        <v>1.65</v>
      </c>
      <c r="AB71">
        <v>105000</v>
      </c>
      <c r="AC71" s="982">
        <f t="shared" si="5"/>
        <v>2996.4620808049153</v>
      </c>
      <c r="AD71">
        <v>32.5</v>
      </c>
      <c r="AE71" s="982">
        <f t="shared" si="7"/>
        <v>3412.5</v>
      </c>
      <c r="AF71" s="14">
        <f t="shared" si="8"/>
        <v>48.692508813079876</v>
      </c>
      <c r="AJ71" s="983" t="s">
        <v>1240</v>
      </c>
      <c r="AK71" s="983">
        <v>0.17</v>
      </c>
      <c r="AL71" s="983">
        <v>0.19</v>
      </c>
      <c r="AM71" s="983">
        <v>0.21</v>
      </c>
      <c r="AN71" s="983">
        <v>0.24</v>
      </c>
      <c r="AO71" s="983">
        <v>0.26</v>
      </c>
      <c r="AP71" s="983">
        <v>0.28999999999999998</v>
      </c>
      <c r="AQ71" s="983">
        <v>0.31</v>
      </c>
      <c r="AR71" s="983">
        <v>0.33</v>
      </c>
      <c r="AS71" s="983">
        <v>0.36</v>
      </c>
      <c r="AT71" s="983">
        <v>0.38</v>
      </c>
      <c r="AU71" s="983">
        <v>0.4</v>
      </c>
      <c r="AV71" s="983">
        <v>0.43</v>
      </c>
    </row>
    <row r="72" spans="1:48" ht="15" x14ac:dyDescent="0.25">
      <c r="A72" s="1143"/>
      <c r="L72" s="238">
        <v>9000</v>
      </c>
      <c r="M72" s="1134">
        <f>ROUND(L72/(1-('AEP Input Output sheet'!$B$19+'AEP Input Output sheet'!$B$20*1+'AEP Input Output sheet'!$B$21*1^2)),0)</f>
        <v>9978</v>
      </c>
      <c r="N72" s="219">
        <v>144</v>
      </c>
      <c r="O72" s="965">
        <v>90</v>
      </c>
      <c r="P72" s="31">
        <v>4.3</v>
      </c>
      <c r="Q72" s="966">
        <f t="shared" si="0"/>
        <v>6.5393991256309985</v>
      </c>
      <c r="R72" s="28">
        <f t="shared" si="1"/>
        <v>42.028012573031695</v>
      </c>
      <c r="S72" s="28">
        <f t="shared" si="2"/>
        <v>11.93662073189215</v>
      </c>
      <c r="T72" s="28">
        <f t="shared" si="6"/>
        <v>7982.4000000000015</v>
      </c>
      <c r="U72" s="979">
        <f t="shared" si="3"/>
        <v>300807.86847056012</v>
      </c>
      <c r="V72" s="974">
        <f t="shared" si="4"/>
        <v>324345.95042879321</v>
      </c>
      <c r="W72" s="978"/>
      <c r="X72" s="1347"/>
      <c r="Y72">
        <v>6</v>
      </c>
      <c r="Z72">
        <v>5.8</v>
      </c>
      <c r="AA72">
        <v>1.61</v>
      </c>
      <c r="AB72">
        <v>116000</v>
      </c>
      <c r="AC72" s="982">
        <f t="shared" si="5"/>
        <v>2727.0069495291555</v>
      </c>
      <c r="AD72">
        <v>36</v>
      </c>
      <c r="AE72" s="982">
        <f t="shared" si="7"/>
        <v>4176</v>
      </c>
      <c r="AF72" s="14">
        <f t="shared" si="8"/>
        <v>49.086125091524799</v>
      </c>
      <c r="AJ72" s="983" t="s">
        <v>1241</v>
      </c>
      <c r="AK72" s="983">
        <v>0.74</v>
      </c>
      <c r="AL72" s="983">
        <v>0.65</v>
      </c>
      <c r="AM72" s="983">
        <v>0.57999999999999996</v>
      </c>
      <c r="AN72" s="983">
        <v>0.52</v>
      </c>
      <c r="AO72" s="983">
        <v>0.47</v>
      </c>
      <c r="AP72" s="983">
        <v>0.44</v>
      </c>
      <c r="AQ72" s="983">
        <v>0.41</v>
      </c>
      <c r="AR72" s="983">
        <v>0.37</v>
      </c>
      <c r="AS72" s="983">
        <v>0.35</v>
      </c>
      <c r="AT72" s="983">
        <v>0.33</v>
      </c>
      <c r="AU72" s="983">
        <v>0.31</v>
      </c>
      <c r="AV72" s="983">
        <v>0.28999999999999998</v>
      </c>
    </row>
    <row r="73" spans="1:48" ht="15" x14ac:dyDescent="0.25">
      <c r="A73" s="1143"/>
      <c r="L73" s="238">
        <v>10000</v>
      </c>
      <c r="M73" s="1134">
        <f>ROUND(L73/(1-('AEP Input Output sheet'!$B$19+'AEP Input Output sheet'!$B$20*1+'AEP Input Output sheet'!$B$21*1^2)),0)</f>
        <v>11086</v>
      </c>
      <c r="N73" s="219">
        <v>149</v>
      </c>
      <c r="O73" s="965">
        <v>90</v>
      </c>
      <c r="P73" s="31">
        <v>4.3</v>
      </c>
      <c r="Q73" s="966">
        <f t="shared" si="0"/>
        <v>7.5178385693700038</v>
      </c>
      <c r="R73" s="28">
        <f t="shared" si="1"/>
        <v>42.028012573031695</v>
      </c>
      <c r="S73" s="28">
        <f t="shared" si="2"/>
        <v>11.536062989211207</v>
      </c>
      <c r="T73" s="28">
        <f t="shared" si="6"/>
        <v>9176.7444444444445</v>
      </c>
      <c r="U73" s="979">
        <f t="shared" si="3"/>
        <v>345815.41088299104</v>
      </c>
      <c r="V73" s="974">
        <f t="shared" si="4"/>
        <v>372875.31302308588</v>
      </c>
      <c r="W73" s="978"/>
      <c r="X73" s="1347"/>
      <c r="Y73">
        <v>7</v>
      </c>
      <c r="Z73">
        <v>6.2</v>
      </c>
      <c r="AA73">
        <v>1.65</v>
      </c>
      <c r="AB73">
        <v>129000</v>
      </c>
      <c r="AC73" s="982">
        <f t="shared" si="5"/>
        <v>2589.5989226947304</v>
      </c>
      <c r="AD73">
        <v>39</v>
      </c>
      <c r="AE73" s="982">
        <f t="shared" si="7"/>
        <v>5031</v>
      </c>
      <c r="AF73" s="14">
        <f t="shared" si="8"/>
        <v>50.497178992547241</v>
      </c>
      <c r="AJ73" s="983" t="s">
        <v>1242</v>
      </c>
      <c r="AK73" s="983">
        <v>0.24</v>
      </c>
      <c r="AL73" s="983">
        <v>0.26</v>
      </c>
      <c r="AM73" s="983">
        <v>0.28000000000000003</v>
      </c>
      <c r="AN73" s="983">
        <v>0.3</v>
      </c>
      <c r="AO73" s="983">
        <v>0.32</v>
      </c>
      <c r="AP73" s="983">
        <v>0.34</v>
      </c>
      <c r="AQ73" s="983">
        <v>0.36</v>
      </c>
      <c r="AR73" s="983">
        <v>0.38</v>
      </c>
      <c r="AS73" s="983">
        <v>0.4</v>
      </c>
      <c r="AT73" s="983">
        <v>0.42</v>
      </c>
      <c r="AU73" s="983">
        <v>0.44</v>
      </c>
      <c r="AV73" s="983">
        <v>0.47</v>
      </c>
    </row>
    <row r="74" spans="1:48" ht="15.75" customHeight="1" thickBot="1" x14ac:dyDescent="0.3">
      <c r="L74" s="242">
        <v>11000</v>
      </c>
      <c r="M74" s="1141">
        <f>ROUND(L74/(1-('AEP Input Output sheet'!$B$19+'AEP Input Output sheet'!$B$20*1+'AEP Input Output sheet'!$B$21*1^2)),0)</f>
        <v>12195</v>
      </c>
      <c r="N74" s="972">
        <v>155</v>
      </c>
      <c r="O74" s="967">
        <v>90</v>
      </c>
      <c r="P74" s="243">
        <v>4.3</v>
      </c>
      <c r="Q74" s="968">
        <f t="shared" si="0"/>
        <v>8.602909534479922</v>
      </c>
      <c r="R74" s="977">
        <f t="shared" si="1"/>
        <v>42.028012573031695</v>
      </c>
      <c r="S74" s="243">
        <f t="shared" si="2"/>
        <v>11.089505712209482</v>
      </c>
      <c r="T74" s="243">
        <f>M74/(S74*(PI()/30))</f>
        <v>10501.250000000002</v>
      </c>
      <c r="U74" s="980">
        <f t="shared" si="3"/>
        <v>395727.93004315364</v>
      </c>
      <c r="V74" s="975">
        <f t="shared" si="4"/>
        <v>426693.46461469791</v>
      </c>
      <c r="W74" s="978"/>
      <c r="X74" s="1347" t="s">
        <v>1310</v>
      </c>
      <c r="Y74">
        <v>1.5</v>
      </c>
      <c r="Z74" s="982">
        <v>3.1943000000000001</v>
      </c>
      <c r="AA74" s="14">
        <f>AE74/(2*PI()*AF74*(Z74/2)^2)</f>
        <v>1.305591744266192</v>
      </c>
      <c r="AB74">
        <v>34067</v>
      </c>
      <c r="AC74" s="982">
        <f t="shared" si="5"/>
        <v>3256.0061084259924</v>
      </c>
      <c r="AD74" s="982">
        <f>(AE74*1000)/AB74</f>
        <v>20.509789532392052</v>
      </c>
      <c r="AE74" s="982">
        <v>698.70699999999999</v>
      </c>
      <c r="AF74" s="14">
        <v>33.39</v>
      </c>
      <c r="AG74">
        <v>362325</v>
      </c>
      <c r="AJ74" s="987" t="s">
        <v>1243</v>
      </c>
      <c r="AK74" s="987">
        <v>2.9039999999999999</v>
      </c>
      <c r="AL74" s="987">
        <v>3.286</v>
      </c>
      <c r="AM74" s="987">
        <v>3.669</v>
      </c>
      <c r="AN74" s="987">
        <v>4.1269999999999998</v>
      </c>
      <c r="AO74" s="987">
        <v>4.5090000000000003</v>
      </c>
      <c r="AP74" s="987">
        <v>4.891</v>
      </c>
      <c r="AQ74" s="987">
        <v>5.274</v>
      </c>
      <c r="AR74" s="987">
        <v>5.7320000000000002</v>
      </c>
      <c r="AS74" s="987">
        <v>6.1139999999999999</v>
      </c>
      <c r="AT74" s="987">
        <v>6.4960000000000004</v>
      </c>
      <c r="AU74" s="987">
        <v>6.8789999999999996</v>
      </c>
      <c r="AV74" s="987">
        <v>7.3369999999999997</v>
      </c>
    </row>
    <row r="75" spans="1:48" ht="15" x14ac:dyDescent="0.25">
      <c r="L75" s="141"/>
      <c r="X75" s="1347"/>
      <c r="Y75">
        <v>1.5</v>
      </c>
      <c r="Z75" s="982">
        <v>3.5764</v>
      </c>
      <c r="AA75" s="14">
        <f t="shared" ref="AA75:AA85" si="9">AE75/(2*PI()*AF75*(Z75/2)^2)</f>
        <v>1.0007560767379213</v>
      </c>
      <c r="AB75">
        <v>29658</v>
      </c>
      <c r="AC75" s="982">
        <f t="shared" si="5"/>
        <v>2950.0649056042084</v>
      </c>
      <c r="AD75" s="982">
        <f t="shared" ref="AD75:AD85" si="10">(AE75*1000)/AB75</f>
        <v>23.558803695461595</v>
      </c>
      <c r="AE75" s="982">
        <v>698.70699999999999</v>
      </c>
      <c r="AF75" s="14">
        <v>34.75</v>
      </c>
      <c r="AG75">
        <v>312792</v>
      </c>
      <c r="AJ75" s="987" t="s">
        <v>1244</v>
      </c>
      <c r="AK75" s="987">
        <v>1579.4</v>
      </c>
      <c r="AL75" s="987">
        <v>1185.2</v>
      </c>
      <c r="AM75" s="987">
        <v>921.4</v>
      </c>
      <c r="AN75" s="987">
        <v>706.5</v>
      </c>
      <c r="AO75" s="987">
        <v>580.20000000000005</v>
      </c>
      <c r="AP75" s="987">
        <v>485.1</v>
      </c>
      <c r="AQ75" s="987">
        <v>411.8</v>
      </c>
      <c r="AR75" s="987">
        <v>344</v>
      </c>
      <c r="AS75" s="987">
        <v>299.7</v>
      </c>
      <c r="AT75" s="987">
        <v>263.60000000000002</v>
      </c>
      <c r="AU75" s="987">
        <v>233.8</v>
      </c>
      <c r="AV75" s="987">
        <v>204.3</v>
      </c>
    </row>
    <row r="76" spans="1:48" ht="15" customHeight="1" x14ac:dyDescent="0.25">
      <c r="X76" s="1347"/>
      <c r="Y76">
        <v>1.5</v>
      </c>
      <c r="Z76" s="982">
        <v>3.9586000000000001</v>
      </c>
      <c r="AA76" s="14">
        <f t="shared" si="9"/>
        <v>0.79133541054822887</v>
      </c>
      <c r="AB76">
        <v>27251</v>
      </c>
      <c r="AC76" s="982">
        <f t="shared" si="5"/>
        <v>2798.0065177535075</v>
      </c>
      <c r="AD76" s="982">
        <f t="shared" si="10"/>
        <v>25.639682947414773</v>
      </c>
      <c r="AE76" s="982">
        <v>698.70699999999999</v>
      </c>
      <c r="AF76" s="14">
        <v>35.869999999999997</v>
      </c>
      <c r="AG76">
        <v>276361</v>
      </c>
      <c r="AJ76" s="987" t="s">
        <v>1245</v>
      </c>
      <c r="AK76" s="987">
        <v>14.410600000000001</v>
      </c>
      <c r="AL76" s="987">
        <v>12.237</v>
      </c>
      <c r="AM76" s="987">
        <v>10.62</v>
      </c>
      <c r="AN76" s="987">
        <v>9.1609999999999996</v>
      </c>
      <c r="AO76" s="987">
        <v>8.2189999999999994</v>
      </c>
      <c r="AP76" s="987">
        <v>7.4539999999999997</v>
      </c>
      <c r="AQ76" s="987">
        <v>6.8220000000000001</v>
      </c>
      <c r="AR76" s="987">
        <v>6.1950000000000003</v>
      </c>
      <c r="AS76" s="987">
        <v>5.7569999999999997</v>
      </c>
      <c r="AT76" s="987">
        <v>5.38</v>
      </c>
      <c r="AU76" s="987">
        <v>5.0510000000000002</v>
      </c>
      <c r="AV76" s="987">
        <v>4.7089999999999996</v>
      </c>
    </row>
    <row r="77" spans="1:48" ht="15" x14ac:dyDescent="0.25">
      <c r="X77" s="1347"/>
      <c r="Y77">
        <v>1.5</v>
      </c>
      <c r="Z77" s="982">
        <v>4.4171000000000005</v>
      </c>
      <c r="AA77" s="14">
        <f t="shared" si="9"/>
        <v>0.61683469256256962</v>
      </c>
      <c r="AB77">
        <v>26074</v>
      </c>
      <c r="AC77" s="982">
        <f t="shared" si="5"/>
        <v>2758.5097616025027</v>
      </c>
      <c r="AD77" s="982">
        <f t="shared" si="10"/>
        <v>26.797077548515762</v>
      </c>
      <c r="AE77" s="982">
        <v>698.70699999999999</v>
      </c>
      <c r="AF77" s="14">
        <v>36.96</v>
      </c>
      <c r="AG77">
        <v>243968</v>
      </c>
      <c r="AJ77" s="983" t="s">
        <v>1246</v>
      </c>
      <c r="AK77" s="983">
        <v>14.410600000000001</v>
      </c>
      <c r="AL77" s="983">
        <v>12.236599999999999</v>
      </c>
      <c r="AM77" s="983">
        <v>10.6198</v>
      </c>
      <c r="AN77" s="983">
        <v>9.1607000000000003</v>
      </c>
      <c r="AO77" s="983">
        <v>8.2190999999999992</v>
      </c>
      <c r="AP77" s="983">
        <v>7.4543999999999997</v>
      </c>
      <c r="AQ77" s="983">
        <v>6.8221999999999996</v>
      </c>
      <c r="AR77" s="983">
        <v>6.1952999999999996</v>
      </c>
      <c r="AS77" s="983">
        <v>5.7575000000000003</v>
      </c>
      <c r="AT77" s="983">
        <v>5.38</v>
      </c>
      <c r="AU77" s="983">
        <v>5.0513000000000003</v>
      </c>
      <c r="AV77" s="983">
        <v>4.7091000000000003</v>
      </c>
    </row>
    <row r="78" spans="1:48" ht="15" x14ac:dyDescent="0.25">
      <c r="X78" s="1347"/>
      <c r="Y78">
        <v>1.5</v>
      </c>
      <c r="Z78" s="982">
        <v>4.7993000000000006</v>
      </c>
      <c r="AA78" s="14">
        <f t="shared" si="9"/>
        <v>0.51224540428896626</v>
      </c>
      <c r="AB78">
        <v>25977</v>
      </c>
      <c r="AC78" s="982">
        <f t="shared" si="5"/>
        <v>2803.2720439325785</v>
      </c>
      <c r="AD78" s="982">
        <f t="shared" si="10"/>
        <v>26.897139777495475</v>
      </c>
      <c r="AE78" s="982">
        <v>698.70699999999999</v>
      </c>
      <c r="AF78" s="14">
        <v>37.699999999999996</v>
      </c>
      <c r="AG78">
        <v>223437</v>
      </c>
      <c r="AJ78" s="987" t="s">
        <v>1247</v>
      </c>
      <c r="AK78" s="987">
        <v>3194.3</v>
      </c>
      <c r="AL78" s="987">
        <v>3576.4</v>
      </c>
      <c r="AM78" s="987">
        <v>3958.6</v>
      </c>
      <c r="AN78" s="987">
        <v>4417.1000000000004</v>
      </c>
      <c r="AO78" s="987">
        <v>4799.3</v>
      </c>
      <c r="AP78" s="987">
        <v>5181.3999999999996</v>
      </c>
      <c r="AQ78" s="987">
        <v>5563.6</v>
      </c>
      <c r="AR78" s="987">
        <v>6022.1</v>
      </c>
      <c r="AS78" s="987">
        <v>6404.3</v>
      </c>
      <c r="AT78" s="987">
        <v>6786.4</v>
      </c>
      <c r="AU78" s="987">
        <v>7168.6</v>
      </c>
      <c r="AV78" s="987">
        <v>7627.1</v>
      </c>
    </row>
    <row r="79" spans="1:48" ht="15" x14ac:dyDescent="0.25">
      <c r="X79" s="1347"/>
      <c r="Y79">
        <v>1.5</v>
      </c>
      <c r="Z79" s="982">
        <v>5.1814</v>
      </c>
      <c r="AA79" s="14">
        <f t="shared" si="9"/>
        <v>0.43236992282159009</v>
      </c>
      <c r="AB79">
        <v>26421</v>
      </c>
      <c r="AC79" s="982">
        <f t="shared" si="5"/>
        <v>2898.0752160776974</v>
      </c>
      <c r="AD79" s="982">
        <f t="shared" si="10"/>
        <v>26.445138336928959</v>
      </c>
      <c r="AE79" s="982">
        <v>698.70699999999999</v>
      </c>
      <c r="AF79" s="14">
        <v>38.32</v>
      </c>
      <c r="AG79">
        <v>207081</v>
      </c>
      <c r="AJ79" s="987" t="s">
        <v>1248</v>
      </c>
      <c r="AK79" s="988">
        <v>698707</v>
      </c>
      <c r="AL79" s="988">
        <v>698707</v>
      </c>
      <c r="AM79" s="988">
        <v>698707</v>
      </c>
      <c r="AN79" s="988">
        <v>698707</v>
      </c>
      <c r="AO79" s="988">
        <v>698707</v>
      </c>
      <c r="AP79" s="988">
        <v>698707</v>
      </c>
      <c r="AQ79" s="988">
        <v>698707</v>
      </c>
      <c r="AR79" s="988">
        <v>698707</v>
      </c>
      <c r="AS79" s="988">
        <v>698707</v>
      </c>
      <c r="AT79" s="988">
        <v>698707</v>
      </c>
      <c r="AU79" s="988">
        <v>698707</v>
      </c>
      <c r="AV79" s="988">
        <v>698707</v>
      </c>
    </row>
    <row r="80" spans="1:48" ht="15" x14ac:dyDescent="0.25">
      <c r="X80" s="1347"/>
      <c r="Y80">
        <v>1.5</v>
      </c>
      <c r="Z80" s="982">
        <v>5.5636000000000001</v>
      </c>
      <c r="AA80" s="14">
        <f t="shared" si="9"/>
        <v>0.36998506978145079</v>
      </c>
      <c r="AB80">
        <v>27267</v>
      </c>
      <c r="AC80" s="982">
        <f t="shared" si="5"/>
        <v>3031.4574778841484</v>
      </c>
      <c r="AD80" s="982">
        <f t="shared" si="10"/>
        <v>25.624637840613197</v>
      </c>
      <c r="AE80" s="982">
        <v>698.70699999999999</v>
      </c>
      <c r="AF80" s="14">
        <v>38.839999999999996</v>
      </c>
      <c r="AG80">
        <v>193855</v>
      </c>
      <c r="AJ80" s="987" t="s">
        <v>1249</v>
      </c>
      <c r="AK80" s="987">
        <v>3.3390000000000003E-2</v>
      </c>
      <c r="AL80" s="987">
        <v>3.4750000000000003E-2</v>
      </c>
      <c r="AM80" s="987">
        <v>3.5869999999999999E-2</v>
      </c>
      <c r="AN80" s="987">
        <v>3.696E-2</v>
      </c>
      <c r="AO80" s="987">
        <v>3.7699999999999997E-2</v>
      </c>
      <c r="AP80" s="987">
        <v>3.832E-2</v>
      </c>
      <c r="AQ80" s="987">
        <v>3.884E-2</v>
      </c>
      <c r="AR80" s="987">
        <v>3.9350000000000003E-2</v>
      </c>
      <c r="AS80" s="987">
        <v>3.9699999999999999E-2</v>
      </c>
      <c r="AT80" s="987">
        <v>3.9980000000000002E-2</v>
      </c>
      <c r="AU80" s="987">
        <v>4.0219999999999999E-2</v>
      </c>
      <c r="AV80" s="987">
        <v>4.0439999999999997E-2</v>
      </c>
    </row>
    <row r="81" spans="24:48" ht="15" x14ac:dyDescent="0.25">
      <c r="X81" s="1347"/>
      <c r="Y81">
        <v>1.5</v>
      </c>
      <c r="Z81" s="982">
        <v>6.0221</v>
      </c>
      <c r="AA81" s="14">
        <f t="shared" si="9"/>
        <v>0.31169838688474083</v>
      </c>
      <c r="AB81">
        <v>28699</v>
      </c>
      <c r="AC81" s="982">
        <f t="shared" si="5"/>
        <v>3232.5585688994106</v>
      </c>
      <c r="AD81" s="982">
        <f t="shared" si="10"/>
        <v>24.346039931704937</v>
      </c>
      <c r="AE81" s="982">
        <v>698.70699999999999</v>
      </c>
      <c r="AF81" s="14">
        <v>39.35</v>
      </c>
      <c r="AG81">
        <v>181107</v>
      </c>
      <c r="AJ81" s="983" t="s">
        <v>1250</v>
      </c>
      <c r="AK81" s="983">
        <v>764</v>
      </c>
      <c r="AL81" s="983">
        <v>764</v>
      </c>
      <c r="AM81" s="983">
        <v>764</v>
      </c>
      <c r="AN81" s="983">
        <v>764</v>
      </c>
      <c r="AO81" s="983">
        <v>764</v>
      </c>
      <c r="AP81" s="983">
        <v>764</v>
      </c>
      <c r="AQ81" s="983">
        <v>764</v>
      </c>
      <c r="AR81" s="983">
        <v>764</v>
      </c>
      <c r="AS81" s="983">
        <v>764</v>
      </c>
      <c r="AT81" s="983">
        <v>764</v>
      </c>
      <c r="AU81" s="983">
        <v>764</v>
      </c>
      <c r="AV81" s="983">
        <v>764</v>
      </c>
    </row>
    <row r="82" spans="24:48" ht="15" x14ac:dyDescent="0.25">
      <c r="X82" s="1347"/>
      <c r="Y82">
        <v>1.5</v>
      </c>
      <c r="Z82" s="982">
        <v>6.4043000000000001</v>
      </c>
      <c r="AA82" s="14">
        <f t="shared" si="9"/>
        <v>0.27317526638388973</v>
      </c>
      <c r="AB82">
        <v>30178</v>
      </c>
      <c r="AC82" s="982">
        <f t="shared" si="5"/>
        <v>3429.3819870131538</v>
      </c>
      <c r="AD82" s="982">
        <f t="shared" si="10"/>
        <v>23.152859699118562</v>
      </c>
      <c r="AE82" s="982">
        <v>698.70699999999999</v>
      </c>
      <c r="AF82" s="14">
        <v>39.699999999999996</v>
      </c>
      <c r="AG82">
        <v>172496</v>
      </c>
      <c r="AJ82" s="983" t="s">
        <v>1251</v>
      </c>
      <c r="AK82" s="983">
        <v>588</v>
      </c>
      <c r="AL82" s="983">
        <v>588</v>
      </c>
      <c r="AM82" s="983">
        <v>588</v>
      </c>
      <c r="AN82" s="983">
        <v>588</v>
      </c>
      <c r="AO82" s="983">
        <v>588</v>
      </c>
      <c r="AP82" s="983">
        <v>588</v>
      </c>
      <c r="AQ82" s="983">
        <v>588</v>
      </c>
      <c r="AR82" s="983">
        <v>588</v>
      </c>
      <c r="AS82" s="983">
        <v>588</v>
      </c>
      <c r="AT82" s="983">
        <v>588</v>
      </c>
      <c r="AU82" s="983">
        <v>588</v>
      </c>
      <c r="AV82" s="983">
        <v>588</v>
      </c>
    </row>
    <row r="83" spans="24:48" ht="15" x14ac:dyDescent="0.25">
      <c r="X83" s="1347"/>
      <c r="Y83">
        <v>1.5</v>
      </c>
      <c r="Z83" s="982">
        <v>6.7863999999999995</v>
      </c>
      <c r="AA83" s="14">
        <f t="shared" si="9"/>
        <v>0.24157585175303389</v>
      </c>
      <c r="AB83">
        <v>31883</v>
      </c>
      <c r="AC83" s="982">
        <f t="shared" si="5"/>
        <v>3648.6891930379975</v>
      </c>
      <c r="AD83" s="982">
        <f t="shared" si="10"/>
        <v>21.914719442963335</v>
      </c>
      <c r="AE83" s="982">
        <v>698.70699999999999</v>
      </c>
      <c r="AF83" s="14">
        <v>39.980000000000004</v>
      </c>
      <c r="AG83">
        <v>165326</v>
      </c>
      <c r="AJ83" s="983" t="s">
        <v>1252</v>
      </c>
      <c r="AK83" s="983">
        <v>3274</v>
      </c>
      <c r="AL83" s="983">
        <v>3656</v>
      </c>
      <c r="AM83" s="983">
        <v>4039</v>
      </c>
      <c r="AN83" s="983">
        <v>4497</v>
      </c>
      <c r="AO83" s="983">
        <v>4879</v>
      </c>
      <c r="AP83" s="983">
        <v>5261</v>
      </c>
      <c r="AQ83" s="983">
        <v>5644</v>
      </c>
      <c r="AR83" s="983">
        <v>6102</v>
      </c>
      <c r="AS83" s="983">
        <v>6484</v>
      </c>
      <c r="AT83" s="983">
        <v>6866</v>
      </c>
      <c r="AU83" s="983">
        <v>7249</v>
      </c>
      <c r="AV83" s="983">
        <v>7707</v>
      </c>
    </row>
    <row r="84" spans="24:48" ht="15" x14ac:dyDescent="0.25">
      <c r="X84" s="1347"/>
      <c r="Y84">
        <v>1.5</v>
      </c>
      <c r="Z84" s="982">
        <v>7.1686000000000005</v>
      </c>
      <c r="AA84" s="14">
        <f t="shared" si="9"/>
        <v>0.21521099487498763</v>
      </c>
      <c r="AB84">
        <v>33793</v>
      </c>
      <c r="AC84" s="982">
        <f t="shared" si="5"/>
        <v>3890.4847382379162</v>
      </c>
      <c r="AD84" s="982">
        <f t="shared" si="10"/>
        <v>20.676086763530908</v>
      </c>
      <c r="AE84" s="982">
        <v>698.70699999999999</v>
      </c>
      <c r="AF84" s="14">
        <v>40.22</v>
      </c>
      <c r="AG84">
        <v>159330</v>
      </c>
      <c r="AJ84" s="983" t="s">
        <v>1253</v>
      </c>
      <c r="AK84" s="983">
        <v>32</v>
      </c>
      <c r="AL84" s="983">
        <v>32</v>
      </c>
      <c r="AM84" s="983">
        <v>32</v>
      </c>
      <c r="AN84" s="983">
        <v>32</v>
      </c>
      <c r="AO84" s="983">
        <v>32</v>
      </c>
      <c r="AP84" s="983">
        <v>32</v>
      </c>
      <c r="AQ84" s="983">
        <v>32</v>
      </c>
      <c r="AR84" s="983">
        <v>32</v>
      </c>
      <c r="AS84" s="983">
        <v>32</v>
      </c>
      <c r="AT84" s="983">
        <v>32</v>
      </c>
      <c r="AU84" s="983">
        <v>32</v>
      </c>
      <c r="AV84" s="983">
        <v>32</v>
      </c>
    </row>
    <row r="85" spans="24:48" ht="15" x14ac:dyDescent="0.25">
      <c r="X85" s="1347"/>
      <c r="Y85">
        <v>1.5</v>
      </c>
      <c r="Z85" s="982">
        <v>7.6271000000000004</v>
      </c>
      <c r="AA85" s="14">
        <f t="shared" si="9"/>
        <v>0.18907982394904582</v>
      </c>
      <c r="AB85">
        <v>36335</v>
      </c>
      <c r="AC85" s="982">
        <f t="shared" si="5"/>
        <v>4206.0188319281187</v>
      </c>
      <c r="AD85" s="982">
        <f t="shared" si="10"/>
        <v>19.229585798816569</v>
      </c>
      <c r="AE85" s="982">
        <v>698.70699999999999</v>
      </c>
      <c r="AF85" s="14">
        <v>40.44</v>
      </c>
      <c r="AG85">
        <v>153398</v>
      </c>
      <c r="AJ85" s="983" t="s">
        <v>1254</v>
      </c>
      <c r="AK85" s="983">
        <v>2323</v>
      </c>
      <c r="AL85" s="983">
        <v>2629</v>
      </c>
      <c r="AM85" s="983">
        <v>2935</v>
      </c>
      <c r="AN85" s="983">
        <v>3302</v>
      </c>
      <c r="AO85" s="983">
        <v>3607</v>
      </c>
      <c r="AP85" s="983">
        <v>3913</v>
      </c>
      <c r="AQ85" s="983">
        <v>4219</v>
      </c>
      <c r="AR85" s="983">
        <v>4586</v>
      </c>
      <c r="AS85" s="983">
        <v>4891</v>
      </c>
      <c r="AT85" s="983">
        <v>5197</v>
      </c>
      <c r="AU85" s="983">
        <v>5503</v>
      </c>
      <c r="AV85" s="983">
        <v>5870</v>
      </c>
    </row>
    <row r="86" spans="24:48" ht="15" x14ac:dyDescent="0.25">
      <c r="AJ86" s="983" t="s">
        <v>1255</v>
      </c>
      <c r="AK86" s="983">
        <v>2824</v>
      </c>
      <c r="AL86" s="983">
        <v>3206</v>
      </c>
      <c r="AM86" s="983">
        <v>3589</v>
      </c>
      <c r="AN86" s="983">
        <v>4047</v>
      </c>
      <c r="AO86" s="983">
        <v>4429</v>
      </c>
      <c r="AP86" s="983">
        <v>4811</v>
      </c>
      <c r="AQ86" s="983">
        <v>5194</v>
      </c>
      <c r="AR86" s="983">
        <v>5652</v>
      </c>
      <c r="AS86" s="983">
        <v>6034</v>
      </c>
      <c r="AT86" s="983">
        <v>6416</v>
      </c>
      <c r="AU86" s="983">
        <v>6799</v>
      </c>
      <c r="AV86" s="983">
        <v>7257</v>
      </c>
    </row>
    <row r="87" spans="24:48" ht="15" x14ac:dyDescent="0.25">
      <c r="AB87" s="973" t="s">
        <v>1218</v>
      </c>
      <c r="AC87" s="982">
        <f>AVERAGE(AC69:AC85)</f>
        <v>3167.5578467998507</v>
      </c>
      <c r="AF87" s="67">
        <f>AVERAGE(AF66:AF85)</f>
        <v>42.028012573031695</v>
      </c>
      <c r="AG87" s="635" t="s">
        <v>1314</v>
      </c>
      <c r="AJ87" s="983" t="s">
        <v>1256</v>
      </c>
      <c r="AK87" s="983">
        <v>2774</v>
      </c>
      <c r="AL87" s="983">
        <v>3156</v>
      </c>
      <c r="AM87" s="983">
        <v>3539</v>
      </c>
      <c r="AN87" s="983">
        <v>3997</v>
      </c>
      <c r="AO87" s="983">
        <v>4379</v>
      </c>
      <c r="AP87" s="983">
        <v>4761</v>
      </c>
      <c r="AQ87" s="983">
        <v>5144</v>
      </c>
      <c r="AR87" s="983">
        <v>5602</v>
      </c>
      <c r="AS87" s="983">
        <v>5984</v>
      </c>
      <c r="AT87" s="983">
        <v>6366</v>
      </c>
      <c r="AU87" s="983">
        <v>6749</v>
      </c>
      <c r="AV87" s="983">
        <v>7207</v>
      </c>
    </row>
    <row r="88" spans="24:48" ht="15" x14ac:dyDescent="0.25">
      <c r="AF88">
        <f>AF87/6.894757293</f>
        <v>6.0956478650381545</v>
      </c>
      <c r="AG88" t="s">
        <v>1313</v>
      </c>
      <c r="AJ88" s="983" t="s">
        <v>1257</v>
      </c>
      <c r="AK88" s="983">
        <v>2496</v>
      </c>
      <c r="AL88" s="983">
        <v>2948</v>
      </c>
      <c r="AM88" s="983">
        <v>3376</v>
      </c>
      <c r="AN88" s="983">
        <v>3873</v>
      </c>
      <c r="AO88" s="983">
        <v>4277</v>
      </c>
      <c r="AP88" s="983">
        <v>4676</v>
      </c>
      <c r="AQ88" s="983">
        <v>5071</v>
      </c>
      <c r="AR88" s="983">
        <v>5542</v>
      </c>
      <c r="AS88" s="983">
        <v>5932</v>
      </c>
      <c r="AT88" s="983">
        <v>6320</v>
      </c>
      <c r="AU88" s="983">
        <v>6707</v>
      </c>
      <c r="AV88" s="983">
        <v>7171</v>
      </c>
    </row>
    <row r="89" spans="24:48" ht="15" x14ac:dyDescent="0.25">
      <c r="AJ89" s="983" t="s">
        <v>1258</v>
      </c>
      <c r="AK89" s="983">
        <v>2.246</v>
      </c>
      <c r="AL89" s="983">
        <v>2.698</v>
      </c>
      <c r="AM89" s="983">
        <v>3.1259999999999999</v>
      </c>
      <c r="AN89" s="983">
        <v>3.6230000000000002</v>
      </c>
      <c r="AO89" s="983">
        <v>4.0270000000000001</v>
      </c>
      <c r="AP89" s="983">
        <v>4.4260000000000002</v>
      </c>
      <c r="AQ89" s="983">
        <v>4.8209999999999997</v>
      </c>
      <c r="AR89" s="983">
        <v>5.2919999999999998</v>
      </c>
      <c r="AS89" s="983">
        <v>5.6820000000000004</v>
      </c>
      <c r="AT89" s="983">
        <v>6.07</v>
      </c>
      <c r="AU89" s="983">
        <v>6.4569999999999999</v>
      </c>
      <c r="AV89" s="983">
        <v>6.9210000000000003</v>
      </c>
    </row>
    <row r="90" spans="24:48" ht="15" x14ac:dyDescent="0.25">
      <c r="AJ90" s="983" t="s">
        <v>1259</v>
      </c>
      <c r="AK90" s="983">
        <v>5</v>
      </c>
      <c r="AL90" s="983">
        <v>5</v>
      </c>
      <c r="AM90" s="983">
        <v>5</v>
      </c>
      <c r="AN90" s="983">
        <v>5</v>
      </c>
      <c r="AO90" s="983">
        <v>4</v>
      </c>
      <c r="AP90" s="983">
        <v>4</v>
      </c>
      <c r="AQ90" s="983">
        <v>4</v>
      </c>
      <c r="AR90" s="983">
        <v>4</v>
      </c>
      <c r="AS90" s="983">
        <v>4</v>
      </c>
      <c r="AT90" s="983">
        <v>3</v>
      </c>
      <c r="AU90" s="983">
        <v>3</v>
      </c>
      <c r="AV90" s="983">
        <v>2</v>
      </c>
    </row>
    <row r="91" spans="24:48" ht="15" x14ac:dyDescent="0.25">
      <c r="AJ91" s="983" t="s">
        <v>1260</v>
      </c>
      <c r="AK91" s="983">
        <v>5204</v>
      </c>
      <c r="AL91" s="983">
        <v>5204</v>
      </c>
      <c r="AM91" s="983">
        <v>5204</v>
      </c>
      <c r="AN91" s="983">
        <v>5204</v>
      </c>
      <c r="AO91" s="983">
        <v>5204</v>
      </c>
      <c r="AP91" s="983">
        <v>5204</v>
      </c>
      <c r="AQ91" s="983">
        <v>5204</v>
      </c>
      <c r="AR91" s="983">
        <v>5204</v>
      </c>
      <c r="AS91" s="983">
        <v>5204</v>
      </c>
      <c r="AT91" s="983">
        <v>5204</v>
      </c>
      <c r="AU91" s="983">
        <v>5204</v>
      </c>
      <c r="AV91" s="983">
        <v>5204</v>
      </c>
    </row>
    <row r="92" spans="24:48" ht="15" x14ac:dyDescent="0.25">
      <c r="AJ92" s="983" t="s">
        <v>1261</v>
      </c>
      <c r="AK92" s="984">
        <v>1851</v>
      </c>
      <c r="AL92" s="984">
        <v>1851</v>
      </c>
      <c r="AM92" s="984">
        <v>1851</v>
      </c>
      <c r="AN92" s="984">
        <v>1851</v>
      </c>
      <c r="AO92" s="984">
        <v>1851</v>
      </c>
      <c r="AP92" s="984">
        <v>1851</v>
      </c>
      <c r="AQ92" s="984">
        <v>1851</v>
      </c>
      <c r="AR92" s="984">
        <v>1851</v>
      </c>
      <c r="AS92" s="984">
        <v>1851</v>
      </c>
      <c r="AT92" s="984">
        <v>1851</v>
      </c>
      <c r="AU92" s="984">
        <v>1851</v>
      </c>
      <c r="AV92" s="984">
        <v>1851</v>
      </c>
    </row>
    <row r="93" spans="24:48" ht="15" x14ac:dyDescent="0.25">
      <c r="AJ93" s="983" t="s">
        <v>1262</v>
      </c>
      <c r="AK93" s="984">
        <v>1429</v>
      </c>
      <c r="AL93" s="984">
        <v>1429</v>
      </c>
      <c r="AM93" s="984">
        <v>1429</v>
      </c>
      <c r="AN93" s="984">
        <v>1429</v>
      </c>
      <c r="AO93" s="984">
        <v>1429</v>
      </c>
      <c r="AP93" s="984">
        <v>1429</v>
      </c>
      <c r="AQ93" s="984">
        <v>1429</v>
      </c>
      <c r="AR93" s="984">
        <v>1429</v>
      </c>
      <c r="AS93" s="984">
        <v>1429</v>
      </c>
      <c r="AT93" s="984">
        <v>1429</v>
      </c>
      <c r="AU93" s="984">
        <v>1429</v>
      </c>
      <c r="AV93" s="984">
        <v>1429</v>
      </c>
    </row>
    <row r="94" spans="24:48" ht="15" x14ac:dyDescent="0.25">
      <c r="AJ94" s="983" t="s">
        <v>1263</v>
      </c>
      <c r="AK94" s="984">
        <v>1117</v>
      </c>
      <c r="AL94" s="984">
        <v>1759</v>
      </c>
      <c r="AM94" s="984">
        <v>2188</v>
      </c>
      <c r="AN94" s="984">
        <v>2783</v>
      </c>
      <c r="AO94" s="984">
        <v>3349</v>
      </c>
      <c r="AP94" s="984">
        <v>3981</v>
      </c>
      <c r="AQ94" s="984">
        <v>4680</v>
      </c>
      <c r="AR94" s="984">
        <v>5610</v>
      </c>
      <c r="AS94" s="984">
        <v>6464</v>
      </c>
      <c r="AT94" s="984">
        <v>7391</v>
      </c>
      <c r="AU94" s="984">
        <v>8392</v>
      </c>
      <c r="AV94" s="984">
        <v>9694</v>
      </c>
    </row>
    <row r="95" spans="24:48" ht="15" x14ac:dyDescent="0.25">
      <c r="AJ95" s="983" t="s">
        <v>1264</v>
      </c>
      <c r="AK95" s="984">
        <v>15741</v>
      </c>
      <c r="AL95" s="984">
        <v>10833</v>
      </c>
      <c r="AM95" s="984">
        <v>7877</v>
      </c>
      <c r="AN95" s="984">
        <v>5704</v>
      </c>
      <c r="AO95" s="984">
        <v>4541</v>
      </c>
      <c r="AP95" s="984">
        <v>3727</v>
      </c>
      <c r="AQ95" s="984">
        <v>3137</v>
      </c>
      <c r="AR95" s="984">
        <v>2624</v>
      </c>
      <c r="AS95" s="984">
        <v>2306</v>
      </c>
      <c r="AT95" s="984">
        <v>2056</v>
      </c>
      <c r="AU95" s="984">
        <v>1856</v>
      </c>
      <c r="AV95" s="984">
        <v>1664</v>
      </c>
    </row>
    <row r="96" spans="24:48" ht="15" x14ac:dyDescent="0.25">
      <c r="AJ96" s="983" t="s">
        <v>1265</v>
      </c>
      <c r="AK96" s="984">
        <v>4718</v>
      </c>
      <c r="AL96" s="984">
        <v>4045</v>
      </c>
      <c r="AM96" s="984">
        <v>3551</v>
      </c>
      <c r="AN96" s="984">
        <v>3112</v>
      </c>
      <c r="AO96" s="984">
        <v>2835</v>
      </c>
      <c r="AP96" s="984">
        <v>2614</v>
      </c>
      <c r="AQ96" s="984">
        <v>2435</v>
      </c>
      <c r="AR96" s="984">
        <v>2262</v>
      </c>
      <c r="AS96" s="984">
        <v>2145</v>
      </c>
      <c r="AT96" s="984">
        <v>2047</v>
      </c>
      <c r="AU96" s="984">
        <v>1965</v>
      </c>
      <c r="AV96" s="984">
        <v>1882</v>
      </c>
    </row>
    <row r="97" spans="25:48" ht="15" x14ac:dyDescent="0.25">
      <c r="AJ97" s="983" t="s">
        <v>1266</v>
      </c>
      <c r="AK97" s="984">
        <v>2331</v>
      </c>
      <c r="AL97" s="984">
        <v>2893</v>
      </c>
      <c r="AM97" s="984">
        <v>3514</v>
      </c>
      <c r="AN97" s="984">
        <v>4339</v>
      </c>
      <c r="AO97" s="984">
        <v>5093</v>
      </c>
      <c r="AP97" s="984">
        <v>5906</v>
      </c>
      <c r="AQ97" s="984">
        <v>6780</v>
      </c>
      <c r="AR97" s="984">
        <v>7908</v>
      </c>
      <c r="AS97" s="984">
        <v>8915</v>
      </c>
      <c r="AT97" s="984">
        <v>9981</v>
      </c>
      <c r="AU97" s="984">
        <v>11108</v>
      </c>
      <c r="AV97" s="984">
        <v>12539</v>
      </c>
    </row>
    <row r="98" spans="25:48" ht="15" x14ac:dyDescent="0.25">
      <c r="AJ98" s="983" t="s">
        <v>1267</v>
      </c>
      <c r="AK98" s="983">
        <v>605</v>
      </c>
      <c r="AL98" s="983">
        <v>605</v>
      </c>
      <c r="AM98" s="983">
        <v>605</v>
      </c>
      <c r="AN98" s="983">
        <v>605</v>
      </c>
      <c r="AO98" s="983">
        <v>605</v>
      </c>
      <c r="AP98" s="983">
        <v>605</v>
      </c>
      <c r="AQ98" s="983">
        <v>605</v>
      </c>
      <c r="AR98" s="983">
        <v>605</v>
      </c>
      <c r="AS98" s="983">
        <v>605</v>
      </c>
      <c r="AT98" s="983">
        <v>605</v>
      </c>
      <c r="AU98" s="983">
        <v>605</v>
      </c>
      <c r="AV98" s="983">
        <v>605</v>
      </c>
    </row>
    <row r="99" spans="25:48" ht="15" x14ac:dyDescent="0.25">
      <c r="AJ99" s="983" t="s">
        <v>1268</v>
      </c>
      <c r="AK99" s="983">
        <v>115</v>
      </c>
      <c r="AL99" s="983">
        <v>115</v>
      </c>
      <c r="AM99" s="983">
        <v>115</v>
      </c>
      <c r="AN99" s="983">
        <v>115</v>
      </c>
      <c r="AO99" s="983">
        <v>115</v>
      </c>
      <c r="AP99" s="983">
        <v>115</v>
      </c>
      <c r="AQ99" s="983">
        <v>115</v>
      </c>
      <c r="AR99" s="983">
        <v>115</v>
      </c>
      <c r="AS99" s="983">
        <v>115</v>
      </c>
      <c r="AT99" s="983">
        <v>115</v>
      </c>
      <c r="AU99" s="983">
        <v>115</v>
      </c>
      <c r="AV99" s="983">
        <v>115</v>
      </c>
    </row>
    <row r="100" spans="25:48" ht="15" x14ac:dyDescent="0.25">
      <c r="AJ100" s="983" t="s">
        <v>1269</v>
      </c>
      <c r="AK100" s="983">
        <v>397</v>
      </c>
      <c r="AL100" s="983">
        <v>396</v>
      </c>
      <c r="AM100" s="983">
        <v>409</v>
      </c>
      <c r="AN100" s="983">
        <v>437</v>
      </c>
      <c r="AO100" s="983">
        <v>469</v>
      </c>
      <c r="AP100" s="983">
        <v>507</v>
      </c>
      <c r="AQ100" s="983">
        <v>551</v>
      </c>
      <c r="AR100" s="983">
        <v>610</v>
      </c>
      <c r="AS100" s="983">
        <v>663</v>
      </c>
      <c r="AT100" s="983">
        <v>721</v>
      </c>
      <c r="AU100" s="983">
        <v>783</v>
      </c>
      <c r="AV100" s="983">
        <v>861</v>
      </c>
    </row>
    <row r="101" spans="25:48" ht="15" x14ac:dyDescent="0.25">
      <c r="AJ101" s="983" t="s">
        <v>1270</v>
      </c>
      <c r="AK101" s="983">
        <v>559</v>
      </c>
      <c r="AL101" s="983">
        <v>529</v>
      </c>
      <c r="AM101" s="983">
        <v>509</v>
      </c>
      <c r="AN101" s="983">
        <v>494</v>
      </c>
      <c r="AO101" s="983">
        <v>487</v>
      </c>
      <c r="AP101" s="983">
        <v>482</v>
      </c>
      <c r="AQ101" s="983">
        <v>480</v>
      </c>
      <c r="AR101" s="983">
        <v>480</v>
      </c>
      <c r="AS101" s="983">
        <v>481</v>
      </c>
      <c r="AT101" s="983">
        <v>483</v>
      </c>
      <c r="AU101" s="983">
        <v>486</v>
      </c>
      <c r="AV101" s="983">
        <v>490</v>
      </c>
    </row>
    <row r="102" spans="25:48" ht="15" x14ac:dyDescent="0.25">
      <c r="AJ102" s="983" t="s">
        <v>1271</v>
      </c>
      <c r="AK102" s="983">
        <v>214</v>
      </c>
      <c r="AL102" s="983">
        <v>297</v>
      </c>
      <c r="AM102" s="983">
        <v>402</v>
      </c>
      <c r="AN102" s="983">
        <v>547</v>
      </c>
      <c r="AO102" s="983">
        <v>659</v>
      </c>
      <c r="AP102" s="983">
        <v>769</v>
      </c>
      <c r="AQ102" s="983">
        <v>877</v>
      </c>
      <c r="AR102" s="984">
        <v>1004</v>
      </c>
      <c r="AS102" s="984">
        <v>1110</v>
      </c>
      <c r="AT102" s="984">
        <v>1215</v>
      </c>
      <c r="AU102" s="984">
        <v>1320</v>
      </c>
      <c r="AV102" s="984">
        <v>1445</v>
      </c>
    </row>
    <row r="103" spans="25:48" ht="15" x14ac:dyDescent="0.25">
      <c r="Y103" s="990"/>
      <c r="AJ103" s="987" t="s">
        <v>1272</v>
      </c>
      <c r="AK103" s="988">
        <v>34067</v>
      </c>
      <c r="AL103" s="988">
        <v>29658</v>
      </c>
      <c r="AM103" s="988">
        <v>27251</v>
      </c>
      <c r="AN103" s="988">
        <v>26074</v>
      </c>
      <c r="AO103" s="988">
        <v>25977</v>
      </c>
      <c r="AP103" s="988">
        <v>26421</v>
      </c>
      <c r="AQ103" s="988">
        <v>27267</v>
      </c>
      <c r="AR103" s="988">
        <v>28699</v>
      </c>
      <c r="AS103" s="988">
        <v>30178</v>
      </c>
      <c r="AT103" s="988">
        <v>31883</v>
      </c>
      <c r="AU103" s="988">
        <v>33793</v>
      </c>
      <c r="AV103" s="988">
        <v>36335</v>
      </c>
    </row>
    <row r="104" spans="25:48" ht="15" x14ac:dyDescent="0.25">
      <c r="Y104" s="990"/>
      <c r="Z104" s="990"/>
      <c r="AA104" s="990"/>
      <c r="AB104" s="990"/>
      <c r="AC104" s="990"/>
      <c r="AD104" s="990"/>
      <c r="AE104" s="990"/>
      <c r="AJ104" s="983" t="s">
        <v>1273</v>
      </c>
      <c r="AK104" s="985">
        <v>12021</v>
      </c>
      <c r="AL104" s="985">
        <v>12021</v>
      </c>
      <c r="AM104" s="985">
        <v>12021</v>
      </c>
      <c r="AN104" s="985">
        <v>12021</v>
      </c>
      <c r="AO104" s="985">
        <v>12021</v>
      </c>
      <c r="AP104" s="985">
        <v>12021</v>
      </c>
      <c r="AQ104" s="985">
        <v>12021</v>
      </c>
      <c r="AR104" s="985">
        <v>12021</v>
      </c>
      <c r="AS104" s="985">
        <v>12021</v>
      </c>
      <c r="AT104" s="985">
        <v>12021</v>
      </c>
      <c r="AU104" s="985">
        <v>12021</v>
      </c>
      <c r="AV104" s="985">
        <v>12021</v>
      </c>
    </row>
    <row r="105" spans="25:48" ht="15" x14ac:dyDescent="0.25">
      <c r="Y105" s="990"/>
      <c r="Z105" s="140"/>
      <c r="AA105" s="140"/>
      <c r="AB105" s="140"/>
      <c r="AC105" s="140"/>
      <c r="AD105" s="140"/>
      <c r="AE105" s="140"/>
      <c r="AJ105" s="983" t="s">
        <v>1274</v>
      </c>
      <c r="AK105" s="985">
        <v>4276</v>
      </c>
      <c r="AL105" s="985">
        <v>4276</v>
      </c>
      <c r="AM105" s="985">
        <v>4276</v>
      </c>
      <c r="AN105" s="985">
        <v>4276</v>
      </c>
      <c r="AO105" s="985">
        <v>4276</v>
      </c>
      <c r="AP105" s="985">
        <v>4276</v>
      </c>
      <c r="AQ105" s="985">
        <v>4276</v>
      </c>
      <c r="AR105" s="985">
        <v>4276</v>
      </c>
      <c r="AS105" s="985">
        <v>4276</v>
      </c>
      <c r="AT105" s="985">
        <v>4276</v>
      </c>
      <c r="AU105" s="985">
        <v>4276</v>
      </c>
      <c r="AV105" s="985">
        <v>4276</v>
      </c>
    </row>
    <row r="106" spans="25:48" ht="15" x14ac:dyDescent="0.25">
      <c r="Y106" s="990"/>
      <c r="Z106" s="140"/>
      <c r="AA106" s="140"/>
      <c r="AB106" s="140"/>
      <c r="AC106" s="140"/>
      <c r="AD106" s="140"/>
      <c r="AE106" s="140"/>
      <c r="AJ106" s="983" t="s">
        <v>1275</v>
      </c>
      <c r="AK106" s="985">
        <v>3301</v>
      </c>
      <c r="AL106" s="985">
        <v>3301</v>
      </c>
      <c r="AM106" s="985">
        <v>3301</v>
      </c>
      <c r="AN106" s="985">
        <v>3301</v>
      </c>
      <c r="AO106" s="985">
        <v>3301</v>
      </c>
      <c r="AP106" s="985">
        <v>3301</v>
      </c>
      <c r="AQ106" s="985">
        <v>3301</v>
      </c>
      <c r="AR106" s="985">
        <v>3301</v>
      </c>
      <c r="AS106" s="985">
        <v>3301</v>
      </c>
      <c r="AT106" s="985">
        <v>3301</v>
      </c>
      <c r="AU106" s="985">
        <v>3301</v>
      </c>
      <c r="AV106" s="985">
        <v>3301</v>
      </c>
    </row>
    <row r="107" spans="25:48" ht="15" x14ac:dyDescent="0.25">
      <c r="Y107" s="990"/>
      <c r="Z107" s="140"/>
      <c r="AA107" s="140"/>
      <c r="AB107" s="140"/>
      <c r="AC107" s="140"/>
      <c r="AD107" s="140"/>
      <c r="AE107" s="140"/>
      <c r="AJ107" s="983" t="s">
        <v>1276</v>
      </c>
      <c r="AK107" s="985">
        <v>3210</v>
      </c>
      <c r="AL107" s="985">
        <v>5265</v>
      </c>
      <c r="AM107" s="985">
        <v>6790</v>
      </c>
      <c r="AN107" s="985">
        <v>8979</v>
      </c>
      <c r="AO107" s="985">
        <v>11125</v>
      </c>
      <c r="AP107" s="985">
        <v>13582</v>
      </c>
      <c r="AQ107" s="985">
        <v>16369</v>
      </c>
      <c r="AR107" s="985">
        <v>20172</v>
      </c>
      <c r="AS107" s="985">
        <v>23742</v>
      </c>
      <c r="AT107" s="985">
        <v>27695</v>
      </c>
      <c r="AU107" s="985">
        <v>32045</v>
      </c>
      <c r="AV107" s="985">
        <v>37812</v>
      </c>
    </row>
    <row r="108" spans="25:48" ht="15" x14ac:dyDescent="0.25">
      <c r="Y108" s="990"/>
      <c r="Z108" s="140"/>
      <c r="AA108" s="140"/>
      <c r="AB108" s="140"/>
      <c r="AC108" s="140"/>
      <c r="AD108" s="140"/>
      <c r="AE108" s="140"/>
      <c r="AJ108" s="983" t="s">
        <v>1277</v>
      </c>
      <c r="AK108" s="985">
        <v>13553</v>
      </c>
      <c r="AL108" s="985">
        <v>12103</v>
      </c>
      <c r="AM108" s="985">
        <v>11018</v>
      </c>
      <c r="AN108" s="985">
        <v>10041</v>
      </c>
      <c r="AO108" s="985">
        <v>9416</v>
      </c>
      <c r="AP108" s="985">
        <v>8918</v>
      </c>
      <c r="AQ108" s="985">
        <v>8517</v>
      </c>
      <c r="AR108" s="985">
        <v>8134</v>
      </c>
      <c r="AS108" s="985">
        <v>7879</v>
      </c>
      <c r="AT108" s="985">
        <v>7671</v>
      </c>
      <c r="AU108" s="985">
        <v>7502</v>
      </c>
      <c r="AV108" s="985">
        <v>7343</v>
      </c>
    </row>
    <row r="109" spans="25:48" ht="15" x14ac:dyDescent="0.25">
      <c r="Y109" s="990"/>
      <c r="Z109" s="140"/>
      <c r="AA109" s="140"/>
      <c r="AB109" s="140"/>
      <c r="AC109" s="140"/>
      <c r="AD109" s="140"/>
      <c r="AE109" s="140"/>
      <c r="AJ109" s="983" t="s">
        <v>1278</v>
      </c>
      <c r="AK109" s="985">
        <v>6698</v>
      </c>
      <c r="AL109" s="985">
        <v>8656</v>
      </c>
      <c r="AM109" s="985">
        <v>10904</v>
      </c>
      <c r="AN109" s="985">
        <v>13997</v>
      </c>
      <c r="AO109" s="985">
        <v>16916</v>
      </c>
      <c r="AP109" s="985">
        <v>20153</v>
      </c>
      <c r="AQ109" s="985">
        <v>23716</v>
      </c>
      <c r="AR109" s="985">
        <v>28434</v>
      </c>
      <c r="AS109" s="985">
        <v>32742</v>
      </c>
      <c r="AT109" s="985">
        <v>37400</v>
      </c>
      <c r="AU109" s="985">
        <v>42414</v>
      </c>
      <c r="AV109" s="985">
        <v>48910</v>
      </c>
    </row>
    <row r="110" spans="25:48" ht="15" x14ac:dyDescent="0.25">
      <c r="Y110" s="990"/>
      <c r="Z110" s="140"/>
      <c r="AA110" s="140"/>
      <c r="AB110" s="140"/>
      <c r="AC110" s="140"/>
      <c r="AD110" s="140"/>
      <c r="AE110" s="140"/>
      <c r="AJ110" s="983" t="s">
        <v>1279</v>
      </c>
      <c r="AK110" s="985">
        <v>17676</v>
      </c>
      <c r="AL110" s="985">
        <v>17676</v>
      </c>
      <c r="AM110" s="985">
        <v>17676</v>
      </c>
      <c r="AN110" s="985">
        <v>17676</v>
      </c>
      <c r="AO110" s="985">
        <v>17676</v>
      </c>
      <c r="AP110" s="985">
        <v>17676</v>
      </c>
      <c r="AQ110" s="985">
        <v>17676</v>
      </c>
      <c r="AR110" s="985">
        <v>17676</v>
      </c>
      <c r="AS110" s="985">
        <v>17676</v>
      </c>
      <c r="AT110" s="985">
        <v>17676</v>
      </c>
      <c r="AU110" s="985">
        <v>17676</v>
      </c>
      <c r="AV110" s="985">
        <v>17676</v>
      </c>
    </row>
    <row r="111" spans="25:48" ht="15" x14ac:dyDescent="0.25">
      <c r="Y111" s="990"/>
      <c r="Z111" s="140"/>
      <c r="AA111" s="140"/>
      <c r="AB111" s="140"/>
      <c r="AC111" s="140"/>
      <c r="AD111" s="140"/>
      <c r="AE111" s="140"/>
      <c r="AJ111" s="983" t="s">
        <v>1280</v>
      </c>
      <c r="AK111" s="985">
        <v>266</v>
      </c>
      <c r="AL111" s="985">
        <v>266</v>
      </c>
      <c r="AM111" s="985">
        <v>266</v>
      </c>
      <c r="AN111" s="985">
        <v>266</v>
      </c>
      <c r="AO111" s="985">
        <v>266</v>
      </c>
      <c r="AP111" s="985">
        <v>266</v>
      </c>
      <c r="AQ111" s="985">
        <v>266</v>
      </c>
      <c r="AR111" s="985">
        <v>266</v>
      </c>
      <c r="AS111" s="985">
        <v>266</v>
      </c>
      <c r="AT111" s="985">
        <v>266</v>
      </c>
      <c r="AU111" s="985">
        <v>266</v>
      </c>
      <c r="AV111" s="985">
        <v>266</v>
      </c>
    </row>
    <row r="112" spans="25:48" ht="15" x14ac:dyDescent="0.25">
      <c r="Y112" s="990"/>
      <c r="Z112" s="140"/>
      <c r="AA112" s="140"/>
      <c r="AB112" s="140"/>
      <c r="AC112" s="140"/>
      <c r="AD112" s="140"/>
      <c r="AE112" s="140"/>
      <c r="AJ112" s="983" t="s">
        <v>1281</v>
      </c>
      <c r="AK112" s="985">
        <v>12665</v>
      </c>
      <c r="AL112" s="985">
        <v>12295</v>
      </c>
      <c r="AM112" s="985">
        <v>12212</v>
      </c>
      <c r="AN112" s="985">
        <v>12371</v>
      </c>
      <c r="AO112" s="985">
        <v>12662</v>
      </c>
      <c r="AP112" s="985">
        <v>13063</v>
      </c>
      <c r="AQ112" s="985">
        <v>13556</v>
      </c>
      <c r="AR112" s="985">
        <v>14249</v>
      </c>
      <c r="AS112" s="985">
        <v>14901</v>
      </c>
      <c r="AT112" s="985">
        <v>15614</v>
      </c>
      <c r="AU112" s="985">
        <v>16383</v>
      </c>
      <c r="AV112" s="985">
        <v>17375</v>
      </c>
    </row>
    <row r="113" spans="25:48" ht="15" x14ac:dyDescent="0.25">
      <c r="Y113" s="990"/>
      <c r="Z113" s="140"/>
      <c r="AA113" s="140"/>
      <c r="AB113" s="140"/>
      <c r="AC113" s="140"/>
      <c r="AD113" s="140"/>
      <c r="AE113" s="140"/>
      <c r="AJ113" s="983" t="s">
        <v>1282</v>
      </c>
      <c r="AK113" s="985">
        <v>8087</v>
      </c>
      <c r="AL113" s="985">
        <v>8746</v>
      </c>
      <c r="AM113" s="985">
        <v>9403</v>
      </c>
      <c r="AN113" s="985">
        <v>10191</v>
      </c>
      <c r="AO113" s="985">
        <v>10851</v>
      </c>
      <c r="AP113" s="985">
        <v>11513</v>
      </c>
      <c r="AQ113" s="985">
        <v>12178</v>
      </c>
      <c r="AR113" s="985">
        <v>12982</v>
      </c>
      <c r="AS113" s="985">
        <v>13657</v>
      </c>
      <c r="AT113" s="985">
        <v>14335</v>
      </c>
      <c r="AU113" s="985">
        <v>15019</v>
      </c>
      <c r="AV113" s="985">
        <v>15846</v>
      </c>
    </row>
    <row r="114" spans="25:48" ht="15" x14ac:dyDescent="0.25">
      <c r="AJ114" s="983" t="s">
        <v>1283</v>
      </c>
      <c r="AK114" s="985">
        <v>0</v>
      </c>
      <c r="AL114" s="985">
        <v>0</v>
      </c>
      <c r="AM114" s="985">
        <v>0</v>
      </c>
      <c r="AN114" s="985">
        <v>4888</v>
      </c>
      <c r="AO114" s="985">
        <v>5033</v>
      </c>
      <c r="AP114" s="985">
        <v>5170</v>
      </c>
      <c r="AQ114" s="985">
        <v>5300</v>
      </c>
      <c r="AR114" s="985">
        <v>5448</v>
      </c>
      <c r="AS114" s="985">
        <v>5565</v>
      </c>
      <c r="AT114" s="985">
        <v>5677</v>
      </c>
      <c r="AU114" s="985">
        <v>5785</v>
      </c>
      <c r="AV114" s="985">
        <v>5910</v>
      </c>
    </row>
    <row r="115" spans="25:48" ht="15" x14ac:dyDescent="0.25">
      <c r="AJ115" s="983" t="s">
        <v>1284</v>
      </c>
      <c r="AK115" s="985">
        <v>348772</v>
      </c>
      <c r="AL115" s="985">
        <v>300689</v>
      </c>
      <c r="AM115" s="985">
        <v>265343</v>
      </c>
      <c r="AN115" s="985">
        <v>233927</v>
      </c>
      <c r="AO115" s="985">
        <v>214020</v>
      </c>
      <c r="AP115" s="985">
        <v>198163</v>
      </c>
      <c r="AQ115" s="985">
        <v>185338</v>
      </c>
      <c r="AR115" s="985">
        <v>172974</v>
      </c>
      <c r="AS115" s="985">
        <v>164617</v>
      </c>
      <c r="AT115" s="985">
        <v>157655</v>
      </c>
      <c r="AU115" s="985">
        <v>151827</v>
      </c>
      <c r="AV115" s="985">
        <v>146055</v>
      </c>
    </row>
    <row r="116" spans="25:48" ht="15" x14ac:dyDescent="0.25">
      <c r="AJ116" s="983" t="s">
        <v>1285</v>
      </c>
      <c r="AK116" s="985">
        <v>11269</v>
      </c>
      <c r="AL116" s="985">
        <v>11811</v>
      </c>
      <c r="AM116" s="985">
        <v>12380</v>
      </c>
      <c r="AN116" s="985">
        <v>13098</v>
      </c>
      <c r="AO116" s="985">
        <v>13728</v>
      </c>
      <c r="AP116" s="985">
        <v>14389</v>
      </c>
      <c r="AQ116" s="985">
        <v>15082</v>
      </c>
      <c r="AR116" s="985">
        <v>15957</v>
      </c>
      <c r="AS116" s="985">
        <v>16725</v>
      </c>
      <c r="AT116" s="985">
        <v>17530</v>
      </c>
      <c r="AU116" s="985">
        <v>18373</v>
      </c>
      <c r="AV116" s="985">
        <v>19439</v>
      </c>
    </row>
    <row r="117" spans="25:48" ht="15" x14ac:dyDescent="0.25">
      <c r="AJ117" s="987" t="s">
        <v>1286</v>
      </c>
      <c r="AK117" s="989">
        <v>441794</v>
      </c>
      <c r="AL117" s="989">
        <v>397104</v>
      </c>
      <c r="AM117" s="989">
        <v>365589</v>
      </c>
      <c r="AN117" s="989">
        <v>345033</v>
      </c>
      <c r="AO117" s="989">
        <v>331291</v>
      </c>
      <c r="AP117" s="989">
        <v>322491</v>
      </c>
      <c r="AQ117" s="989">
        <v>317596</v>
      </c>
      <c r="AR117" s="989">
        <v>315889</v>
      </c>
      <c r="AS117" s="989">
        <v>317368</v>
      </c>
      <c r="AT117" s="989">
        <v>321117</v>
      </c>
      <c r="AU117" s="989">
        <v>326890</v>
      </c>
      <c r="AV117" s="989">
        <v>336230</v>
      </c>
    </row>
    <row r="118" spans="25:48" ht="15" x14ac:dyDescent="0.25">
      <c r="AJ118" s="987" t="s">
        <v>1287</v>
      </c>
      <c r="AK118" s="989">
        <v>362325</v>
      </c>
      <c r="AL118" s="989">
        <v>312792</v>
      </c>
      <c r="AM118" s="989">
        <v>276361</v>
      </c>
      <c r="AN118" s="989">
        <v>243968</v>
      </c>
      <c r="AO118" s="989">
        <v>223437</v>
      </c>
      <c r="AP118" s="989">
        <v>207081</v>
      </c>
      <c r="AQ118" s="989">
        <v>193855</v>
      </c>
      <c r="AR118" s="989">
        <v>181107</v>
      </c>
      <c r="AS118" s="989">
        <v>172496</v>
      </c>
      <c r="AT118" s="989">
        <v>165326</v>
      </c>
      <c r="AU118" s="989">
        <v>159330</v>
      </c>
      <c r="AV118" s="989">
        <v>153398</v>
      </c>
    </row>
    <row r="119" spans="25:48" ht="15" x14ac:dyDescent="0.25">
      <c r="AJ119" s="987" t="s">
        <v>1274</v>
      </c>
      <c r="AK119" s="989">
        <v>4276</v>
      </c>
      <c r="AL119" s="989">
        <v>4276</v>
      </c>
      <c r="AM119" s="989">
        <v>4276</v>
      </c>
      <c r="AN119" s="989">
        <v>4276</v>
      </c>
      <c r="AO119" s="989">
        <v>4276</v>
      </c>
      <c r="AP119" s="989">
        <v>4276</v>
      </c>
      <c r="AQ119" s="989">
        <v>4276</v>
      </c>
      <c r="AR119" s="989">
        <v>4276</v>
      </c>
      <c r="AS119" s="989">
        <v>4276</v>
      </c>
      <c r="AT119" s="989">
        <v>4276</v>
      </c>
      <c r="AU119" s="989">
        <v>4276</v>
      </c>
      <c r="AV119" s="989">
        <v>4276</v>
      </c>
    </row>
    <row r="120" spans="25:48" ht="15" x14ac:dyDescent="0.25">
      <c r="AJ120" s="983" t="s">
        <v>1288</v>
      </c>
      <c r="AK120" s="985">
        <v>12665</v>
      </c>
      <c r="AL120" s="985">
        <v>12295</v>
      </c>
      <c r="AM120" s="985">
        <v>12212</v>
      </c>
      <c r="AN120" s="985">
        <v>12371</v>
      </c>
      <c r="AO120" s="985">
        <v>12662</v>
      </c>
      <c r="AP120" s="985">
        <v>13063</v>
      </c>
      <c r="AQ120" s="985">
        <v>13556</v>
      </c>
      <c r="AR120" s="985">
        <v>14249</v>
      </c>
      <c r="AS120" s="985">
        <v>14901</v>
      </c>
      <c r="AT120" s="985">
        <v>15614</v>
      </c>
      <c r="AU120" s="985">
        <v>16383</v>
      </c>
      <c r="AV120" s="985">
        <v>17375</v>
      </c>
    </row>
    <row r="121" spans="25:48" ht="15" x14ac:dyDescent="0.25">
      <c r="AJ121" s="983" t="s">
        <v>1289</v>
      </c>
      <c r="AK121" s="985">
        <v>43171</v>
      </c>
      <c r="AL121" s="985">
        <v>47185</v>
      </c>
      <c r="AM121" s="985">
        <v>50958</v>
      </c>
      <c r="AN121" s="985">
        <v>56240</v>
      </c>
      <c r="AO121" s="985">
        <v>61305</v>
      </c>
      <c r="AP121" s="985">
        <v>66999</v>
      </c>
      <c r="AQ121" s="985">
        <v>73350</v>
      </c>
      <c r="AR121" s="985">
        <v>81870</v>
      </c>
      <c r="AS121" s="985">
        <v>89748</v>
      </c>
      <c r="AT121" s="985">
        <v>98359</v>
      </c>
      <c r="AU121" s="985">
        <v>107723</v>
      </c>
      <c r="AV121" s="985">
        <v>119986</v>
      </c>
    </row>
    <row r="122" spans="25:48" ht="15" x14ac:dyDescent="0.25">
      <c r="AJ122" s="983" t="s">
        <v>1290</v>
      </c>
      <c r="AK122" s="985">
        <v>0</v>
      </c>
      <c r="AL122" s="985">
        <v>0</v>
      </c>
      <c r="AM122" s="985">
        <v>0</v>
      </c>
      <c r="AN122" s="985">
        <v>4888</v>
      </c>
      <c r="AO122" s="985">
        <v>5033</v>
      </c>
      <c r="AP122" s="985">
        <v>5170</v>
      </c>
      <c r="AQ122" s="985">
        <v>5300</v>
      </c>
      <c r="AR122" s="985">
        <v>5448</v>
      </c>
      <c r="AS122" s="985">
        <v>5565</v>
      </c>
      <c r="AT122" s="985">
        <v>5677</v>
      </c>
      <c r="AU122" s="985">
        <v>5785</v>
      </c>
      <c r="AV122" s="985">
        <v>5910</v>
      </c>
    </row>
    <row r="123" spans="25:48" ht="15" x14ac:dyDescent="0.25">
      <c r="AJ123" s="983" t="s">
        <v>1282</v>
      </c>
      <c r="AK123" s="985">
        <v>8087</v>
      </c>
      <c r="AL123" s="985">
        <v>8746</v>
      </c>
      <c r="AM123" s="985">
        <v>9403</v>
      </c>
      <c r="AN123" s="985">
        <v>10191</v>
      </c>
      <c r="AO123" s="985">
        <v>10851</v>
      </c>
      <c r="AP123" s="985">
        <v>11513</v>
      </c>
      <c r="AQ123" s="985">
        <v>12178</v>
      </c>
      <c r="AR123" s="985">
        <v>12982</v>
      </c>
      <c r="AS123" s="985">
        <v>13657</v>
      </c>
      <c r="AT123" s="985">
        <v>14335</v>
      </c>
      <c r="AU123" s="985">
        <v>15019</v>
      </c>
      <c r="AV123" s="985">
        <v>15846</v>
      </c>
    </row>
    <row r="124" spans="25:48" ht="15" x14ac:dyDescent="0.25">
      <c r="AJ124" s="983" t="s">
        <v>1285</v>
      </c>
      <c r="AK124" s="985">
        <v>11269</v>
      </c>
      <c r="AL124" s="985">
        <v>11811</v>
      </c>
      <c r="AM124" s="985">
        <v>12380</v>
      </c>
      <c r="AN124" s="985">
        <v>13098</v>
      </c>
      <c r="AO124" s="985">
        <v>13728</v>
      </c>
      <c r="AP124" s="985">
        <v>14389</v>
      </c>
      <c r="AQ124" s="985">
        <v>15082</v>
      </c>
      <c r="AR124" s="985">
        <v>15957</v>
      </c>
      <c r="AS124" s="985">
        <v>16725</v>
      </c>
      <c r="AT124" s="985">
        <v>17530</v>
      </c>
      <c r="AU124" s="985">
        <v>18373</v>
      </c>
      <c r="AV124" s="985">
        <v>19439</v>
      </c>
    </row>
    <row r="125" spans="25:48" ht="15" x14ac:dyDescent="0.25">
      <c r="AJ125" s="987" t="s">
        <v>1291</v>
      </c>
      <c r="AK125" s="989">
        <v>441794</v>
      </c>
      <c r="AL125" s="989">
        <v>397104</v>
      </c>
      <c r="AM125" s="989">
        <v>365589</v>
      </c>
      <c r="AN125" s="989">
        <v>345033</v>
      </c>
      <c r="AO125" s="989">
        <v>331291</v>
      </c>
      <c r="AP125" s="989">
        <v>322491</v>
      </c>
      <c r="AQ125" s="989">
        <v>317596</v>
      </c>
      <c r="AR125" s="989">
        <v>315889</v>
      </c>
      <c r="AS125" s="989">
        <v>317368</v>
      </c>
      <c r="AT125" s="989">
        <v>321117</v>
      </c>
      <c r="AU125" s="989">
        <v>326890</v>
      </c>
      <c r="AV125" s="989">
        <v>336230</v>
      </c>
    </row>
    <row r="126" spans="25:48" ht="15" x14ac:dyDescent="0.25">
      <c r="AJ126" s="987" t="s">
        <v>1292</v>
      </c>
      <c r="AK126" s="987">
        <v>20.5</v>
      </c>
      <c r="AL126" s="983"/>
    </row>
    <row r="127" spans="25:48" ht="15" x14ac:dyDescent="0.25">
      <c r="AJ127" s="983" t="s">
        <v>1293</v>
      </c>
      <c r="AK127" s="983">
        <v>1574</v>
      </c>
      <c r="AL127" s="983" t="s">
        <v>49</v>
      </c>
    </row>
    <row r="128" spans="25:48" ht="15" x14ac:dyDescent="0.25">
      <c r="AJ128" s="987" t="s">
        <v>1294</v>
      </c>
      <c r="AK128" s="988">
        <v>1500</v>
      </c>
      <c r="AL128" s="987" t="s">
        <v>49</v>
      </c>
    </row>
    <row r="129" spans="1:38" ht="15" x14ac:dyDescent="0.25">
      <c r="AJ129" s="983" t="s">
        <v>1295</v>
      </c>
      <c r="AK129" s="983">
        <v>25</v>
      </c>
      <c r="AL129" s="983" t="s">
        <v>1229</v>
      </c>
    </row>
    <row r="130" spans="1:38" ht="15" x14ac:dyDescent="0.25">
      <c r="AJ130" s="983" t="s">
        <v>1296</v>
      </c>
      <c r="AK130" s="983">
        <v>0.06</v>
      </c>
      <c r="AL130" s="983" t="s">
        <v>1230</v>
      </c>
    </row>
    <row r="131" spans="1:38" ht="15" x14ac:dyDescent="0.25">
      <c r="AJ131" s="983" t="s">
        <v>1297</v>
      </c>
      <c r="AK131" s="983">
        <v>30</v>
      </c>
      <c r="AL131" s="983" t="s">
        <v>1229</v>
      </c>
    </row>
    <row r="132" spans="1:38" ht="15" x14ac:dyDescent="0.25">
      <c r="AJ132" s="983" t="s">
        <v>1298</v>
      </c>
      <c r="AK132" s="984">
        <v>200000</v>
      </c>
      <c r="AL132" s="983" t="s">
        <v>1228</v>
      </c>
    </row>
    <row r="133" spans="1:38" ht="15" x14ac:dyDescent="0.25">
      <c r="AJ133" s="983" t="s">
        <v>1299</v>
      </c>
      <c r="AK133" s="983">
        <v>35</v>
      </c>
      <c r="AL133" s="983" t="s">
        <v>1229</v>
      </c>
    </row>
    <row r="134" spans="1:38" ht="15" x14ac:dyDescent="0.25">
      <c r="AJ134" s="983" t="s">
        <v>1300</v>
      </c>
      <c r="AK134" s="983">
        <v>80</v>
      </c>
      <c r="AL134" s="983" t="s">
        <v>1229</v>
      </c>
    </row>
    <row r="135" spans="1:38" ht="15" x14ac:dyDescent="0.25">
      <c r="AJ135" s="983" t="s">
        <v>1232</v>
      </c>
      <c r="AK135" s="983">
        <v>5</v>
      </c>
      <c r="AL135" s="983" t="s">
        <v>1229</v>
      </c>
    </row>
    <row r="136" spans="1:38" ht="15" x14ac:dyDescent="0.25">
      <c r="AJ136" s="983" t="s">
        <v>1301</v>
      </c>
      <c r="AK136" s="983">
        <v>60</v>
      </c>
      <c r="AL136" s="983" t="s">
        <v>1229</v>
      </c>
    </row>
    <row r="137" spans="1:38" ht="15" x14ac:dyDescent="0.25">
      <c r="AJ137" s="983" t="s">
        <v>1302</v>
      </c>
      <c r="AK137" s="983">
        <v>20</v>
      </c>
      <c r="AL137" s="983" t="s">
        <v>1229</v>
      </c>
    </row>
    <row r="138" spans="1:38" ht="15" x14ac:dyDescent="0.25">
      <c r="AJ138" s="983" t="s">
        <v>1303</v>
      </c>
      <c r="AK138" s="986">
        <v>7.1969999999999999E-6</v>
      </c>
      <c r="AL138" s="983"/>
    </row>
    <row r="139" spans="1:38" ht="15" x14ac:dyDescent="0.25">
      <c r="AJ139" s="983" t="s">
        <v>1304</v>
      </c>
      <c r="AK139" s="983">
        <v>35</v>
      </c>
      <c r="AL139" s="983" t="s">
        <v>1229</v>
      </c>
    </row>
    <row r="140" spans="1:38" ht="15" x14ac:dyDescent="0.25">
      <c r="A140" s="119"/>
      <c r="B140" s="119"/>
      <c r="C140" s="99"/>
      <c r="D140" s="99"/>
      <c r="E140" s="99"/>
      <c r="F140" s="99"/>
      <c r="G140" s="99"/>
      <c r="H140" s="99"/>
      <c r="I140" s="99"/>
      <c r="J140" s="99"/>
      <c r="K140" s="99"/>
      <c r="L140" s="99"/>
      <c r="M140" s="99"/>
      <c r="N140" s="99"/>
      <c r="O140" s="99"/>
      <c r="P140" s="119"/>
      <c r="Q140" s="119"/>
      <c r="R140" s="119"/>
      <c r="AJ140" s="983" t="s">
        <v>1305</v>
      </c>
      <c r="AK140" s="983">
        <v>120.05370000000001</v>
      </c>
      <c r="AL140" s="983" t="s">
        <v>1229</v>
      </c>
    </row>
    <row r="141" spans="1:38" ht="15" x14ac:dyDescent="0.25">
      <c r="A141" s="119"/>
      <c r="B141" s="119"/>
      <c r="C141" s="374"/>
      <c r="D141" s="374"/>
      <c r="E141" s="374"/>
      <c r="F141" s="374"/>
      <c r="G141" s="374"/>
      <c r="H141" s="374"/>
      <c r="I141" s="374"/>
      <c r="J141" s="374"/>
      <c r="K141" s="99"/>
      <c r="L141" s="99"/>
      <c r="M141" s="99"/>
      <c r="N141" s="99"/>
      <c r="O141" s="99"/>
      <c r="P141" s="119"/>
      <c r="Q141" s="119"/>
      <c r="R141" s="119"/>
      <c r="AJ141" s="983" t="s">
        <v>1306</v>
      </c>
      <c r="AK141" s="983">
        <v>0.33</v>
      </c>
      <c r="AL141" s="983"/>
    </row>
    <row r="142" spans="1:38" ht="15" x14ac:dyDescent="0.25">
      <c r="A142" s="119"/>
      <c r="B142" s="331"/>
      <c r="C142" s="1146"/>
      <c r="D142" s="1146"/>
      <c r="E142" s="1146"/>
      <c r="F142" s="1146"/>
      <c r="G142" s="1146"/>
      <c r="H142" s="1146"/>
      <c r="I142" s="1146"/>
      <c r="J142" s="1146"/>
      <c r="K142" s="1146"/>
      <c r="L142" s="1146"/>
      <c r="M142" s="1146"/>
      <c r="N142" s="1146"/>
      <c r="O142" s="1146"/>
      <c r="P142" s="119"/>
      <c r="Q142" s="119"/>
      <c r="R142" s="119"/>
      <c r="AJ142" s="983" t="s">
        <v>1307</v>
      </c>
      <c r="AK142" s="983">
        <v>1.5</v>
      </c>
      <c r="AL142" s="983" t="s">
        <v>1182</v>
      </c>
    </row>
    <row r="143" spans="1:38" ht="15" x14ac:dyDescent="0.25">
      <c r="A143" s="119"/>
      <c r="B143" s="119"/>
      <c r="C143" s="119"/>
      <c r="D143" s="119"/>
      <c r="E143" s="119"/>
      <c r="F143" s="119"/>
      <c r="G143" s="119"/>
      <c r="H143" s="119"/>
      <c r="I143" s="119"/>
      <c r="J143" s="119"/>
      <c r="K143" s="119"/>
      <c r="L143" s="119"/>
      <c r="M143" s="119"/>
      <c r="N143" s="119"/>
      <c r="O143" s="119"/>
      <c r="P143" s="119"/>
      <c r="Q143" s="119"/>
      <c r="R143" s="119"/>
      <c r="AJ143" s="987" t="s">
        <v>1308</v>
      </c>
      <c r="AK143" s="988">
        <v>698707</v>
      </c>
      <c r="AL143" s="987" t="s">
        <v>1231</v>
      </c>
    </row>
    <row r="144" spans="1:38" x14ac:dyDescent="0.2">
      <c r="A144" s="119"/>
      <c r="B144" s="119"/>
      <c r="C144" s="119"/>
      <c r="D144" s="119"/>
      <c r="E144" s="119"/>
      <c r="F144" s="119"/>
      <c r="G144" s="119"/>
      <c r="H144" s="119"/>
      <c r="I144" s="119"/>
      <c r="J144" s="119"/>
      <c r="K144" s="119"/>
      <c r="L144" s="119"/>
      <c r="M144" s="119"/>
      <c r="N144" s="119"/>
      <c r="O144" s="119"/>
      <c r="P144" s="119"/>
      <c r="Q144" s="119"/>
      <c r="R144" s="119"/>
    </row>
    <row r="145" spans="1:18" ht="16.5" customHeight="1" x14ac:dyDescent="0.2">
      <c r="A145" s="119"/>
      <c r="B145" s="119"/>
      <c r="C145" s="119"/>
      <c r="D145" s="119"/>
      <c r="E145" s="119"/>
      <c r="F145" s="119"/>
      <c r="G145" s="119"/>
      <c r="H145" s="119"/>
      <c r="I145" s="119"/>
      <c r="J145" s="119"/>
      <c r="K145" s="119"/>
      <c r="L145" s="119"/>
      <c r="M145" s="119"/>
      <c r="N145" s="119"/>
      <c r="O145" s="119"/>
      <c r="P145" s="119"/>
      <c r="Q145" s="119"/>
      <c r="R145" s="119"/>
    </row>
    <row r="146" spans="1:18" x14ac:dyDescent="0.2">
      <c r="A146" s="119"/>
      <c r="B146" s="119"/>
      <c r="C146" s="119"/>
      <c r="D146" s="119"/>
      <c r="E146" s="119"/>
      <c r="F146" s="119"/>
      <c r="G146" s="119"/>
      <c r="H146" s="119"/>
      <c r="I146" s="119"/>
      <c r="J146" s="119"/>
      <c r="K146" s="119"/>
      <c r="L146" s="119"/>
      <c r="M146" s="119"/>
      <c r="N146" s="119"/>
      <c r="O146" s="119"/>
      <c r="P146" s="119"/>
      <c r="Q146" s="119"/>
      <c r="R146" s="119"/>
    </row>
    <row r="147" spans="1:18" x14ac:dyDescent="0.2">
      <c r="A147" s="119"/>
      <c r="B147" s="119"/>
      <c r="C147" s="119"/>
      <c r="D147" s="119"/>
      <c r="E147" s="119"/>
      <c r="F147" s="119"/>
      <c r="G147" s="119"/>
      <c r="H147" s="119"/>
      <c r="I147" s="119"/>
      <c r="J147" s="119"/>
      <c r="K147" s="119"/>
      <c r="L147" s="119"/>
      <c r="M147" s="119"/>
      <c r="N147" s="119"/>
      <c r="O147" s="119"/>
      <c r="P147" s="119"/>
      <c r="Q147" s="119"/>
      <c r="R147" s="119"/>
    </row>
    <row r="148" spans="1:18" x14ac:dyDescent="0.2">
      <c r="A148" s="119"/>
      <c r="B148" s="119"/>
      <c r="C148" s="119"/>
      <c r="D148" s="119"/>
      <c r="E148" s="119"/>
      <c r="F148" s="119"/>
      <c r="G148" s="119"/>
      <c r="H148" s="119"/>
      <c r="I148" s="119"/>
      <c r="J148" s="119"/>
      <c r="K148" s="119"/>
      <c r="L148" s="119"/>
      <c r="M148" s="119"/>
      <c r="N148" s="119"/>
      <c r="O148" s="119"/>
      <c r="P148" s="119"/>
      <c r="Q148" s="119"/>
      <c r="R148" s="119"/>
    </row>
    <row r="149" spans="1:18" x14ac:dyDescent="0.2">
      <c r="A149" s="119"/>
      <c r="B149" s="119"/>
      <c r="C149" s="119"/>
      <c r="D149" s="119"/>
      <c r="E149" s="119"/>
      <c r="F149" s="119"/>
      <c r="G149" s="119"/>
      <c r="H149" s="119"/>
      <c r="I149" s="119"/>
      <c r="J149" s="119"/>
      <c r="K149" s="119"/>
      <c r="L149" s="119"/>
      <c r="M149" s="119"/>
      <c r="N149" s="119"/>
      <c r="O149" s="119"/>
      <c r="P149" s="119"/>
      <c r="Q149" s="119"/>
      <c r="R149" s="119"/>
    </row>
    <row r="150" spans="1:18" x14ac:dyDescent="0.2">
      <c r="A150" s="119"/>
      <c r="B150" s="119"/>
      <c r="C150" s="119"/>
      <c r="D150" s="119"/>
      <c r="E150" s="119"/>
      <c r="F150" s="119"/>
      <c r="G150" s="119"/>
      <c r="H150" s="119"/>
      <c r="I150" s="119"/>
      <c r="J150" s="119"/>
      <c r="K150" s="119"/>
      <c r="L150" s="119"/>
      <c r="M150" s="119"/>
      <c r="N150" s="119"/>
      <c r="O150" s="119"/>
      <c r="P150" s="119"/>
      <c r="Q150" s="119"/>
      <c r="R150" s="119"/>
    </row>
    <row r="151" spans="1:18" x14ac:dyDescent="0.2">
      <c r="A151" s="119"/>
      <c r="B151" s="119"/>
      <c r="C151" s="119"/>
      <c r="D151" s="119"/>
      <c r="E151" s="119"/>
      <c r="F151" s="119"/>
      <c r="G151" s="119"/>
      <c r="H151" s="119"/>
      <c r="I151" s="119"/>
      <c r="J151" s="119"/>
      <c r="K151" s="119"/>
      <c r="L151" s="119"/>
      <c r="M151" s="119"/>
      <c r="N151" s="119"/>
      <c r="O151" s="119"/>
      <c r="P151" s="119"/>
      <c r="Q151" s="119"/>
      <c r="R151" s="119"/>
    </row>
  </sheetData>
  <mergeCells count="25">
    <mergeCell ref="B61:I61"/>
    <mergeCell ref="A18:B18"/>
    <mergeCell ref="X74:X85"/>
    <mergeCell ref="X58:Z59"/>
    <mergeCell ref="X66:X73"/>
    <mergeCell ref="A22:B22"/>
    <mergeCell ref="A21:B21"/>
    <mergeCell ref="Q62:V62"/>
    <mergeCell ref="L62:P62"/>
    <mergeCell ref="AJ63:AV63"/>
    <mergeCell ref="A4:B4"/>
    <mergeCell ref="A28:B28"/>
    <mergeCell ref="A27:B27"/>
    <mergeCell ref="A26:B26"/>
    <mergeCell ref="A25:B25"/>
    <mergeCell ref="A23:B23"/>
    <mergeCell ref="A7:B7"/>
    <mergeCell ref="A9:B9"/>
    <mergeCell ref="A10:B10"/>
    <mergeCell ref="A13:B13"/>
    <mergeCell ref="A17:B17"/>
    <mergeCell ref="A16:B16"/>
    <mergeCell ref="A15:B15"/>
    <mergeCell ref="A14:B14"/>
    <mergeCell ref="G62:I62"/>
  </mergeCells>
  <phoneticPr fontId="3" type="noConversion"/>
  <pageMargins left="0.75" right="0.75" top="1" bottom="1" header="0.5" footer="0.5"/>
  <pageSetup orientation="portrait" horizontalDpi="300" verticalDpi="300"/>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25"/>
  </sheetPr>
  <dimension ref="A1:D14"/>
  <sheetViews>
    <sheetView workbookViewId="0">
      <selection activeCell="B14" sqref="B14"/>
    </sheetView>
  </sheetViews>
  <sheetFormatPr defaultColWidth="8.85546875" defaultRowHeight="12.75" x14ac:dyDescent="0.2"/>
  <cols>
    <col min="1" max="1" width="26.140625" bestFit="1" customWidth="1"/>
    <col min="2" max="2" width="10.140625" bestFit="1" customWidth="1"/>
  </cols>
  <sheetData>
    <row r="1" spans="1:4" x14ac:dyDescent="0.2">
      <c r="A1" s="1" t="str">
        <f>'Input &amp; Summary'!A1</f>
        <v>Based on Combined Land Based-Offshore Turbine Cost Model. V2.01.12</v>
      </c>
      <c r="B1" s="1"/>
      <c r="C1" s="1"/>
      <c r="D1" s="139"/>
    </row>
    <row r="2" spans="1:4" ht="51" x14ac:dyDescent="0.2">
      <c r="A2" s="555" t="str">
        <f>'Input &amp; Summary'!A2</f>
        <v>Note:  This Model Contains Proprietary or Wind Technology Protected Data, and Should Not Be Released Outside of the DOE/NREL/SNL, until Further Notice.</v>
      </c>
      <c r="B2" s="555"/>
      <c r="C2" s="555"/>
      <c r="D2" s="139"/>
    </row>
    <row r="4" spans="1:4" x14ac:dyDescent="0.2">
      <c r="A4" s="21" t="s">
        <v>258</v>
      </c>
    </row>
    <row r="5" spans="1:4" ht="13.5" thickBot="1" x14ac:dyDescent="0.25">
      <c r="A5" s="21"/>
    </row>
    <row r="6" spans="1:4" ht="39" thickBot="1" x14ac:dyDescent="0.25">
      <c r="B6" s="480" t="s">
        <v>602</v>
      </c>
    </row>
    <row r="7" spans="1:4" ht="13.5" thickBot="1" x14ac:dyDescent="0.25">
      <c r="A7" s="466" t="s">
        <v>518</v>
      </c>
      <c r="B7" s="466">
        <f>'Input &amp; Summary'!B7</f>
        <v>1910</v>
      </c>
    </row>
    <row r="8" spans="1:4" ht="13.5" thickBot="1" x14ac:dyDescent="0.25">
      <c r="A8" s="119"/>
      <c r="B8" s="119"/>
    </row>
    <row r="9" spans="1:4" ht="13.5" thickBot="1" x14ac:dyDescent="0.25">
      <c r="A9" s="119"/>
      <c r="B9" s="519" t="s">
        <v>100</v>
      </c>
    </row>
    <row r="10" spans="1:4" ht="13.5" thickBot="1" x14ac:dyDescent="0.25">
      <c r="A10" s="121" t="s">
        <v>506</v>
      </c>
      <c r="B10" s="122">
        <f>B7*B14</f>
        <v>151501.19999999998</v>
      </c>
      <c r="C10" s="470">
        <f>'PPI Calculation'!D88</f>
        <v>1.3181818181818181</v>
      </c>
      <c r="D10" s="22" t="s">
        <v>590</v>
      </c>
    </row>
    <row r="11" spans="1:4" ht="13.5" thickBot="1" x14ac:dyDescent="0.25">
      <c r="A11" s="121" t="s">
        <v>687</v>
      </c>
      <c r="B11" s="122">
        <f>B10*C10</f>
        <v>199706.12727272723</v>
      </c>
      <c r="C11" s="550">
        <f>'Input &amp; Summary'!F7</f>
        <v>2010</v>
      </c>
      <c r="D11" s="567" t="s">
        <v>648</v>
      </c>
    </row>
    <row r="13" spans="1:4" ht="13.5" thickBot="1" x14ac:dyDescent="0.25"/>
    <row r="14" spans="1:4" ht="13.5" thickBot="1" x14ac:dyDescent="0.25">
      <c r="A14" s="321" t="s">
        <v>517</v>
      </c>
      <c r="B14" s="534">
        <v>79.319999999999993</v>
      </c>
    </row>
  </sheetData>
  <phoneticPr fontId="3" type="noConversion"/>
  <pageMargins left="0.75" right="0.75" top="1" bottom="1" header="0.5" footer="0.5"/>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25"/>
  </sheetPr>
  <dimension ref="A1:G33"/>
  <sheetViews>
    <sheetView topLeftCell="A10" workbookViewId="0">
      <selection activeCell="D16" sqref="D16:D17"/>
    </sheetView>
  </sheetViews>
  <sheetFormatPr defaultColWidth="8.85546875" defaultRowHeight="12.75" x14ac:dyDescent="0.2"/>
  <cols>
    <col min="1" max="1" width="28.7109375" customWidth="1"/>
    <col min="3" max="3" width="10.140625" bestFit="1" customWidth="1"/>
  </cols>
  <sheetData>
    <row r="1" spans="1:7" x14ac:dyDescent="0.2">
      <c r="A1" s="1" t="str">
        <f>'Input &amp; Summary'!A1</f>
        <v>Based on Combined Land Based-Offshore Turbine Cost Model. V2.01.12</v>
      </c>
      <c r="B1" s="1"/>
      <c r="C1" s="1"/>
      <c r="D1" s="139"/>
    </row>
    <row r="2" spans="1:7" ht="38.25" x14ac:dyDescent="0.2">
      <c r="A2" s="555" t="str">
        <f>'Input &amp; Summary'!A2</f>
        <v>Note:  This Model Contains Proprietary or Wind Technology Protected Data, and Should Not Be Released Outside of the DOE/NREL/SNL, until Further Notice.</v>
      </c>
      <c r="B2" s="555"/>
      <c r="C2" s="555"/>
      <c r="D2" s="139"/>
    </row>
    <row r="4" spans="1:7" x14ac:dyDescent="0.2">
      <c r="A4" s="21" t="s">
        <v>507</v>
      </c>
    </row>
    <row r="5" spans="1:7" ht="13.5" thickBot="1" x14ac:dyDescent="0.25">
      <c r="A5" s="21"/>
    </row>
    <row r="6" spans="1:7" ht="39" thickBot="1" x14ac:dyDescent="0.25">
      <c r="B6" s="480" t="s">
        <v>625</v>
      </c>
    </row>
    <row r="7" spans="1:7" ht="13.5" thickBot="1" x14ac:dyDescent="0.25">
      <c r="A7" s="466" t="s">
        <v>88</v>
      </c>
      <c r="B7" s="466">
        <f>'Input &amp; Summary'!B8</f>
        <v>96.9</v>
      </c>
    </row>
    <row r="8" spans="1:7" ht="13.5" thickBot="1" x14ac:dyDescent="0.25">
      <c r="B8" s="528"/>
    </row>
    <row r="9" spans="1:7" ht="13.5" thickBot="1" x14ac:dyDescent="0.25">
      <c r="B9" s="519" t="s">
        <v>100</v>
      </c>
    </row>
    <row r="10" spans="1:7" ht="13.5" thickBot="1" x14ac:dyDescent="0.25">
      <c r="A10" s="121" t="s">
        <v>511</v>
      </c>
      <c r="B10" s="477">
        <f>0.0009*B7^3.314</f>
        <v>3442.8611385029044</v>
      </c>
      <c r="C10" s="329"/>
      <c r="D10" s="329"/>
      <c r="E10" s="329"/>
      <c r="F10" s="329"/>
      <c r="G10" s="329"/>
    </row>
    <row r="11" spans="1:7" ht="13.5" thickBot="1" x14ac:dyDescent="0.25">
      <c r="A11" s="121" t="s">
        <v>628</v>
      </c>
      <c r="B11" s="477">
        <f>B10*1.6</f>
        <v>5508.5778216046474</v>
      </c>
      <c r="C11" s="329"/>
      <c r="D11" s="329"/>
      <c r="E11" s="329"/>
      <c r="F11" s="329"/>
      <c r="G11" s="329"/>
    </row>
    <row r="12" spans="1:7" ht="13.5" thickBot="1" x14ac:dyDescent="0.25">
      <c r="A12" s="121" t="s">
        <v>512</v>
      </c>
      <c r="B12" s="122">
        <f>2*(0.0339*B7^2.9637)</f>
        <v>52251.344738528052</v>
      </c>
      <c r="C12" s="470">
        <f>'PPI Calculation'!D97</f>
        <v>1.3936928736678422</v>
      </c>
      <c r="D12" s="22" t="s">
        <v>590</v>
      </c>
    </row>
    <row r="13" spans="1:7" ht="13.5" thickBot="1" x14ac:dyDescent="0.25">
      <c r="A13" s="121" t="s">
        <v>688</v>
      </c>
      <c r="B13" s="122">
        <f>B12*C12</f>
        <v>72822.326801648247</v>
      </c>
      <c r="C13" s="550">
        <f>'Input &amp; Summary'!F7</f>
        <v>2010</v>
      </c>
      <c r="D13" s="567" t="s">
        <v>648</v>
      </c>
    </row>
    <row r="15" spans="1:7" x14ac:dyDescent="0.2">
      <c r="A15" s="754" t="s">
        <v>1046</v>
      </c>
      <c r="B15" s="137">
        <v>8.9999999999999998E-4</v>
      </c>
    </row>
    <row r="16" spans="1:7" x14ac:dyDescent="0.2">
      <c r="A16" s="754" t="s">
        <v>1047</v>
      </c>
      <c r="B16" s="137">
        <v>3.3140000000000001</v>
      </c>
    </row>
    <row r="17" spans="1:4" x14ac:dyDescent="0.2">
      <c r="A17" s="760"/>
      <c r="B17" s="21"/>
    </row>
    <row r="18" spans="1:4" x14ac:dyDescent="0.2">
      <c r="A18" s="754" t="s">
        <v>1048</v>
      </c>
      <c r="B18" s="137">
        <v>3.39E-2</v>
      </c>
    </row>
    <row r="19" spans="1:4" x14ac:dyDescent="0.2">
      <c r="A19" s="754" t="s">
        <v>1049</v>
      </c>
      <c r="B19" s="137">
        <v>2.9636999999999998</v>
      </c>
    </row>
    <row r="20" spans="1:4" x14ac:dyDescent="0.2">
      <c r="A20" s="21"/>
      <c r="B20" s="21"/>
      <c r="C20" s="21"/>
    </row>
    <row r="21" spans="1:4" x14ac:dyDescent="0.2">
      <c r="A21" s="21" t="s">
        <v>1050</v>
      </c>
      <c r="B21" s="21"/>
      <c r="C21" s="21"/>
    </row>
    <row r="22" spans="1:4" x14ac:dyDescent="0.2">
      <c r="A22" s="21"/>
      <c r="B22" s="21"/>
      <c r="C22" s="21"/>
    </row>
    <row r="23" spans="1:4" x14ac:dyDescent="0.2">
      <c r="A23" s="21" t="s">
        <v>1051</v>
      </c>
      <c r="B23" s="21"/>
      <c r="C23" s="21"/>
    </row>
    <row r="25" spans="1:4" ht="13.5" thickBot="1" x14ac:dyDescent="0.25"/>
    <row r="26" spans="1:4" ht="13.5" thickBot="1" x14ac:dyDescent="0.25">
      <c r="A26" s="326" t="s">
        <v>510</v>
      </c>
      <c r="B26" s="324"/>
      <c r="C26" s="324"/>
      <c r="D26" s="325"/>
    </row>
    <row r="27" spans="1:4" ht="38.25" x14ac:dyDescent="0.2">
      <c r="A27" s="316" t="s">
        <v>15</v>
      </c>
      <c r="B27" s="327" t="s">
        <v>508</v>
      </c>
      <c r="C27" s="327" t="s">
        <v>171</v>
      </c>
      <c r="D27" s="328" t="s">
        <v>509</v>
      </c>
    </row>
    <row r="28" spans="1:4" x14ac:dyDescent="0.2">
      <c r="A28" s="240">
        <v>46.6</v>
      </c>
      <c r="B28" s="142">
        <v>355</v>
      </c>
      <c r="C28" s="142">
        <v>3331</v>
      </c>
      <c r="D28" s="241">
        <f>2*C28</f>
        <v>6662</v>
      </c>
    </row>
    <row r="29" spans="1:4" x14ac:dyDescent="0.2">
      <c r="A29" s="240">
        <v>66</v>
      </c>
      <c r="B29" s="142">
        <v>770</v>
      </c>
      <c r="C29" s="142">
        <v>6374</v>
      </c>
      <c r="D29" s="241">
        <f>2*C29</f>
        <v>12748</v>
      </c>
    </row>
    <row r="30" spans="1:4" x14ac:dyDescent="0.2">
      <c r="A30" s="240">
        <v>93</v>
      </c>
      <c r="B30" s="142">
        <v>4000</v>
      </c>
      <c r="C30" s="142">
        <v>29105</v>
      </c>
      <c r="D30" s="241">
        <f>2*C30</f>
        <v>58210</v>
      </c>
    </row>
    <row r="31" spans="1:4" ht="13.5" thickBot="1" x14ac:dyDescent="0.25">
      <c r="A31" s="245">
        <v>120</v>
      </c>
      <c r="B31" s="246">
        <v>6800</v>
      </c>
      <c r="C31" s="246">
        <v>46000</v>
      </c>
      <c r="D31" s="247">
        <f>2*C31</f>
        <v>92000</v>
      </c>
    </row>
    <row r="32" spans="1:4" x14ac:dyDescent="0.2">
      <c r="A32" s="599" t="s">
        <v>729</v>
      </c>
      <c r="B32" s="600"/>
      <c r="C32" s="600"/>
      <c r="D32" s="601"/>
    </row>
    <row r="33" spans="1:4" ht="13.5" thickBot="1" x14ac:dyDescent="0.25">
      <c r="A33" s="602">
        <f>B7</f>
        <v>96.9</v>
      </c>
      <c r="B33" s="605">
        <f>B10</f>
        <v>3442.8611385029044</v>
      </c>
      <c r="C33" s="607">
        <f>D33/2</f>
        <v>26125.672369264026</v>
      </c>
      <c r="D33" s="606">
        <f>B12</f>
        <v>52251.344738528052</v>
      </c>
    </row>
  </sheetData>
  <phoneticPr fontId="3" type="noConversion"/>
  <pageMargins left="0.75" right="0.75" top="1" bottom="1" header="0.5" footer="0.5"/>
  <pageSetup orientation="portrait" horizontalDpi="300" verticalDpi="300"/>
  <headerFooter alignWithMargins="0"/>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25"/>
  </sheetPr>
  <dimension ref="A1:I138"/>
  <sheetViews>
    <sheetView workbookViewId="0"/>
  </sheetViews>
  <sheetFormatPr defaultColWidth="8.85546875" defaultRowHeight="12.75" x14ac:dyDescent="0.2"/>
  <cols>
    <col min="1" max="1" width="27.7109375" customWidth="1"/>
    <col min="2" max="2" width="9.140625" customWidth="1"/>
    <col min="3" max="3" width="9.42578125" bestFit="1" customWidth="1"/>
    <col min="5" max="5" width="10.28515625" bestFit="1" customWidth="1"/>
  </cols>
  <sheetData>
    <row r="1" spans="1:4" x14ac:dyDescent="0.2">
      <c r="A1" s="1" t="str">
        <f>'Input &amp; Summary'!A1</f>
        <v>Based on Combined Land Based-Offshore Turbine Cost Model. V2.01.12</v>
      </c>
      <c r="B1" s="1"/>
      <c r="C1" s="1"/>
      <c r="D1" s="139"/>
    </row>
    <row r="2" spans="1:4" ht="38.25" x14ac:dyDescent="0.2">
      <c r="A2" s="555" t="str">
        <f>'Input &amp; Summary'!A2</f>
        <v>Note:  This Model Contains Proprietary or Wind Technology Protected Data, and Should Not Be Released Outside of the DOE/NREL/SNL, until Further Notice.</v>
      </c>
      <c r="B2" s="555"/>
      <c r="C2" s="555"/>
      <c r="D2" s="139"/>
    </row>
    <row r="4" spans="1:4" x14ac:dyDescent="0.2">
      <c r="A4" s="21" t="s">
        <v>519</v>
      </c>
    </row>
    <row r="5" spans="1:4" ht="13.5" thickBot="1" x14ac:dyDescent="0.25">
      <c r="A5" s="21"/>
    </row>
    <row r="6" spans="1:4" ht="39" thickBot="1" x14ac:dyDescent="0.25">
      <c r="B6" s="480" t="s">
        <v>625</v>
      </c>
    </row>
    <row r="7" spans="1:4" ht="13.5" thickBot="1" x14ac:dyDescent="0.25">
      <c r="A7" s="466" t="s">
        <v>88</v>
      </c>
      <c r="B7" s="466">
        <f>'Input &amp; Summary'!B8</f>
        <v>96.9</v>
      </c>
    </row>
    <row r="8" spans="1:4" ht="13.5" thickBot="1" x14ac:dyDescent="0.25">
      <c r="A8" s="596" t="s">
        <v>248</v>
      </c>
      <c r="B8" s="466">
        <f>'Input &amp; Summary'!B7</f>
        <v>1910</v>
      </c>
    </row>
    <row r="9" spans="1:4" ht="13.5" thickBot="1" x14ac:dyDescent="0.25">
      <c r="A9" s="1132" t="s">
        <v>1455</v>
      </c>
      <c r="B9" s="466">
        <f>ROUND('AEP Input Output sheet'!B17,0)</f>
        <v>2117</v>
      </c>
    </row>
    <row r="10" spans="1:4" ht="13.5" thickBot="1" x14ac:dyDescent="0.25">
      <c r="A10" s="596" t="s">
        <v>890</v>
      </c>
      <c r="B10" s="466">
        <f>'Input &amp; Summary'!B18</f>
        <v>80</v>
      </c>
    </row>
    <row r="11" spans="1:4" ht="13.5" thickBot="1" x14ac:dyDescent="0.25">
      <c r="A11" s="466" t="s">
        <v>250</v>
      </c>
      <c r="B11" s="466">
        <f>'Input &amp; Summary'!B24</f>
        <v>1</v>
      </c>
    </row>
    <row r="12" spans="1:4" ht="13.5" thickBot="1" x14ac:dyDescent="0.25">
      <c r="A12" s="466" t="s">
        <v>595</v>
      </c>
      <c r="B12" s="466">
        <f>'Input &amp; Summary'!B25</f>
        <v>1</v>
      </c>
    </row>
    <row r="13" spans="1:4" ht="13.5" thickBot="1" x14ac:dyDescent="0.25">
      <c r="B13" s="119"/>
    </row>
    <row r="14" spans="1:4" ht="13.5" thickBot="1" x14ac:dyDescent="0.25">
      <c r="B14" s="519" t="s">
        <v>100</v>
      </c>
    </row>
    <row r="15" spans="1:4" ht="13.5" thickBot="1" x14ac:dyDescent="0.25">
      <c r="A15" s="121" t="s">
        <v>522</v>
      </c>
      <c r="B15" s="538">
        <f>HLOOKUP(B11,A33:E35,2)*B7^(HLOOKUP(B11,A33:E35,3))</f>
        <v>0</v>
      </c>
      <c r="C15" s="329"/>
      <c r="D15" s="329"/>
    </row>
    <row r="16" spans="1:4" ht="13.5" thickBot="1" x14ac:dyDescent="0.25">
      <c r="A16" s="121" t="s">
        <v>629</v>
      </c>
      <c r="B16" s="538">
        <f>0.125*B15</f>
        <v>0</v>
      </c>
      <c r="C16" s="329"/>
      <c r="D16" s="329"/>
    </row>
    <row r="17" spans="1:5" ht="13.5" thickBot="1" x14ac:dyDescent="0.25">
      <c r="A17" s="121" t="s">
        <v>630</v>
      </c>
      <c r="B17" s="538">
        <f>IF(B12=1,3000,)</f>
        <v>3000</v>
      </c>
      <c r="C17" s="329"/>
      <c r="D17" s="329"/>
    </row>
    <row r="18" spans="1:5" ht="13.5" thickBot="1" x14ac:dyDescent="0.25">
      <c r="A18" s="121" t="s">
        <v>631</v>
      </c>
      <c r="B18" s="538">
        <f>B15+B16+B17</f>
        <v>3000</v>
      </c>
      <c r="C18" s="329"/>
      <c r="D18" s="329"/>
    </row>
    <row r="19" spans="1:5" ht="13.5" thickBot="1" x14ac:dyDescent="0.25">
      <c r="A19" s="121" t="s">
        <v>594</v>
      </c>
      <c r="B19" s="518">
        <f>HLOOKUP(B11,A28:E30,2)*B7^(HLOOKUP(B11,A28:E30,3))</f>
        <v>71695.968642457708</v>
      </c>
      <c r="C19" s="470">
        <f>'PPI Calculation'!D103</f>
        <v>1.3925729442970822</v>
      </c>
      <c r="D19" s="22" t="s">
        <v>590</v>
      </c>
    </row>
    <row r="20" spans="1:5" ht="13.5" thickBot="1" x14ac:dyDescent="0.25">
      <c r="A20" s="539" t="s">
        <v>662</v>
      </c>
      <c r="B20" s="518">
        <f>B16*8.7</f>
        <v>0</v>
      </c>
      <c r="C20" s="119"/>
    </row>
    <row r="21" spans="1:5" ht="13.5" thickBot="1" x14ac:dyDescent="0.25">
      <c r="A21" s="121" t="s">
        <v>663</v>
      </c>
      <c r="B21" s="518">
        <f>IF(B12=1,12000,)</f>
        <v>12000</v>
      </c>
      <c r="C21" s="119"/>
    </row>
    <row r="22" spans="1:5" ht="13.5" thickBot="1" x14ac:dyDescent="0.25">
      <c r="A22" s="121" t="s">
        <v>664</v>
      </c>
      <c r="B22" s="518">
        <f>0.7*B19</f>
        <v>50187.178049720394</v>
      </c>
      <c r="C22" s="119"/>
    </row>
    <row r="23" spans="1:5" ht="13.5" thickBot="1" x14ac:dyDescent="0.25">
      <c r="A23" s="121" t="s">
        <v>665</v>
      </c>
      <c r="B23" s="518">
        <f>B22+B21+B20+B19</f>
        <v>133883.1466921781</v>
      </c>
      <c r="C23" s="119"/>
    </row>
    <row r="24" spans="1:5" ht="13.5" thickBot="1" x14ac:dyDescent="0.25">
      <c r="A24" s="121" t="s">
        <v>689</v>
      </c>
      <c r="B24" s="122">
        <f>B23*C19</f>
        <v>186442.0477808846</v>
      </c>
      <c r="C24" s="550">
        <f>'Input &amp; Summary'!F7</f>
        <v>2010</v>
      </c>
      <c r="D24" s="567" t="s">
        <v>648</v>
      </c>
    </row>
    <row r="27" spans="1:5" ht="13.5" thickBot="1" x14ac:dyDescent="0.25">
      <c r="A27" s="127" t="s">
        <v>521</v>
      </c>
      <c r="B27" s="39"/>
      <c r="C27" s="39"/>
      <c r="D27" s="39"/>
      <c r="E27" s="39"/>
    </row>
    <row r="28" spans="1:5" x14ac:dyDescent="0.2">
      <c r="A28" s="520" t="s">
        <v>251</v>
      </c>
      <c r="B28" s="521">
        <v>1</v>
      </c>
      <c r="C28" s="521">
        <v>2</v>
      </c>
      <c r="D28" s="521">
        <v>3</v>
      </c>
      <c r="E28" s="522">
        <v>4</v>
      </c>
    </row>
    <row r="29" spans="1:5" x14ac:dyDescent="0.2">
      <c r="A29" s="523" t="s">
        <v>82</v>
      </c>
      <c r="B29" s="535">
        <v>9.4885000000000002</v>
      </c>
      <c r="C29" s="535">
        <v>303.95999999999998</v>
      </c>
      <c r="D29" s="535">
        <v>17.922999999999998</v>
      </c>
      <c r="E29" s="536">
        <v>627.28</v>
      </c>
    </row>
    <row r="30" spans="1:5" ht="13.5" thickBot="1" x14ac:dyDescent="0.25">
      <c r="A30" s="525" t="s">
        <v>255</v>
      </c>
      <c r="B30" s="526">
        <v>1.9524999999999999</v>
      </c>
      <c r="C30" s="526">
        <v>1.0669</v>
      </c>
      <c r="D30" s="526">
        <v>1.6716</v>
      </c>
      <c r="E30" s="527">
        <v>0.85</v>
      </c>
    </row>
    <row r="31" spans="1:5" x14ac:dyDescent="0.2">
      <c r="A31" s="60"/>
      <c r="B31" s="60"/>
      <c r="C31" s="60"/>
      <c r="D31" s="60"/>
      <c r="E31" s="60"/>
    </row>
    <row r="32" spans="1:5" ht="13.5" thickBot="1" x14ac:dyDescent="0.25">
      <c r="A32" s="127" t="s">
        <v>730</v>
      </c>
      <c r="B32" s="39"/>
      <c r="C32" s="39"/>
      <c r="D32" s="39"/>
      <c r="E32" s="39"/>
    </row>
    <row r="33" spans="1:9" x14ac:dyDescent="0.2">
      <c r="A33" s="627" t="s">
        <v>251</v>
      </c>
      <c r="B33" s="628">
        <v>1</v>
      </c>
      <c r="C33" s="628">
        <v>2</v>
      </c>
      <c r="D33" s="628">
        <v>3</v>
      </c>
      <c r="E33" s="629">
        <v>4</v>
      </c>
    </row>
    <row r="34" spans="1:9" x14ac:dyDescent="0.2">
      <c r="A34" s="630" t="s">
        <v>82</v>
      </c>
      <c r="B34" s="631"/>
      <c r="C34" s="631">
        <v>1.2948999999999999</v>
      </c>
      <c r="D34" s="631">
        <f>2.2326*F48/15569</f>
        <v>1.7208041621170276</v>
      </c>
      <c r="E34" s="632"/>
    </row>
    <row r="35" spans="1:9" x14ac:dyDescent="0.2">
      <c r="A35" s="630" t="s">
        <v>255</v>
      </c>
      <c r="B35" s="1015"/>
      <c r="C35" s="1015">
        <v>1.9524999999999999</v>
      </c>
      <c r="D35" s="1015">
        <v>1.9524999999999999</v>
      </c>
      <c r="E35" s="1016"/>
    </row>
    <row r="36" spans="1:9" ht="13.5" thickBot="1" x14ac:dyDescent="0.25">
      <c r="A36" s="633" t="s">
        <v>454</v>
      </c>
      <c r="B36" s="1017">
        <f>B95</f>
        <v>34806.647737773885</v>
      </c>
      <c r="C36" s="634"/>
      <c r="D36" s="634"/>
      <c r="E36" s="1018">
        <f>0.55*B36</f>
        <v>19143.656255775637</v>
      </c>
    </row>
    <row r="38" spans="1:9" x14ac:dyDescent="0.2">
      <c r="A38" s="60" t="s">
        <v>584</v>
      </c>
    </row>
    <row r="39" spans="1:9" x14ac:dyDescent="0.2">
      <c r="A39" s="60"/>
    </row>
    <row r="40" spans="1:9" x14ac:dyDescent="0.2">
      <c r="A40" s="335"/>
      <c r="B40" s="335" t="s">
        <v>523</v>
      </c>
      <c r="C40" s="333"/>
      <c r="D40" s="333"/>
      <c r="E40" s="395"/>
      <c r="F40" s="119"/>
    </row>
    <row r="41" spans="1:9" x14ac:dyDescent="0.2">
      <c r="A41" s="336"/>
      <c r="B41" s="332" t="s">
        <v>585</v>
      </c>
      <c r="C41" s="334"/>
      <c r="D41" s="332" t="s">
        <v>586</v>
      </c>
      <c r="E41" s="337" t="s">
        <v>587</v>
      </c>
      <c r="F41" s="334"/>
      <c r="G41" s="396" t="s">
        <v>588</v>
      </c>
      <c r="I41" s="816"/>
    </row>
    <row r="42" spans="1:9" x14ac:dyDescent="0.2">
      <c r="A42" s="142" t="s">
        <v>15</v>
      </c>
      <c r="B42" s="343" t="s">
        <v>108</v>
      </c>
      <c r="C42" s="343" t="s">
        <v>520</v>
      </c>
      <c r="D42" s="343" t="s">
        <v>108</v>
      </c>
      <c r="E42" s="343" t="s">
        <v>108</v>
      </c>
      <c r="F42" s="343" t="s">
        <v>13</v>
      </c>
      <c r="G42" s="142"/>
    </row>
    <row r="43" spans="1:9" x14ac:dyDescent="0.2">
      <c r="A43" s="142">
        <v>50</v>
      </c>
      <c r="B43" s="142"/>
      <c r="C43" s="142"/>
      <c r="D43" s="142">
        <v>22024</v>
      </c>
      <c r="E43" s="142">
        <v>13262</v>
      </c>
      <c r="F43" s="142"/>
      <c r="G43" s="142"/>
    </row>
    <row r="44" spans="1:9" x14ac:dyDescent="0.2">
      <c r="A44" s="142">
        <v>50</v>
      </c>
      <c r="B44" s="142">
        <v>19778</v>
      </c>
      <c r="C44" s="397">
        <f>B44/4.25</f>
        <v>4653.6470588235297</v>
      </c>
      <c r="D44" s="142"/>
      <c r="E44" s="142"/>
      <c r="F44" s="142"/>
      <c r="G44" s="142"/>
    </row>
    <row r="45" spans="1:9" x14ac:dyDescent="0.2">
      <c r="A45" s="142">
        <v>70</v>
      </c>
      <c r="B45" s="142"/>
      <c r="C45" s="142"/>
      <c r="D45" s="142">
        <v>26018</v>
      </c>
      <c r="E45" s="142">
        <v>18671</v>
      </c>
      <c r="F45" s="142"/>
      <c r="G45" s="142"/>
    </row>
    <row r="46" spans="1:9" x14ac:dyDescent="0.2">
      <c r="A46" s="142">
        <v>70</v>
      </c>
      <c r="B46" s="142">
        <v>34100</v>
      </c>
      <c r="C46" s="397">
        <f>B46/4.25</f>
        <v>8023.5294117647063</v>
      </c>
      <c r="D46" s="142">
        <v>24788</v>
      </c>
      <c r="E46" s="142"/>
      <c r="F46" s="142"/>
      <c r="G46" s="142">
        <v>23215</v>
      </c>
    </row>
    <row r="47" spans="1:9" x14ac:dyDescent="0.2">
      <c r="A47" s="142">
        <v>70</v>
      </c>
      <c r="B47" s="142">
        <v>41976</v>
      </c>
      <c r="C47" s="397">
        <f>B47/4.25</f>
        <v>9876.7058823529405</v>
      </c>
      <c r="D47" s="142"/>
      <c r="E47" s="142"/>
      <c r="F47" s="142"/>
      <c r="G47" s="142"/>
    </row>
    <row r="48" spans="1:9" x14ac:dyDescent="0.2">
      <c r="A48" s="142">
        <v>93</v>
      </c>
      <c r="B48" s="142"/>
      <c r="C48" s="397">
        <f>HLOOKUP(1,A33:E35,2)*A48^(HLOOKUP(1,A33:E35,3))</f>
        <v>0</v>
      </c>
      <c r="D48" s="142"/>
      <c r="E48" s="397">
        <f>42700/1.0915</f>
        <v>39120.476408612005</v>
      </c>
      <c r="F48" s="142">
        <v>12000</v>
      </c>
      <c r="G48" s="142"/>
    </row>
    <row r="49" spans="1:7" x14ac:dyDescent="0.2">
      <c r="A49" s="142">
        <v>99</v>
      </c>
      <c r="B49" s="142"/>
      <c r="C49" s="142"/>
      <c r="D49" s="142">
        <v>37252</v>
      </c>
      <c r="E49" s="142">
        <v>37831</v>
      </c>
      <c r="F49" s="142"/>
      <c r="G49" s="142">
        <v>31169</v>
      </c>
    </row>
    <row r="50" spans="1:7" x14ac:dyDescent="0.2">
      <c r="A50" s="142">
        <v>99</v>
      </c>
      <c r="B50" s="142">
        <v>68541</v>
      </c>
      <c r="C50" s="397">
        <f>B50/4.25</f>
        <v>16127.294117647059</v>
      </c>
      <c r="D50" s="142">
        <v>49996</v>
      </c>
      <c r="E50" s="142"/>
      <c r="F50" s="142"/>
      <c r="G50" s="142"/>
    </row>
    <row r="51" spans="1:7" x14ac:dyDescent="0.2">
      <c r="A51" s="142">
        <v>99</v>
      </c>
      <c r="B51" s="142">
        <v>81845</v>
      </c>
      <c r="C51" s="397">
        <f>B51/4.25</f>
        <v>19257.647058823528</v>
      </c>
      <c r="D51" s="142"/>
      <c r="E51" s="142"/>
      <c r="F51" s="142"/>
      <c r="G51" s="142"/>
    </row>
    <row r="52" spans="1:7" x14ac:dyDescent="0.2">
      <c r="A52" s="142">
        <v>128</v>
      </c>
      <c r="B52" s="142"/>
      <c r="C52" s="142"/>
      <c r="D52" s="142"/>
      <c r="E52" s="142"/>
      <c r="F52" s="142"/>
      <c r="G52" s="142"/>
    </row>
    <row r="86" spans="1:2" x14ac:dyDescent="0.2">
      <c r="A86" s="1352" t="s">
        <v>1349</v>
      </c>
      <c r="B86" s="1352"/>
    </row>
    <row r="87" spans="1:2" x14ac:dyDescent="0.2">
      <c r="A87" s="1020" t="s">
        <v>1315</v>
      </c>
      <c r="B87" s="1020">
        <f>'Cost &amp; Mass Functions'!D28*3+'Cost &amp; Mass Functions'!D43+'Cost &amp; Mass Functions'!D61+'Cost &amp; Mass Functions'!D85</f>
        <v>48759.874176558769</v>
      </c>
    </row>
    <row r="88" spans="1:2" x14ac:dyDescent="0.2">
      <c r="A88" s="1020" t="s">
        <v>1316</v>
      </c>
      <c r="B88" s="1020">
        <f>B9/(B89*(PI()/30))*1000</f>
        <v>1282108.125</v>
      </c>
    </row>
    <row r="89" spans="1:2" x14ac:dyDescent="0.2">
      <c r="A89" s="1021" t="s">
        <v>1328</v>
      </c>
      <c r="B89" s="1022">
        <f>(B10)/((B7/2)*(PI()/30))</f>
        <v>15.767672380621212</v>
      </c>
    </row>
    <row r="90" spans="1:2" x14ac:dyDescent="0.2">
      <c r="A90" s="1020" t="s">
        <v>1327</v>
      </c>
      <c r="B90" s="1023">
        <f>'AEP Input Output sheet'!B18</f>
        <v>10.16862880696292</v>
      </c>
    </row>
    <row r="91" spans="1:2" x14ac:dyDescent="0.2">
      <c r="A91" s="1020" t="s">
        <v>1339</v>
      </c>
      <c r="B91" s="1022">
        <f>B96*0.00368*B88</f>
        <v>13493.931594</v>
      </c>
    </row>
    <row r="92" spans="1:2" x14ac:dyDescent="0.2">
      <c r="A92" s="1020" t="s">
        <v>1340</v>
      </c>
      <c r="B92" s="1022">
        <f>0.00158*B96*B100*B97</f>
        <v>4133.7316316812621</v>
      </c>
    </row>
    <row r="93" spans="1:2" x14ac:dyDescent="0.2">
      <c r="A93" s="1020" t="s">
        <v>1341</v>
      </c>
      <c r="B93" s="1022">
        <f>0.015*B96*B87*B97</f>
        <v>8030.2077456857942</v>
      </c>
    </row>
    <row r="94" spans="1:2" x14ac:dyDescent="0.2">
      <c r="A94" s="1020" t="s">
        <v>1342</v>
      </c>
      <c r="B94" s="1022">
        <f>100*B96*B98</f>
        <v>9148.7767664068269</v>
      </c>
    </row>
    <row r="95" spans="1:2" x14ac:dyDescent="0.2">
      <c r="A95" s="1020" t="s">
        <v>123</v>
      </c>
      <c r="B95" s="1022">
        <f>SUM(B91:B94)</f>
        <v>34806.647737773885</v>
      </c>
    </row>
    <row r="96" spans="1:2" x14ac:dyDescent="0.2">
      <c r="A96" s="1020" t="s">
        <v>1343</v>
      </c>
      <c r="B96" s="1023">
        <v>2.86</v>
      </c>
    </row>
    <row r="97" spans="1:2" x14ac:dyDescent="0.2">
      <c r="A97" s="1020" t="s">
        <v>1344</v>
      </c>
      <c r="B97" s="1022">
        <f>(12.29*B7+2648)/1000</f>
        <v>3.8389009999999999</v>
      </c>
    </row>
    <row r="98" spans="1:2" ht="17.25" x14ac:dyDescent="0.25">
      <c r="A98" s="1020" t="s">
        <v>1345</v>
      </c>
      <c r="B98" s="1022">
        <f>B99^2/2</f>
        <v>31.988729952471424</v>
      </c>
    </row>
    <row r="99" spans="1:2" x14ac:dyDescent="0.2">
      <c r="A99" s="1020" t="s">
        <v>1346</v>
      </c>
      <c r="B99" s="1022">
        <f>1.5874*0.052*B7</f>
        <v>7.9985911199999995</v>
      </c>
    </row>
    <row r="100" spans="1:2" x14ac:dyDescent="0.2">
      <c r="A100" s="1020" t="s">
        <v>1347</v>
      </c>
      <c r="B100" s="1025">
        <f>1.25*B101*PI()*B7^2*(B90^2/8)</f>
        <v>238293.52716648637</v>
      </c>
    </row>
    <row r="101" spans="1:2" x14ac:dyDescent="0.2">
      <c r="A101" s="1020" t="s">
        <v>1348</v>
      </c>
      <c r="B101" s="1022">
        <v>0.5</v>
      </c>
    </row>
    <row r="135" spans="2:4" x14ac:dyDescent="0.2">
      <c r="B135" s="993"/>
      <c r="C135" s="993"/>
      <c r="D135" s="132"/>
    </row>
    <row r="136" spans="2:4" x14ac:dyDescent="0.2">
      <c r="B136" s="994"/>
      <c r="C136" s="993"/>
      <c r="D136" s="132"/>
    </row>
    <row r="137" spans="2:4" x14ac:dyDescent="0.2">
      <c r="B137" s="993"/>
      <c r="C137" s="993"/>
      <c r="D137" s="132"/>
    </row>
    <row r="138" spans="2:4" x14ac:dyDescent="0.2">
      <c r="D138" s="132"/>
    </row>
  </sheetData>
  <mergeCells count="1">
    <mergeCell ref="A86:B86"/>
  </mergeCells>
  <phoneticPr fontId="3" type="noConversion"/>
  <pageMargins left="0.75" right="0.75" top="1" bottom="1" header="0.5" footer="0.5"/>
  <pageSetup orientation="portrait" horizontalDpi="300" verticalDpi="300"/>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25"/>
  </sheetPr>
  <dimension ref="A1:D14"/>
  <sheetViews>
    <sheetView workbookViewId="0">
      <selection activeCell="B7" sqref="B7"/>
    </sheetView>
  </sheetViews>
  <sheetFormatPr defaultColWidth="8.85546875" defaultRowHeight="12.75" x14ac:dyDescent="0.2"/>
  <cols>
    <col min="1" max="1" width="35.28515625" customWidth="1"/>
  </cols>
  <sheetData>
    <row r="1" spans="1:4" x14ac:dyDescent="0.2">
      <c r="A1" s="1" t="str">
        <f>'Input &amp; Summary'!A1</f>
        <v>Based on Combined Land Based-Offshore Turbine Cost Model. V2.01.12</v>
      </c>
      <c r="B1" s="1"/>
      <c r="C1" s="1"/>
    </row>
    <row r="2" spans="1:4" ht="51" x14ac:dyDescent="0.2">
      <c r="A2" s="555" t="str">
        <f>'Input &amp; Summary'!A2</f>
        <v>Note:  This Model Contains Proprietary or Wind Technology Protected Data, and Should Not Be Released Outside of the DOE/NREL/SNL, until Further Notice.</v>
      </c>
      <c r="B2" s="555"/>
      <c r="C2" s="555"/>
    </row>
    <row r="4" spans="1:4" x14ac:dyDescent="0.2">
      <c r="A4" s="21" t="s">
        <v>524</v>
      </c>
    </row>
    <row r="5" spans="1:4" ht="13.5" thickBot="1" x14ac:dyDescent="0.25">
      <c r="A5" s="21"/>
    </row>
    <row r="6" spans="1:4" ht="39" thickBot="1" x14ac:dyDescent="0.25">
      <c r="B6" s="480" t="s">
        <v>625</v>
      </c>
    </row>
    <row r="7" spans="1:4" ht="13.5" thickBot="1" x14ac:dyDescent="0.25">
      <c r="A7" s="221" t="s">
        <v>248</v>
      </c>
      <c r="B7" s="466">
        <f>'Input &amp; Summary'!B7</f>
        <v>1910</v>
      </c>
    </row>
    <row r="8" spans="1:4" ht="13.5" thickBot="1" x14ac:dyDescent="0.25">
      <c r="A8" s="21"/>
      <c r="B8" s="537"/>
    </row>
    <row r="9" spans="1:4" ht="13.5" thickBot="1" x14ac:dyDescent="0.25">
      <c r="A9" s="21"/>
      <c r="B9" s="519" t="s">
        <v>100</v>
      </c>
    </row>
    <row r="10" spans="1:4" ht="13.5" thickBot="1" x14ac:dyDescent="0.25">
      <c r="A10" s="472" t="s">
        <v>525</v>
      </c>
      <c r="B10" s="122">
        <f>40*B7</f>
        <v>76400</v>
      </c>
      <c r="C10" s="516">
        <f>'PPI Calculation'!D116</f>
        <v>1.7516053465102137</v>
      </c>
      <c r="D10" s="22" t="s">
        <v>590</v>
      </c>
    </row>
    <row r="11" spans="1:4" ht="13.5" thickBot="1" x14ac:dyDescent="0.25">
      <c r="A11" s="472" t="s">
        <v>652</v>
      </c>
      <c r="B11" s="122">
        <f>B10*C10</f>
        <v>133822.64847338034</v>
      </c>
      <c r="C11" s="550">
        <f>'Input &amp; Summary'!F7</f>
        <v>2010</v>
      </c>
      <c r="D11" s="567" t="s">
        <v>648</v>
      </c>
    </row>
    <row r="14" spans="1:4" x14ac:dyDescent="0.2">
      <c r="A14" s="138" t="s">
        <v>1071</v>
      </c>
      <c r="B14" s="759">
        <v>40</v>
      </c>
    </row>
  </sheetData>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1"/>
    <pageSetUpPr fitToPage="1"/>
  </sheetPr>
  <dimension ref="A1:O91"/>
  <sheetViews>
    <sheetView topLeftCell="A10" zoomScaleNormal="100" workbookViewId="0">
      <selection activeCell="F35" sqref="F35"/>
    </sheetView>
  </sheetViews>
  <sheetFormatPr defaultColWidth="8.85546875" defaultRowHeight="12.75" x14ac:dyDescent="0.2"/>
  <cols>
    <col min="1" max="1" width="62.7109375" customWidth="1"/>
    <col min="2" max="2" width="13.85546875" bestFit="1" customWidth="1"/>
    <col min="3" max="3" width="13.42578125" customWidth="1"/>
    <col min="4" max="4" width="13.42578125" style="1153" customWidth="1"/>
    <col min="5" max="5" width="14.7109375" customWidth="1"/>
    <col min="6" max="6" width="13.42578125" customWidth="1"/>
    <col min="7" max="7" width="12.85546875" bestFit="1" customWidth="1"/>
    <col min="8" max="8" width="30.85546875" customWidth="1"/>
    <col min="9" max="9" width="37.42578125" customWidth="1"/>
    <col min="10" max="10" width="32.140625" customWidth="1"/>
    <col min="11" max="11" width="34.42578125" bestFit="1" customWidth="1"/>
    <col min="12" max="12" width="11.42578125" customWidth="1"/>
  </cols>
  <sheetData>
    <row r="1" spans="1:11" x14ac:dyDescent="0.2">
      <c r="A1" s="1" t="str">
        <f>'Input &amp; Summary'!A1</f>
        <v>Based on Combined Land Based-Offshore Turbine Cost Model. V2.01.12</v>
      </c>
      <c r="B1" s="1"/>
      <c r="C1" s="1"/>
      <c r="D1" s="1"/>
    </row>
    <row r="2" spans="1:11" ht="25.5" x14ac:dyDescent="0.2">
      <c r="A2" s="555" t="str">
        <f>'Input &amp; Summary'!A2</f>
        <v>Note:  This Model Contains Proprietary or Wind Technology Protected Data, and Should Not Be Released Outside of the DOE/NREL/SNL, until Further Notice.</v>
      </c>
      <c r="B2" s="1"/>
      <c r="C2" s="1"/>
      <c r="D2" s="1"/>
    </row>
    <row r="3" spans="1:11" x14ac:dyDescent="0.2">
      <c r="A3" s="1"/>
      <c r="B3" s="1"/>
      <c r="C3" s="1"/>
      <c r="D3" s="1"/>
    </row>
    <row r="4" spans="1:11" x14ac:dyDescent="0.2">
      <c r="A4" s="400" t="s">
        <v>602</v>
      </c>
      <c r="B4" s="401"/>
    </row>
    <row r="5" spans="1:11" x14ac:dyDescent="0.2">
      <c r="A5" s="402" t="s">
        <v>84</v>
      </c>
      <c r="B5" s="330">
        <f>'Input &amp; Summary'!B7</f>
        <v>1910</v>
      </c>
    </row>
    <row r="6" spans="1:11" x14ac:dyDescent="0.2">
      <c r="A6" s="402" t="s">
        <v>15</v>
      </c>
      <c r="B6" s="330">
        <f>'Input &amp; Summary'!B8</f>
        <v>96.9</v>
      </c>
    </row>
    <row r="7" spans="1:11" x14ac:dyDescent="0.2">
      <c r="A7" s="402" t="s">
        <v>16</v>
      </c>
      <c r="B7" s="330">
        <f>'Input &amp; Summary'!B9</f>
        <v>82.7</v>
      </c>
    </row>
    <row r="8" spans="1:11" ht="13.5" thickBot="1" x14ac:dyDescent="0.25">
      <c r="H8" s="11">
        <v>1</v>
      </c>
      <c r="I8" s="11">
        <v>2</v>
      </c>
      <c r="J8" s="11">
        <v>3</v>
      </c>
      <c r="K8" s="11">
        <v>4</v>
      </c>
    </row>
    <row r="9" spans="1:11" ht="13.5" thickBot="1" x14ac:dyDescent="0.25">
      <c r="A9" s="708" t="str">
        <f>HLOOKUP('Input &amp; Summary'!$B$4,'Cost Summary'!$H$8:$K$9,2)</f>
        <v>Land Based</v>
      </c>
      <c r="B9" s="640"/>
      <c r="C9" s="641"/>
      <c r="D9" s="1238"/>
      <c r="H9" t="s">
        <v>882</v>
      </c>
      <c r="I9" t="s">
        <v>883</v>
      </c>
      <c r="J9" t="s">
        <v>885</v>
      </c>
      <c r="K9" t="s">
        <v>884</v>
      </c>
    </row>
    <row r="10" spans="1:11" ht="13.5" thickBot="1" x14ac:dyDescent="0.25">
      <c r="A10" s="568" t="s">
        <v>650</v>
      </c>
      <c r="B10" s="21">
        <f>'Input &amp; Summary'!F7</f>
        <v>2010</v>
      </c>
    </row>
    <row r="11" spans="1:11" ht="13.9" customHeight="1" thickTop="1" x14ac:dyDescent="0.2">
      <c r="A11" s="459"/>
      <c r="B11" s="460"/>
      <c r="C11" s="461"/>
      <c r="D11" s="1268" t="s">
        <v>1519</v>
      </c>
      <c r="E11" s="1268" t="s">
        <v>1520</v>
      </c>
      <c r="F11" s="1268" t="s">
        <v>1521</v>
      </c>
    </row>
    <row r="12" spans="1:11" ht="13.9" customHeight="1" thickBot="1" x14ac:dyDescent="0.25">
      <c r="A12" s="403"/>
      <c r="B12" s="404" t="s">
        <v>17</v>
      </c>
      <c r="C12" s="405" t="s">
        <v>17</v>
      </c>
      <c r="D12" s="1269"/>
      <c r="E12" s="1269"/>
      <c r="F12" s="1269"/>
    </row>
    <row r="13" spans="1:11" x14ac:dyDescent="0.2">
      <c r="A13" s="403"/>
      <c r="B13" s="404" t="s">
        <v>18</v>
      </c>
      <c r="C13" s="405" t="s">
        <v>13</v>
      </c>
      <c r="D13" s="1239"/>
    </row>
    <row r="14" spans="1:11" ht="13.5" thickBot="1" x14ac:dyDescent="0.25">
      <c r="A14" s="406" t="s">
        <v>17</v>
      </c>
      <c r="B14" s="407"/>
      <c r="C14" s="408" t="s">
        <v>43</v>
      </c>
      <c r="D14" s="1239"/>
    </row>
    <row r="15" spans="1:11" ht="13.5" thickTop="1" x14ac:dyDescent="0.2">
      <c r="A15" s="409" t="s">
        <v>19</v>
      </c>
      <c r="B15" s="410">
        <f>SUM(B16:B19)</f>
        <v>538.81637968828886</v>
      </c>
      <c r="C15" s="411">
        <f>SUM(C16:C19)</f>
        <v>48759.874176558769</v>
      </c>
      <c r="D15" s="1250">
        <v>333.79490439163624</v>
      </c>
      <c r="E15" s="143">
        <v>282.10281659072717</v>
      </c>
      <c r="F15" s="993">
        <v>282.10281659072717</v>
      </c>
      <c r="G15" s="993"/>
    </row>
    <row r="16" spans="1:11" x14ac:dyDescent="0.2">
      <c r="A16" s="412" t="s">
        <v>20</v>
      </c>
      <c r="B16" s="413">
        <f>'Cost &amp; Mass Functions'!D30/1000</f>
        <v>322.99399444366605</v>
      </c>
      <c r="C16" s="414">
        <f>'Cost &amp; Mass Functions'!D28*3</f>
        <v>27248.601187263586</v>
      </c>
      <c r="D16" s="1250">
        <v>212.43853393279136</v>
      </c>
      <c r="E16" s="143">
        <v>169.10680337364715</v>
      </c>
      <c r="F16" s="993">
        <v>169.10680337364715</v>
      </c>
      <c r="G16" s="993"/>
    </row>
    <row r="17" spans="1:7" x14ac:dyDescent="0.2">
      <c r="A17" s="412" t="s">
        <v>21</v>
      </c>
      <c r="B17" s="413">
        <f>'Cost &amp; Mass Functions'!D46/1000</f>
        <v>84.903251991555365</v>
      </c>
      <c r="C17" s="414">
        <f>'Cost &amp; Mass Functions'!D43</f>
        <v>14345.55787151434</v>
      </c>
      <c r="D17" s="1250">
        <v>52.812321635249347</v>
      </c>
      <c r="E17" s="143">
        <v>44.451964393484488</v>
      </c>
      <c r="F17" s="993">
        <v>44.451964393484488</v>
      </c>
      <c r="G17" s="993"/>
    </row>
    <row r="18" spans="1:7" x14ac:dyDescent="0.2">
      <c r="A18" s="412" t="s">
        <v>22</v>
      </c>
      <c r="B18" s="413">
        <f>'Cost &amp; Mass Functions'!D73/1000</f>
        <v>123.44283252314391</v>
      </c>
      <c r="C18" s="414">
        <f>'Cost &amp; Mass Functions'!D61</f>
        <v>5893.5651177808422</v>
      </c>
      <c r="D18" s="1250">
        <v>64.629755247719331</v>
      </c>
      <c r="E18" s="1250">
        <v>64.629755247719331</v>
      </c>
      <c r="F18" s="1250">
        <v>64.629755247719331</v>
      </c>
      <c r="G18" s="993"/>
    </row>
    <row r="19" spans="1:7" x14ac:dyDescent="0.2">
      <c r="A19" s="418" t="s">
        <v>696</v>
      </c>
      <c r="B19" s="413">
        <f>'Cost &amp; Mass Functions'!D88/1000</f>
        <v>7.4763007299235404</v>
      </c>
      <c r="C19" s="414">
        <f>'Cost &amp; Mass Functions'!D85</f>
        <v>1272.1500000000001</v>
      </c>
      <c r="D19" s="1250">
        <v>3.9142935758761994</v>
      </c>
      <c r="E19" s="1250">
        <v>3.9142935758761994</v>
      </c>
      <c r="F19" s="1250">
        <v>3.9142935758761994</v>
      </c>
      <c r="G19" s="993"/>
    </row>
    <row r="20" spans="1:7" x14ac:dyDescent="0.2">
      <c r="A20" s="415" t="s">
        <v>23</v>
      </c>
      <c r="B20" s="416">
        <f>SUM(B21:B31)</f>
        <v>1283.2259839617709</v>
      </c>
      <c r="C20" s="417">
        <f>SUM(C21:C31)</f>
        <v>86398.761165630072</v>
      </c>
      <c r="D20" s="1250">
        <v>672</v>
      </c>
      <c r="E20" s="1250">
        <v>672</v>
      </c>
      <c r="F20" s="1250">
        <v>672</v>
      </c>
      <c r="G20" s="993"/>
    </row>
    <row r="21" spans="1:7" x14ac:dyDescent="0.2">
      <c r="A21" s="418" t="s">
        <v>24</v>
      </c>
      <c r="B21" s="413">
        <f>'Cost &amp; Mass Functions'!D117/1000</f>
        <v>84.704238847853389</v>
      </c>
      <c r="C21" s="414">
        <f>'Cost &amp; Mass Functions'!D114</f>
        <v>11641.158693094339</v>
      </c>
      <c r="D21" s="1250">
        <v>44.347769030289733</v>
      </c>
      <c r="E21" s="1250">
        <v>44.347769030289733</v>
      </c>
      <c r="F21" s="1250">
        <v>44.347769030289733</v>
      </c>
      <c r="G21" s="993"/>
    </row>
    <row r="22" spans="1:7" x14ac:dyDescent="0.2">
      <c r="A22" s="418" t="s">
        <v>25</v>
      </c>
      <c r="B22" s="413">
        <f>'Cost &amp; Mass Functions'!D137/1000</f>
        <v>50.58042091315302</v>
      </c>
      <c r="C22" s="414">
        <f>'Cost &amp; Mass Functions'!D132</f>
        <v>2141.1791007429374</v>
      </c>
      <c r="D22" s="1250">
        <v>26.481895766048702</v>
      </c>
      <c r="E22" s="1250">
        <v>26.481895766048702</v>
      </c>
      <c r="F22" s="1250">
        <v>26.481895766048702</v>
      </c>
    </row>
    <row r="23" spans="1:7" x14ac:dyDescent="0.2">
      <c r="A23" s="418" t="s">
        <v>26</v>
      </c>
      <c r="B23" s="413">
        <f>'Cost &amp; Mass Functions'!D159/1000</f>
        <v>277.60935752954083</v>
      </c>
      <c r="C23" s="414">
        <f>'Cost &amp; Mass Functions'!D156</f>
        <v>14990.815905586207</v>
      </c>
      <c r="D23" s="1250">
        <v>145.34521336625176</v>
      </c>
      <c r="E23" s="1250">
        <v>145.34521336625176</v>
      </c>
      <c r="F23" s="1250">
        <v>145.34521336625176</v>
      </c>
    </row>
    <row r="24" spans="1:7" x14ac:dyDescent="0.2">
      <c r="A24" s="418" t="s">
        <v>27</v>
      </c>
      <c r="B24" s="413">
        <f>'Cost &amp; Mass Functions'!D172/1000</f>
        <v>3.8993492881911909</v>
      </c>
      <c r="C24" s="414">
        <f>'Cost &amp; Mass Functions'!D173</f>
        <v>379.96399000000002</v>
      </c>
      <c r="D24" s="1250">
        <v>2.0415441299430319</v>
      </c>
      <c r="E24" s="1250">
        <v>2.0415441299430319</v>
      </c>
      <c r="F24" s="1250">
        <v>2.0415441299430319</v>
      </c>
    </row>
    <row r="25" spans="1:7" x14ac:dyDescent="0.2">
      <c r="A25" s="418" t="s">
        <v>28</v>
      </c>
      <c r="B25" s="413">
        <f>'Cost &amp; Mass Functions'!D197/1000</f>
        <v>162.93023588277342</v>
      </c>
      <c r="C25" s="414">
        <f>'Cost &amp; Mass Functions'!D194</f>
        <v>6874.634992897807</v>
      </c>
      <c r="D25" s="1250">
        <v>85.303788420300222</v>
      </c>
      <c r="E25" s="1250">
        <v>85.303788420300222</v>
      </c>
      <c r="F25" s="1250">
        <v>85.303788420300222</v>
      </c>
      <c r="G25" s="993"/>
    </row>
    <row r="26" spans="1:7" x14ac:dyDescent="0.2">
      <c r="A26" s="418" t="s">
        <v>29</v>
      </c>
      <c r="B26" s="413">
        <f>'Cost &amp; Mass Functions'!D207/1000</f>
        <v>199.70612727272723</v>
      </c>
      <c r="C26" s="414"/>
      <c r="D26" s="1250">
        <v>104.55818181818179</v>
      </c>
      <c r="E26" s="1250">
        <v>104.55818181818179</v>
      </c>
      <c r="F26" s="1250">
        <v>104.55818181818179</v>
      </c>
      <c r="G26" s="993"/>
    </row>
    <row r="27" spans="1:7" x14ac:dyDescent="0.2">
      <c r="A27" s="418" t="s">
        <v>30</v>
      </c>
      <c r="B27" s="413">
        <f>'Cost &amp; Mass Functions'!D224/1000</f>
        <v>72.822326801648245</v>
      </c>
      <c r="C27" s="414">
        <f>'Cost &amp; Mass Functions'!D221</f>
        <v>5508.5778216046474</v>
      </c>
      <c r="D27" s="1250">
        <v>38.126872671020024</v>
      </c>
      <c r="E27" s="1250">
        <v>38.126872671020024</v>
      </c>
      <c r="F27" s="1250">
        <v>38.126872671020024</v>
      </c>
      <c r="G27" s="993"/>
    </row>
    <row r="28" spans="1:7" x14ac:dyDescent="0.2">
      <c r="A28" s="418" t="s">
        <v>31</v>
      </c>
      <c r="B28" s="413">
        <f>'Cost &amp; Mass Functions'!D281/1000</f>
        <v>238.71788414172568</v>
      </c>
      <c r="C28" s="414">
        <f>'Cost &amp; Mass Functions'!D274</f>
        <v>41833.478439481914</v>
      </c>
      <c r="D28" s="1250">
        <v>126.63390172849343</v>
      </c>
      <c r="E28" s="143">
        <v>124.98318541451606</v>
      </c>
      <c r="F28" s="993">
        <v>124.98318541451606</v>
      </c>
      <c r="G28" s="993"/>
    </row>
    <row r="29" spans="1:7" x14ac:dyDescent="0.2">
      <c r="A29" s="418" t="s">
        <v>32</v>
      </c>
      <c r="B29" s="413">
        <f>'Cost &amp; Mass Functions'!D291/1000</f>
        <v>133.82264847338033</v>
      </c>
      <c r="C29" s="414"/>
      <c r="D29" s="1250">
        <v>70.064213860408543</v>
      </c>
      <c r="E29" s="1250">
        <v>70.064213860408543</v>
      </c>
      <c r="F29" s="1250">
        <v>70.064213860408543</v>
      </c>
      <c r="G29" s="993"/>
    </row>
    <row r="30" spans="1:7" x14ac:dyDescent="0.2">
      <c r="A30" s="418" t="s">
        <v>634</v>
      </c>
      <c r="B30" s="413">
        <f>'Cost &amp; Mass Functions'!D306/1000</f>
        <v>31.121764705882349</v>
      </c>
      <c r="C30" s="414">
        <f>'Cost &amp; Mass Functions'!D303</f>
        <v>152.80000000000001</v>
      </c>
      <c r="D30" s="1250">
        <v>16.294117647058819</v>
      </c>
      <c r="E30" s="1250">
        <v>16.294117647058819</v>
      </c>
      <c r="F30" s="1250">
        <v>16.294117647058819</v>
      </c>
      <c r="G30" s="993"/>
    </row>
    <row r="31" spans="1:7" x14ac:dyDescent="0.2">
      <c r="A31" s="418" t="s">
        <v>33</v>
      </c>
      <c r="B31" s="413">
        <f>'Cost &amp; Mass Functions'!D322/1000</f>
        <v>27.311630104895421</v>
      </c>
      <c r="C31" s="414">
        <f>'Cost &amp; Mass Functions'!D319</f>
        <v>2876.1522222222225</v>
      </c>
      <c r="D31" s="1250">
        <v>14.299282777432159</v>
      </c>
      <c r="E31" s="1250">
        <v>14.299282777432159</v>
      </c>
      <c r="F31" s="1250">
        <v>14.299282777432159</v>
      </c>
      <c r="G31" s="993"/>
    </row>
    <row r="32" spans="1:7" x14ac:dyDescent="0.2">
      <c r="A32" s="999" t="s">
        <v>839</v>
      </c>
      <c r="B32" s="419">
        <f>IF('Input &amp; Summary'!B4=1,'Cost &amp; Mass Functions'!D331/1000,'Cost &amp; Mass Functions'!D340/1000)</f>
        <v>43.220878421387653</v>
      </c>
      <c r="C32" s="417"/>
      <c r="D32" s="1250">
        <v>22.62873215779458</v>
      </c>
      <c r="E32" s="1250">
        <v>22.62873215779458</v>
      </c>
      <c r="F32" s="1250">
        <v>22.62873215779458</v>
      </c>
      <c r="G32" s="1240" t="s">
        <v>1518</v>
      </c>
    </row>
    <row r="33" spans="1:15" x14ac:dyDescent="0.2">
      <c r="A33" s="999" t="s">
        <v>35</v>
      </c>
      <c r="B33" s="419">
        <f>'Cost &amp; Mass Functions'!D361/1000</f>
        <v>397.1660361582214</v>
      </c>
      <c r="C33" s="421">
        <f>'Cost &amp; Mass Functions'!D358</f>
        <v>166068.35858562432</v>
      </c>
      <c r="D33" s="1250">
        <v>301.59014006684185</v>
      </c>
      <c r="E33" s="143">
        <v>301.59014006684185</v>
      </c>
      <c r="F33" s="993">
        <v>207.9403330671316</v>
      </c>
      <c r="G33" s="1236"/>
    </row>
    <row r="34" spans="1:15" ht="13.5" thickBot="1" x14ac:dyDescent="0.25">
      <c r="A34" s="999" t="str">
        <f>IF('Input &amp; Summary'!B4=1," ",'OS Marinization'!A4 )</f>
        <v xml:space="preserve"> </v>
      </c>
      <c r="B34" s="761">
        <f>IF('Input &amp; Summary'!B4=1,,'Cost &amp; Mass Functions'!D481/1000 )</f>
        <v>0</v>
      </c>
      <c r="C34" s="417"/>
      <c r="D34" s="1240"/>
      <c r="F34" s="993"/>
      <c r="G34" s="993"/>
    </row>
    <row r="35" spans="1:15" ht="13.5" thickBot="1" x14ac:dyDescent="0.25">
      <c r="A35" s="1000" t="s">
        <v>36</v>
      </c>
      <c r="B35" s="420">
        <f>B15+B20+B32+B33+B34</f>
        <v>2262.4292782296689</v>
      </c>
      <c r="C35" s="998">
        <f>C33+C32+C20+C15+C34</f>
        <v>301226.99392781314</v>
      </c>
      <c r="D35" s="420">
        <f>D15+D20+D32+D33+D34</f>
        <v>1330.0137766162725</v>
      </c>
      <c r="E35" s="420">
        <f>E15+E20+E32+E33+E34</f>
        <v>1278.3216888153636</v>
      </c>
      <c r="F35" s="420">
        <f>F15+F20+F32+F33+F34</f>
        <v>1184.6718818156533</v>
      </c>
      <c r="G35" s="993"/>
      <c r="H35" s="248" t="s">
        <v>853</v>
      </c>
      <c r="I35" s="699"/>
      <c r="J35" s="699"/>
      <c r="K35" s="700"/>
      <c r="L35" s="248" t="s">
        <v>856</v>
      </c>
      <c r="M35" s="699"/>
      <c r="N35" s="699"/>
      <c r="O35" s="700"/>
    </row>
    <row r="36" spans="1:15" x14ac:dyDescent="0.2">
      <c r="A36" s="1000"/>
      <c r="B36" s="419"/>
      <c r="C36" s="414"/>
      <c r="D36" s="1241"/>
      <c r="E36" s="993"/>
      <c r="F36" s="993"/>
      <c r="H36" s="693">
        <v>1</v>
      </c>
      <c r="I36" s="694">
        <v>2</v>
      </c>
      <c r="J36" s="694">
        <v>3</v>
      </c>
      <c r="K36" s="695">
        <v>4</v>
      </c>
      <c r="L36" s="693">
        <v>1</v>
      </c>
      <c r="M36" s="694">
        <v>2</v>
      </c>
      <c r="N36" s="694">
        <v>3</v>
      </c>
      <c r="O36" s="695">
        <v>4</v>
      </c>
    </row>
    <row r="37" spans="1:15" x14ac:dyDescent="0.2">
      <c r="A37" s="1001" t="str">
        <f>[1]Results!$A$7</f>
        <v>Total Engineering Costs [$k]</v>
      </c>
      <c r="B37" s="1002">
        <f>[1]Results!$B$7/[1]!NumTurbines</f>
        <v>30.5</v>
      </c>
      <c r="C37" s="421"/>
      <c r="D37" s="1242"/>
      <c r="E37">
        <v>30.5</v>
      </c>
      <c r="F37" s="993">
        <f t="shared" ref="F37:F44" si="0">B37-E37</f>
        <v>0</v>
      </c>
      <c r="H37" s="238" t="s">
        <v>692</v>
      </c>
      <c r="I37" s="31" t="s">
        <v>840</v>
      </c>
      <c r="J37" s="31" t="s">
        <v>841</v>
      </c>
      <c r="K37" s="239" t="s">
        <v>850</v>
      </c>
      <c r="L37" s="702">
        <f>'Cost &amp; Mass Functions'!D375</f>
        <v>97892.621936829149</v>
      </c>
      <c r="M37" s="703">
        <f>'Cost &amp; Mass Functions'!D577</f>
        <v>840941.62045616528</v>
      </c>
      <c r="N37" s="703">
        <f>'Cost &amp; Mass Functions'!D619</f>
        <v>1261412.430684248</v>
      </c>
      <c r="O37" s="704"/>
    </row>
    <row r="38" spans="1:15" x14ac:dyDescent="0.2">
      <c r="A38" s="1001" t="str">
        <f>[1]Results!$A$8</f>
        <v>Total Permitting Costs [$k]</v>
      </c>
      <c r="B38" s="1002">
        <f>[1]Results!$B$8/[1]!NumTurbines</f>
        <v>60.6</v>
      </c>
      <c r="C38" s="414"/>
      <c r="D38" s="1241"/>
      <c r="E38">
        <v>60.6</v>
      </c>
      <c r="F38" s="993">
        <f t="shared" si="0"/>
        <v>0</v>
      </c>
      <c r="H38" s="238" t="s">
        <v>842</v>
      </c>
      <c r="I38" s="31" t="s">
        <v>842</v>
      </c>
      <c r="J38" s="31" t="s">
        <v>881</v>
      </c>
      <c r="K38" s="239" t="s">
        <v>851</v>
      </c>
      <c r="L38" s="702">
        <f>'Cost &amp; Mass Functions'!D390</f>
        <v>90796.034971628731</v>
      </c>
      <c r="M38" s="703">
        <f>'Cost &amp; Mass Functions'!D599</f>
        <v>90796.034971628731</v>
      </c>
      <c r="N38" s="703">
        <f>'Cost &amp; Mass Functions'!D627</f>
        <v>925035.78250178182</v>
      </c>
      <c r="O38" s="704"/>
    </row>
    <row r="39" spans="1:15" x14ac:dyDescent="0.2">
      <c r="A39" s="1001" t="str">
        <f>[1]Results!$A$9</f>
        <v>Total Ports and Staging Costs [$k]</v>
      </c>
      <c r="B39" s="1002">
        <f>[1]Results!$B$9/[1]!NumTurbines</f>
        <v>430.09398835110403</v>
      </c>
      <c r="C39" s="414"/>
      <c r="D39" s="1241"/>
      <c r="E39">
        <v>440.38781276412641</v>
      </c>
      <c r="F39" s="993">
        <f t="shared" si="0"/>
        <v>-10.293824413022378</v>
      </c>
      <c r="H39" s="238" t="s">
        <v>843</v>
      </c>
      <c r="I39" s="31" t="s">
        <v>848</v>
      </c>
      <c r="J39" s="31" t="s">
        <v>847</v>
      </c>
      <c r="K39" s="239" t="s">
        <v>849</v>
      </c>
      <c r="L39" s="702">
        <f>'Cost &amp; Mass Functions'!D404</f>
        <v>153532.65067502984</v>
      </c>
      <c r="M39" s="703">
        <f>'Cost &amp; Mass Functions'!D491</f>
        <v>56062.774697077686</v>
      </c>
      <c r="N39" s="703">
        <f>'Cost &amp; Mass Functions'!D636</f>
        <v>70078.468371347102</v>
      </c>
      <c r="O39" s="704"/>
    </row>
    <row r="40" spans="1:15" x14ac:dyDescent="0.2">
      <c r="A40" s="1001" t="str">
        <f>[1]Results!$A$10</f>
        <v>Total Foundations Cost [$k]</v>
      </c>
      <c r="B40" s="1002">
        <f>[1]Results!$B$10/[1]!NumTurbines</f>
        <v>3602.1561703990801</v>
      </c>
      <c r="C40" s="414"/>
      <c r="D40" s="1241"/>
      <c r="E40">
        <v>3714.8806704616604</v>
      </c>
      <c r="F40" s="993">
        <f t="shared" si="0"/>
        <v>-112.72450006258032</v>
      </c>
      <c r="H40" s="238" t="s">
        <v>844</v>
      </c>
      <c r="I40" s="31" t="s">
        <v>750</v>
      </c>
      <c r="J40" s="31" t="s">
        <v>842</v>
      </c>
      <c r="K40" s="239" t="s">
        <v>842</v>
      </c>
      <c r="L40" s="702">
        <f>'Cost &amp; Mass Functions'!D415</f>
        <v>111781.98652047792</v>
      </c>
      <c r="M40" s="703">
        <f>'Cost &amp; Mass Functions'!D585</f>
        <v>280313.87348538841</v>
      </c>
      <c r="N40" s="703">
        <f>'Cost &amp; Mass Functions'!D645</f>
        <v>171559.36305732481</v>
      </c>
      <c r="O40" s="704"/>
    </row>
    <row r="41" spans="1:15" x14ac:dyDescent="0.2">
      <c r="A41" s="1001" t="str">
        <f>[1]Results!$A$11</f>
        <v>Total Electrical Costs [$k]</v>
      </c>
      <c r="B41" s="1002">
        <f>[1]Results!$B$11/[1]!NumTurbines</f>
        <v>1785.4062093374212</v>
      </c>
      <c r="C41" s="414"/>
      <c r="D41" s="1241"/>
      <c r="E41">
        <v>1794.9321296568296</v>
      </c>
      <c r="F41" s="993">
        <f t="shared" si="0"/>
        <v>-9.5259203194084421</v>
      </c>
      <c r="H41" s="238" t="s">
        <v>845</v>
      </c>
      <c r="I41" s="31" t="s">
        <v>759</v>
      </c>
      <c r="J41" s="31" t="s">
        <v>750</v>
      </c>
      <c r="K41" s="239" t="s">
        <v>750</v>
      </c>
      <c r="L41" s="702">
        <f>'Cost &amp; Mass Functions'!D429</f>
        <v>279383.56871904363</v>
      </c>
      <c r="M41" s="703">
        <f>'Cost &amp; Mass Functions'!D607</f>
        <v>852661.55568210583</v>
      </c>
      <c r="N41" s="703">
        <f>'Cost &amp; Mass Functions'!D653</f>
        <v>280313.87348538841</v>
      </c>
      <c r="O41" s="704"/>
    </row>
    <row r="42" spans="1:15" x14ac:dyDescent="0.2">
      <c r="A42" s="1001" t="str">
        <f>[1]Results!$A$12</f>
        <v>Total Vessels Costs [$k]</v>
      </c>
      <c r="B42" s="1002">
        <f>[1]Results!$B$12/[1]!NumTurbines</f>
        <v>3510.939975146805</v>
      </c>
      <c r="C42" s="414"/>
      <c r="D42" s="1241"/>
      <c r="E42">
        <v>3527.2864544149093</v>
      </c>
      <c r="F42" s="993">
        <f t="shared" si="0"/>
        <v>-16.346479268104304</v>
      </c>
      <c r="H42" s="238" t="s">
        <v>757</v>
      </c>
      <c r="I42" s="31" t="s">
        <v>763</v>
      </c>
      <c r="J42" s="31" t="s">
        <v>744</v>
      </c>
      <c r="K42" s="239" t="s">
        <v>744</v>
      </c>
      <c r="L42" s="702">
        <f>'Cost &amp; Mass Functions'!D440</f>
        <v>47777.281742079678</v>
      </c>
      <c r="M42" s="703">
        <f>'Cost &amp; Mass Functions'!D501</f>
        <v>77710.18026565465</v>
      </c>
      <c r="N42" s="703">
        <f>'Cost &amp; Mass Functions'!D491</f>
        <v>56062.774697077686</v>
      </c>
      <c r="O42" s="704"/>
    </row>
    <row r="43" spans="1:15" x14ac:dyDescent="0.2">
      <c r="A43" s="1001" t="str">
        <f>[1]Results!$A$13</f>
        <v>Total Decommissioning Costs [$k]</v>
      </c>
      <c r="B43" s="1002">
        <f>[1]Results!$B$13/[1]!NumTurbines</f>
        <v>946.11097558404788</v>
      </c>
      <c r="C43" s="639"/>
      <c r="D43" s="1241"/>
      <c r="E43">
        <v>946.73016040480945</v>
      </c>
      <c r="F43" s="993">
        <f t="shared" si="0"/>
        <v>-0.61918482076157488</v>
      </c>
      <c r="H43" s="696" t="s">
        <v>852</v>
      </c>
      <c r="I43" s="31" t="s">
        <v>846</v>
      </c>
      <c r="J43" s="31" t="s">
        <v>759</v>
      </c>
      <c r="K43" s="239" t="s">
        <v>759</v>
      </c>
      <c r="L43" s="702"/>
      <c r="M43" s="703">
        <f>'Cost &amp; Mass Functions'!D509</f>
        <v>65977.229601518033</v>
      </c>
      <c r="N43" s="703">
        <f>'Cost &amp; Mass Functions'!D661</f>
        <v>951045.58133773343</v>
      </c>
      <c r="O43" s="704"/>
    </row>
    <row r="44" spans="1:15" x14ac:dyDescent="0.2">
      <c r="A44" s="1001" t="str">
        <f>[1]Results!$A$14</f>
        <v>Additional Capital Expenditures [$k]</v>
      </c>
      <c r="B44" s="1002">
        <f>[1]Results!$B$14/[1]!NumTurbines</f>
        <v>1130.3635611881293</v>
      </c>
      <c r="C44" s="639"/>
      <c r="D44" s="1241"/>
      <c r="E44">
        <v>1148.2304480757032</v>
      </c>
      <c r="F44" s="993">
        <f t="shared" si="0"/>
        <v>-17.866886887573855</v>
      </c>
      <c r="H44" s="696" t="s">
        <v>852</v>
      </c>
      <c r="I44" s="31" t="s">
        <v>777</v>
      </c>
      <c r="J44" s="31" t="s">
        <v>763</v>
      </c>
      <c r="K44" s="239" t="s">
        <v>763</v>
      </c>
      <c r="L44" s="702"/>
      <c r="M44" s="703">
        <f>'Cost &amp; Mass Functions'!D519</f>
        <v>154172.63041696363</v>
      </c>
      <c r="N44" s="703">
        <f>'Cost &amp; Mass Functions'!D501</f>
        <v>77710.18026565465</v>
      </c>
      <c r="O44" s="704"/>
    </row>
    <row r="45" spans="1:15" x14ac:dyDescent="0.2">
      <c r="A45" s="1001" t="str">
        <f>HLOOKUP('Input &amp; Summary'!$B$4,'Cost Summary'!$H$36:$K$46,10)</f>
        <v/>
      </c>
      <c r="B45" s="1002"/>
      <c r="C45" s="639"/>
      <c r="D45" s="1241"/>
      <c r="H45" s="696" t="s">
        <v>852</v>
      </c>
      <c r="I45" s="691" t="s">
        <v>852</v>
      </c>
      <c r="J45" s="31" t="s">
        <v>846</v>
      </c>
      <c r="K45" s="239" t="s">
        <v>846</v>
      </c>
      <c r="L45" s="702"/>
      <c r="M45" s="703"/>
      <c r="N45" s="703">
        <f>'Cost &amp; Mass Functions'!D509</f>
        <v>65977.229601518033</v>
      </c>
      <c r="O45" s="704"/>
    </row>
    <row r="46" spans="1:15" ht="13.5" thickBot="1" x14ac:dyDescent="0.25">
      <c r="A46" s="1001" t="str">
        <f>HLOOKUP('Input &amp; Summary'!$B$4,'Cost Summary'!$H$36:$K$46,11)</f>
        <v/>
      </c>
      <c r="B46" s="1002"/>
      <c r="C46" s="639"/>
      <c r="D46" s="1241"/>
      <c r="F46" s="1235">
        <f>SUM(F35:F45)</f>
        <v>1017.2950860442024</v>
      </c>
      <c r="G46" s="103">
        <f>F46/5</f>
        <v>203.45901720884049</v>
      </c>
      <c r="H46" s="697" t="s">
        <v>852</v>
      </c>
      <c r="I46" s="698" t="s">
        <v>852</v>
      </c>
      <c r="J46" s="243" t="s">
        <v>777</v>
      </c>
      <c r="K46" s="244" t="s">
        <v>777</v>
      </c>
      <c r="L46" s="705"/>
      <c r="M46" s="706"/>
      <c r="N46" s="706">
        <f>'Cost &amp; Mass Functions'!D519</f>
        <v>154172.63041696363</v>
      </c>
      <c r="O46" s="707"/>
    </row>
    <row r="47" spans="1:15" x14ac:dyDescent="0.2">
      <c r="A47" s="415" t="str">
        <f>IF('Input &amp; Summary'!B4=1," ",'OS Surety Bond'!A5 )</f>
        <v xml:space="preserve"> </v>
      </c>
      <c r="B47" s="701"/>
      <c r="C47" s="639"/>
      <c r="D47" s="1241"/>
      <c r="G47" s="103">
        <f>G46+G33</f>
        <v>203.45901720884049</v>
      </c>
      <c r="H47" s="692"/>
      <c r="I47" s="39"/>
      <c r="J47" s="39"/>
      <c r="K47" s="39"/>
    </row>
    <row r="48" spans="1:15" x14ac:dyDescent="0.2">
      <c r="A48" s="422" t="s">
        <v>38</v>
      </c>
      <c r="B48" s="423">
        <f>SUM(B37:B47)</f>
        <v>11496.170880006588</v>
      </c>
      <c r="C48" s="424">
        <f>B48/5</f>
        <v>2299.2341760013178</v>
      </c>
      <c r="D48" s="1243"/>
      <c r="E48" s="1237">
        <f>B48+B33</f>
        <v>11893.33691616481</v>
      </c>
      <c r="F48" s="103"/>
      <c r="G48" s="103"/>
    </row>
    <row r="49" spans="1:6" x14ac:dyDescent="0.2">
      <c r="A49" s="422"/>
      <c r="B49" s="423"/>
      <c r="C49" s="424"/>
      <c r="D49" s="1243"/>
      <c r="F49" s="103"/>
    </row>
    <row r="50" spans="1:6" x14ac:dyDescent="0.2">
      <c r="A50" s="653" t="str">
        <f>IF('Input &amp; Summary'!B4=1," ",'OS Warranty Premium'!A5)</f>
        <v xml:space="preserve"> </v>
      </c>
      <c r="B50" s="423">
        <f>IF('Input &amp; Summary'!B4=1,,'Cost &amp; Mass Functions'!D535/1000)</f>
        <v>0</v>
      </c>
      <c r="C50" s="424"/>
      <c r="D50" s="1243"/>
    </row>
    <row r="51" spans="1:6" x14ac:dyDescent="0.2">
      <c r="A51" s="422"/>
      <c r="B51" s="425"/>
      <c r="C51" s="414"/>
      <c r="D51" s="1241"/>
    </row>
    <row r="52" spans="1:6" ht="13.5" thickBot="1" x14ac:dyDescent="0.25">
      <c r="A52" s="426" t="s">
        <v>39</v>
      </c>
      <c r="B52" s="427">
        <f>B35+B48+B50</f>
        <v>13758.600158236257</v>
      </c>
      <c r="C52" s="428">
        <f>C35+C48</f>
        <v>303526.22810381447</v>
      </c>
      <c r="D52" s="1243"/>
    </row>
    <row r="53" spans="1:6" ht="13.5" thickTop="1" x14ac:dyDescent="0.2">
      <c r="A53" s="429" t="s">
        <v>715</v>
      </c>
      <c r="B53" s="430">
        <f>B52/$B$5*1000</f>
        <v>7203.4555802284067</v>
      </c>
      <c r="C53" s="431">
        <f>C52/$B$5*1000</f>
        <v>158914.25555173532</v>
      </c>
      <c r="D53" s="1243"/>
    </row>
    <row r="54" spans="1:6" x14ac:dyDescent="0.2">
      <c r="A54" s="429" t="s">
        <v>40</v>
      </c>
      <c r="B54" s="432"/>
      <c r="C54" s="433"/>
      <c r="D54" s="1240"/>
    </row>
    <row r="55" spans="1:6" x14ac:dyDescent="0.2">
      <c r="A55" s="429" t="s">
        <v>533</v>
      </c>
      <c r="B55" s="430">
        <f>(B35)/$B$5*1000</f>
        <v>1184.517946717104</v>
      </c>
      <c r="C55" s="431">
        <f>(C35)/$B$5*1000</f>
        <v>157710.46802503307</v>
      </c>
      <c r="D55" s="1243"/>
    </row>
    <row r="56" spans="1:6" ht="13.5" thickBot="1" x14ac:dyDescent="0.25">
      <c r="A56" s="429" t="s">
        <v>41</v>
      </c>
      <c r="B56" s="432"/>
      <c r="C56" s="434"/>
      <c r="D56" s="1244"/>
    </row>
    <row r="57" spans="1:6" ht="13.5" thickTop="1" x14ac:dyDescent="0.2">
      <c r="A57" s="435"/>
      <c r="B57" s="436"/>
      <c r="C57" s="437"/>
      <c r="D57" s="1245"/>
    </row>
    <row r="58" spans="1:6" x14ac:dyDescent="0.2">
      <c r="A58" s="438" t="str">
        <f>IF('Input &amp; Summary'!B46=1,'L-B LRC'!A5,'OS LRC'!A5)</f>
        <v>Levelized Replacement Cost $ per year</v>
      </c>
      <c r="B58" s="439">
        <f>IF('Input &amp; Summary'!B4=1,'Cost &amp; Mass Functions'!D450/1000,'Cost &amp; Mass Functions'!D545/1000)</f>
        <v>23.018933916423709</v>
      </c>
      <c r="C58" s="440"/>
      <c r="D58" s="1246"/>
    </row>
    <row r="59" spans="1:6" x14ac:dyDescent="0.2">
      <c r="A59" s="438" t="str">
        <f>IF('Input &amp; Summary'!B4=1,'L-B O&amp;M'!A5,'OS O&amp;M'!A5)</f>
        <v xml:space="preserve">O&amp;M $ per turbine/yr </v>
      </c>
      <c r="B59" s="439">
        <f>IF('Input &amp; Summary'!B4=1,'Cost &amp; Mass Functions'!D460/1000,'Cost &amp; Mass Functions'!D555/1000)</f>
        <v>61.651497683474659</v>
      </c>
      <c r="C59" s="440"/>
      <c r="D59" s="1246"/>
    </row>
    <row r="60" spans="1:6" x14ac:dyDescent="0.2">
      <c r="A60" s="438" t="str">
        <f>IF('Input &amp; Summary'!B4=1,'L-B Lease Cost'!A5,'OS Lease Cost'!A5)</f>
        <v>Land Lease Cost</v>
      </c>
      <c r="B60" s="439">
        <f>IF('Input &amp; Summary'!B4=1,'Cost &amp; Mass Functions'!D470/1000,'Cost &amp; Mass Functions'!D565/1000)</f>
        <v>9.5119453568789449</v>
      </c>
      <c r="C60" s="440"/>
      <c r="D60" s="1246"/>
    </row>
    <row r="61" spans="1:6" x14ac:dyDescent="0.2">
      <c r="A61" s="438"/>
      <c r="B61" s="439"/>
      <c r="C61" s="440"/>
      <c r="D61" s="1246"/>
    </row>
    <row r="62" spans="1:6" ht="13.5" thickBot="1" x14ac:dyDescent="0.25">
      <c r="A62" s="441"/>
      <c r="B62" s="442"/>
      <c r="C62" s="443"/>
      <c r="D62" s="1245"/>
    </row>
    <row r="63" spans="1:6" ht="13.5" thickTop="1" x14ac:dyDescent="0.2">
      <c r="A63" s="429"/>
      <c r="B63" s="439"/>
      <c r="C63" s="444"/>
      <c r="D63" s="1245"/>
    </row>
    <row r="64" spans="1:6" x14ac:dyDescent="0.2">
      <c r="A64" s="438" t="s">
        <v>92</v>
      </c>
      <c r="B64" s="445">
        <f>'AEP Input Output sheet'!B27</f>
        <v>0.46734764289153152</v>
      </c>
      <c r="C64" s="444"/>
      <c r="D64" s="1245"/>
    </row>
    <row r="65" spans="1:4" ht="13.5" thickBot="1" x14ac:dyDescent="0.25">
      <c r="A65" s="441" t="s">
        <v>91</v>
      </c>
      <c r="B65" s="446">
        <f>'AEP Input Output sheet'!B26</f>
        <v>7819.4738218039483</v>
      </c>
      <c r="C65" s="443">
        <f>B65/5</f>
        <v>1563.8947643607896</v>
      </c>
      <c r="D65" s="1245">
        <f>B65/B5*1000</f>
        <v>4093.9653517298157</v>
      </c>
    </row>
    <row r="66" spans="1:4" ht="13.5" thickTop="1" x14ac:dyDescent="0.2">
      <c r="A66" s="447"/>
      <c r="B66" s="448"/>
      <c r="C66" s="449"/>
      <c r="D66" s="1247"/>
    </row>
    <row r="67" spans="1:4" x14ac:dyDescent="0.2">
      <c r="A67" s="429" t="s">
        <v>42</v>
      </c>
      <c r="B67" s="450">
        <v>0.12</v>
      </c>
      <c r="C67" s="451"/>
      <c r="D67" s="1248"/>
    </row>
    <row r="68" spans="1:4" x14ac:dyDescent="0.2">
      <c r="A68" s="452"/>
      <c r="B68" s="453"/>
      <c r="C68" s="449"/>
      <c r="D68" s="1247"/>
    </row>
    <row r="69" spans="1:4" x14ac:dyDescent="0.2">
      <c r="A69" s="454"/>
      <c r="B69" s="455"/>
      <c r="C69" s="449"/>
      <c r="D69" s="1247"/>
    </row>
    <row r="70" spans="1:4" ht="13.5" thickBot="1" x14ac:dyDescent="0.25">
      <c r="A70" s="456" t="s">
        <v>804</v>
      </c>
      <c r="B70" s="457">
        <f>(B52*B67)/B65+(B58+B59*0.6+B60)/B65</f>
        <v>0.22003447240581814</v>
      </c>
      <c r="C70" s="458"/>
      <c r="D70" s="1249"/>
    </row>
    <row r="71" spans="1:4" ht="13.5" thickTop="1" x14ac:dyDescent="0.2"/>
    <row r="72" spans="1:4" x14ac:dyDescent="0.2">
      <c r="A72" t="s">
        <v>93</v>
      </c>
      <c r="B72" s="23">
        <f>B35*B67/B65</f>
        <v>3.4719921004214997E-2</v>
      </c>
      <c r="C72" s="684"/>
      <c r="D72" s="684"/>
    </row>
    <row r="73" spans="1:4" x14ac:dyDescent="0.2">
      <c r="A73" t="s">
        <v>798</v>
      </c>
      <c r="B73" s="23">
        <f>B50*B67/B65</f>
        <v>0</v>
      </c>
      <c r="C73" s="684"/>
      <c r="D73" s="684"/>
    </row>
    <row r="74" spans="1:4" x14ac:dyDescent="0.2">
      <c r="A74" t="s">
        <v>800</v>
      </c>
      <c r="B74" s="23">
        <f>B37*B67/B65</f>
        <v>4.6806218466956126E-4</v>
      </c>
      <c r="C74" s="684"/>
      <c r="D74" s="684"/>
    </row>
    <row r="75" spans="1:4" x14ac:dyDescent="0.2">
      <c r="A75" t="s">
        <v>94</v>
      </c>
      <c r="B75" s="23">
        <f>B41*B67/B65</f>
        <v>2.7399381339838474E-2</v>
      </c>
      <c r="C75" s="684"/>
      <c r="D75" s="684"/>
    </row>
    <row r="76" spans="1:4" x14ac:dyDescent="0.2">
      <c r="A76" t="s">
        <v>95</v>
      </c>
      <c r="B76" s="23">
        <f>(B48-B41-B37-B42)*B67/B65</f>
        <v>9.4676314587608945E-2</v>
      </c>
      <c r="C76" s="684"/>
      <c r="D76" s="684"/>
    </row>
    <row r="77" spans="1:4" x14ac:dyDescent="0.2">
      <c r="A77" t="s">
        <v>801</v>
      </c>
      <c r="B77" s="23">
        <f>B42*B67/B65</f>
        <v>5.3879942131505203E-2</v>
      </c>
      <c r="C77" s="684"/>
      <c r="D77" s="684"/>
    </row>
    <row r="78" spans="1:4" x14ac:dyDescent="0.2">
      <c r="A78" t="s">
        <v>97</v>
      </c>
      <c r="B78" s="23">
        <f>(B58+B60)/B65</f>
        <v>4.1602389130830026E-3</v>
      </c>
      <c r="C78" s="684"/>
      <c r="D78" s="684"/>
    </row>
    <row r="79" spans="1:4" x14ac:dyDescent="0.2">
      <c r="A79" t="s">
        <v>98</v>
      </c>
      <c r="B79" s="23">
        <f>(B59*0.6)/B65</f>
        <v>4.7306122448979582E-3</v>
      </c>
      <c r="C79" s="684"/>
      <c r="D79" s="684"/>
    </row>
    <row r="80" spans="1:4" x14ac:dyDescent="0.2">
      <c r="B80" s="23"/>
      <c r="C80" s="684"/>
      <c r="D80" s="684"/>
    </row>
    <row r="81" spans="1:4" x14ac:dyDescent="0.2">
      <c r="A81" s="20" t="s">
        <v>99</v>
      </c>
      <c r="B81" s="23">
        <f>SUM(B72:B79)</f>
        <v>0.22003447240581817</v>
      </c>
      <c r="C81" s="684"/>
      <c r="D81" s="684"/>
    </row>
    <row r="83" spans="1:4" ht="13.5" thickBot="1" x14ac:dyDescent="0.25"/>
    <row r="84" spans="1:4" ht="13.5" thickBot="1" x14ac:dyDescent="0.25">
      <c r="A84" s="1266" t="s">
        <v>1463</v>
      </c>
      <c r="B84" s="1267"/>
    </row>
    <row r="85" spans="1:4" x14ac:dyDescent="0.2">
      <c r="A85" s="939" t="s">
        <v>1458</v>
      </c>
      <c r="B85" s="941">
        <v>7.0000000000000007E-2</v>
      </c>
    </row>
    <row r="86" spans="1:4" x14ac:dyDescent="0.2">
      <c r="A86" s="238" t="s">
        <v>1459</v>
      </c>
      <c r="B86" s="239">
        <v>1</v>
      </c>
    </row>
    <row r="87" spans="1:4" x14ac:dyDescent="0.2">
      <c r="A87" s="238" t="s">
        <v>1460</v>
      </c>
      <c r="B87" s="239">
        <v>20</v>
      </c>
    </row>
    <row r="88" spans="1:4" x14ac:dyDescent="0.2">
      <c r="A88" s="238" t="s">
        <v>1462</v>
      </c>
      <c r="B88" s="1148">
        <f>(1+0.5*((1+B85)^B86-1))*((B85)/(1-(1+B85)^(-B87)))</f>
        <v>9.7696678144269661E-2</v>
      </c>
    </row>
    <row r="89" spans="1:4" ht="13.5" thickBot="1" x14ac:dyDescent="0.25">
      <c r="A89" s="242" t="s">
        <v>1461</v>
      </c>
      <c r="B89" s="1149">
        <f>(B53*B88)/(B64*8760)+(B59/B65)</f>
        <v>0.17978460713537597</v>
      </c>
    </row>
    <row r="91" spans="1:4" x14ac:dyDescent="0.2">
      <c r="B91" s="1147"/>
    </row>
  </sheetData>
  <mergeCells count="4">
    <mergeCell ref="A84:B84"/>
    <mergeCell ref="D11:D12"/>
    <mergeCell ref="E11:E12"/>
    <mergeCell ref="F11:F12"/>
  </mergeCells>
  <phoneticPr fontId="3" type="noConversion"/>
  <pageMargins left="0.75" right="0.75" top="1" bottom="1" header="0.5" footer="0.5"/>
  <pageSetup scale="81"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25"/>
  </sheetPr>
  <dimension ref="A1:D17"/>
  <sheetViews>
    <sheetView workbookViewId="0">
      <selection activeCell="F14" sqref="F14"/>
    </sheetView>
  </sheetViews>
  <sheetFormatPr defaultColWidth="8.85546875" defaultRowHeight="12.75" x14ac:dyDescent="0.2"/>
  <cols>
    <col min="1" max="1" width="40.85546875" customWidth="1"/>
  </cols>
  <sheetData>
    <row r="1" spans="1:4" x14ac:dyDescent="0.2">
      <c r="A1" s="1" t="str">
        <f>'Input &amp; Summary'!A1</f>
        <v>Based on Combined Land Based-Offshore Turbine Cost Model. V2.01.12</v>
      </c>
      <c r="B1" s="1"/>
      <c r="C1" s="1"/>
    </row>
    <row r="2" spans="1:4" ht="38.25" x14ac:dyDescent="0.2">
      <c r="A2" s="555" t="str">
        <f>'Input &amp; Summary'!A2</f>
        <v>Note:  This Model Contains Proprietary or Wind Technology Protected Data, and Should Not Be Released Outside of the DOE/NREL/SNL, until Further Notice.</v>
      </c>
      <c r="B2" s="555"/>
      <c r="C2" s="555"/>
    </row>
    <row r="4" spans="1:4" x14ac:dyDescent="0.2">
      <c r="A4" s="21" t="s">
        <v>637</v>
      </c>
    </row>
    <row r="5" spans="1:4" ht="13.5" thickBot="1" x14ac:dyDescent="0.25">
      <c r="A5" s="21"/>
    </row>
    <row r="6" spans="1:4" ht="39" thickBot="1" x14ac:dyDescent="0.25">
      <c r="B6" s="480" t="s">
        <v>625</v>
      </c>
    </row>
    <row r="7" spans="1:4" ht="13.5" thickBot="1" x14ac:dyDescent="0.25">
      <c r="A7" s="221" t="s">
        <v>248</v>
      </c>
      <c r="B7" s="466">
        <f>'Input &amp; Summary'!B7</f>
        <v>1910</v>
      </c>
    </row>
    <row r="8" spans="1:4" ht="13.5" thickBot="1" x14ac:dyDescent="0.25">
      <c r="A8" s="21"/>
      <c r="B8" s="537"/>
    </row>
    <row r="9" spans="1:4" ht="13.5" thickBot="1" x14ac:dyDescent="0.25">
      <c r="A9" s="21"/>
      <c r="B9" s="519" t="s">
        <v>100</v>
      </c>
    </row>
    <row r="10" spans="1:4" ht="13.5" thickBot="1" x14ac:dyDescent="0.25">
      <c r="A10" s="472" t="s">
        <v>635</v>
      </c>
      <c r="B10" s="556">
        <f>0.08*B7</f>
        <v>152.80000000000001</v>
      </c>
    </row>
    <row r="11" spans="1:4" ht="13.5" thickBot="1" x14ac:dyDescent="0.25">
      <c r="A11" s="472" t="s">
        <v>636</v>
      </c>
      <c r="B11" s="122">
        <f>12*B7</f>
        <v>22920</v>
      </c>
      <c r="C11" s="470">
        <f>'PPI Calculation'!D122</f>
        <v>1.3578431372549018</v>
      </c>
      <c r="D11" s="22" t="s">
        <v>590</v>
      </c>
    </row>
    <row r="12" spans="1:4" ht="13.5" thickBot="1" x14ac:dyDescent="0.25">
      <c r="A12" s="472" t="s">
        <v>652</v>
      </c>
      <c r="B12" s="122">
        <f>B11*C11</f>
        <v>31121.76470588235</v>
      </c>
      <c r="C12" s="550">
        <f>'Input &amp; Summary'!F7</f>
        <v>2010</v>
      </c>
      <c r="D12" s="567" t="s">
        <v>648</v>
      </c>
    </row>
    <row r="15" spans="1:4" x14ac:dyDescent="0.2">
      <c r="A15" s="1270" t="s">
        <v>1078</v>
      </c>
      <c r="B15" s="1271"/>
      <c r="C15" s="767">
        <v>0.08</v>
      </c>
    </row>
    <row r="17" spans="1:4" x14ac:dyDescent="0.2">
      <c r="A17" s="1270" t="s">
        <v>1079</v>
      </c>
      <c r="B17" s="1271"/>
      <c r="C17" s="762">
        <v>12</v>
      </c>
      <c r="D17" t="s">
        <v>1076</v>
      </c>
    </row>
  </sheetData>
  <mergeCells count="2">
    <mergeCell ref="A15:B15"/>
    <mergeCell ref="A17:B17"/>
  </mergeCells>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25"/>
  </sheetPr>
  <dimension ref="A1:D38"/>
  <sheetViews>
    <sheetView topLeftCell="A4" workbookViewId="0">
      <selection activeCell="B11" sqref="B11"/>
    </sheetView>
  </sheetViews>
  <sheetFormatPr defaultColWidth="8.85546875" defaultRowHeight="12.75" x14ac:dyDescent="0.2"/>
  <cols>
    <col min="1" max="1" width="26.42578125" customWidth="1"/>
  </cols>
  <sheetData>
    <row r="1" spans="1:4" x14ac:dyDescent="0.2">
      <c r="A1" s="1" t="str">
        <f>'Input &amp; Summary'!A1</f>
        <v>Based on Combined Land Based-Offshore Turbine Cost Model. V2.01.12</v>
      </c>
      <c r="B1" s="1"/>
      <c r="C1" s="1"/>
      <c r="D1" s="139"/>
    </row>
    <row r="2" spans="1:4" ht="51" x14ac:dyDescent="0.2">
      <c r="A2" s="555" t="str">
        <f>'Input &amp; Summary'!A2</f>
        <v>Note:  This Model Contains Proprietary or Wind Technology Protected Data, and Should Not Be Released Outside of the DOE/NREL/SNL, until Further Notice.</v>
      </c>
      <c r="B2" s="555"/>
      <c r="C2" s="555"/>
      <c r="D2" s="139"/>
    </row>
    <row r="4" spans="1:4" x14ac:dyDescent="0.2">
      <c r="A4" s="21" t="s">
        <v>596</v>
      </c>
    </row>
    <row r="5" spans="1:4" ht="13.5" thickBot="1" x14ac:dyDescent="0.25">
      <c r="A5" s="21"/>
    </row>
    <row r="6" spans="1:4" ht="39" thickBot="1" x14ac:dyDescent="0.25">
      <c r="B6" s="480" t="s">
        <v>625</v>
      </c>
    </row>
    <row r="7" spans="1:4" ht="13.5" thickBot="1" x14ac:dyDescent="0.25">
      <c r="A7" s="221" t="s">
        <v>248</v>
      </c>
      <c r="B7" s="466">
        <f>'Input &amp; Summary'!B7</f>
        <v>1910</v>
      </c>
    </row>
    <row r="8" spans="1:4" ht="13.5" thickBot="1" x14ac:dyDescent="0.25">
      <c r="A8" s="21"/>
      <c r="B8" s="537"/>
    </row>
    <row r="9" spans="1:4" ht="13.5" thickBot="1" x14ac:dyDescent="0.25">
      <c r="A9" s="21"/>
      <c r="B9" s="519" t="s">
        <v>100</v>
      </c>
    </row>
    <row r="10" spans="1:4" ht="13.5" thickBot="1" x14ac:dyDescent="0.25">
      <c r="A10" s="472" t="s">
        <v>597</v>
      </c>
      <c r="B10" s="538">
        <f>B11/9</f>
        <v>2876.1522222222225</v>
      </c>
      <c r="C10" s="329"/>
      <c r="D10" s="329"/>
    </row>
    <row r="11" spans="1:4" ht="13.5" thickBot="1" x14ac:dyDescent="0.25">
      <c r="A11" s="472" t="s">
        <v>598</v>
      </c>
      <c r="B11" s="518">
        <f>B14*B7+B15</f>
        <v>25885.370000000003</v>
      </c>
      <c r="C11" s="470">
        <f>'PPI Calculation'!D135</f>
        <v>1.0550990812530561</v>
      </c>
      <c r="D11" s="22" t="s">
        <v>590</v>
      </c>
    </row>
    <row r="12" spans="1:4" ht="13.5" thickBot="1" x14ac:dyDescent="0.25">
      <c r="A12" s="472" t="s">
        <v>652</v>
      </c>
      <c r="B12" s="122">
        <f>B11*C11</f>
        <v>27311.630104895423</v>
      </c>
      <c r="C12" s="550">
        <f>'Input &amp; Summary'!F7</f>
        <v>2010</v>
      </c>
      <c r="D12" s="567" t="s">
        <v>648</v>
      </c>
    </row>
    <row r="14" spans="1:4" x14ac:dyDescent="0.2">
      <c r="A14" s="758" t="s">
        <v>1024</v>
      </c>
      <c r="B14" s="137">
        <v>11.537000000000001</v>
      </c>
    </row>
    <row r="15" spans="1:4" x14ac:dyDescent="0.2">
      <c r="A15" s="758" t="s">
        <v>1025</v>
      </c>
      <c r="B15" s="137">
        <v>3849.7</v>
      </c>
    </row>
    <row r="16" spans="1:4" x14ac:dyDescent="0.2">
      <c r="A16" s="714"/>
      <c r="B16" s="60"/>
    </row>
    <row r="17" spans="1:4" x14ac:dyDescent="0.2">
      <c r="A17" s="758" t="s">
        <v>911</v>
      </c>
      <c r="B17" s="768">
        <f>1/9</f>
        <v>0.1111111111111111</v>
      </c>
      <c r="C17" t="s">
        <v>1086</v>
      </c>
    </row>
    <row r="19" spans="1:4" ht="51" x14ac:dyDescent="0.2">
      <c r="A19" s="398" t="s">
        <v>88</v>
      </c>
      <c r="B19" s="398" t="s">
        <v>77</v>
      </c>
      <c r="C19" s="399" t="s">
        <v>599</v>
      </c>
      <c r="D19" s="399" t="s">
        <v>250</v>
      </c>
    </row>
    <row r="20" spans="1:4" x14ac:dyDescent="0.2">
      <c r="A20" s="142">
        <v>50</v>
      </c>
      <c r="B20" s="142">
        <v>750</v>
      </c>
      <c r="C20" s="311">
        <v>15000</v>
      </c>
      <c r="D20" s="142">
        <v>1</v>
      </c>
    </row>
    <row r="21" spans="1:4" x14ac:dyDescent="0.2">
      <c r="A21" s="142">
        <v>50</v>
      </c>
      <c r="B21" s="142">
        <v>750</v>
      </c>
      <c r="C21" s="311">
        <f>7800*B36</f>
        <v>7846.8</v>
      </c>
      <c r="D21" s="142">
        <v>1</v>
      </c>
    </row>
    <row r="22" spans="1:4" x14ac:dyDescent="0.2">
      <c r="A22" s="142">
        <v>70</v>
      </c>
      <c r="B22" s="142">
        <v>1500</v>
      </c>
      <c r="C22" s="311">
        <v>33000</v>
      </c>
      <c r="D22" s="142">
        <v>1</v>
      </c>
    </row>
    <row r="23" spans="1:4" x14ac:dyDescent="0.2">
      <c r="A23" s="142">
        <v>70</v>
      </c>
      <c r="B23" s="142">
        <v>1500</v>
      </c>
      <c r="C23" s="311">
        <v>20640</v>
      </c>
      <c r="D23" s="142">
        <v>1</v>
      </c>
    </row>
    <row r="24" spans="1:4" x14ac:dyDescent="0.2">
      <c r="A24" s="142">
        <v>70</v>
      </c>
      <c r="B24" s="142">
        <v>1500</v>
      </c>
      <c r="C24" s="311">
        <v>17400</v>
      </c>
      <c r="D24" s="142">
        <v>4</v>
      </c>
    </row>
    <row r="25" spans="1:4" x14ac:dyDescent="0.2">
      <c r="A25" s="142">
        <v>70</v>
      </c>
      <c r="B25" s="142">
        <v>1500</v>
      </c>
      <c r="C25" s="311">
        <f>17300*B36</f>
        <v>17403.8</v>
      </c>
      <c r="D25" s="142">
        <v>1</v>
      </c>
    </row>
    <row r="26" spans="1:4" x14ac:dyDescent="0.2">
      <c r="A26" s="142">
        <v>93</v>
      </c>
      <c r="B26" s="142">
        <v>2500</v>
      </c>
      <c r="C26" s="311">
        <f>30826/0.9962</f>
        <v>30943.585625376432</v>
      </c>
      <c r="D26" s="142">
        <v>3</v>
      </c>
    </row>
    <row r="27" spans="1:4" x14ac:dyDescent="0.2">
      <c r="A27" s="142">
        <v>99</v>
      </c>
      <c r="B27" s="142">
        <v>3000</v>
      </c>
      <c r="C27" s="311">
        <v>63000</v>
      </c>
      <c r="D27" s="142">
        <v>1</v>
      </c>
    </row>
    <row r="28" spans="1:4" x14ac:dyDescent="0.2">
      <c r="A28" s="142">
        <v>99</v>
      </c>
      <c r="B28" s="142">
        <v>3000</v>
      </c>
      <c r="C28" s="311">
        <v>40000</v>
      </c>
      <c r="D28" s="142">
        <v>1</v>
      </c>
    </row>
    <row r="29" spans="1:4" x14ac:dyDescent="0.2">
      <c r="A29" s="142">
        <v>99</v>
      </c>
      <c r="B29" s="142">
        <v>3000</v>
      </c>
      <c r="C29" s="311">
        <v>35000</v>
      </c>
      <c r="D29" s="142">
        <v>4</v>
      </c>
    </row>
    <row r="30" spans="1:4" x14ac:dyDescent="0.2">
      <c r="A30" s="142">
        <v>99</v>
      </c>
      <c r="B30" s="142">
        <v>3000</v>
      </c>
      <c r="C30" s="311">
        <v>30000</v>
      </c>
      <c r="D30" s="142">
        <v>3</v>
      </c>
    </row>
    <row r="31" spans="1:4" ht="13.5" thickBot="1" x14ac:dyDescent="0.25">
      <c r="A31" s="202">
        <v>99</v>
      </c>
      <c r="B31" s="202">
        <v>3000</v>
      </c>
      <c r="C31" s="610">
        <f>24250*B36</f>
        <v>24395.5</v>
      </c>
      <c r="D31" s="202">
        <v>1</v>
      </c>
    </row>
    <row r="32" spans="1:4" x14ac:dyDescent="0.2">
      <c r="A32" s="599" t="s">
        <v>729</v>
      </c>
      <c r="B32" s="600"/>
      <c r="C32" s="600"/>
      <c r="D32" s="601"/>
    </row>
    <row r="33" spans="1:4" ht="13.5" thickBot="1" x14ac:dyDescent="0.25">
      <c r="A33" s="602"/>
      <c r="B33" s="603">
        <f>B7</f>
        <v>1910</v>
      </c>
      <c r="C33" s="607">
        <f>B11</f>
        <v>25885.370000000003</v>
      </c>
      <c r="D33" s="604"/>
    </row>
    <row r="36" spans="1:4" ht="38.25" x14ac:dyDescent="0.2">
      <c r="A36" s="19" t="s">
        <v>600</v>
      </c>
      <c r="B36" s="119">
        <v>1.006</v>
      </c>
    </row>
    <row r="38" spans="1:4" ht="25.5" x14ac:dyDescent="0.2">
      <c r="A38" s="19" t="s">
        <v>601</v>
      </c>
      <c r="B38">
        <v>1.0647</v>
      </c>
    </row>
  </sheetData>
  <phoneticPr fontId="3" type="noConversion"/>
  <pageMargins left="0.75" right="0.75" top="1" bottom="1" header="0.5" footer="0.5"/>
  <pageSetup orientation="portrait" horizontalDpi="300" verticalDpi="300"/>
  <headerFooter alignWithMargins="0"/>
  <drawing r:id="rId1"/>
  <legacyDrawing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25"/>
  </sheetPr>
  <dimension ref="A1:E11"/>
  <sheetViews>
    <sheetView workbookViewId="0">
      <selection activeCell="C15" sqref="C15"/>
    </sheetView>
  </sheetViews>
  <sheetFormatPr defaultColWidth="8.85546875" defaultRowHeight="12.75" x14ac:dyDescent="0.2"/>
  <cols>
    <col min="1" max="1" width="31.42578125" customWidth="1"/>
    <col min="2" max="2" width="11.7109375" customWidth="1"/>
    <col min="3" max="3" width="10.28515625" customWidth="1"/>
  </cols>
  <sheetData>
    <row r="1" spans="1:5" x14ac:dyDescent="0.2">
      <c r="A1" s="1" t="str">
        <f>'Input &amp; Summary'!A1</f>
        <v>Based on Combined Land Based-Offshore Turbine Cost Model. V2.01.12</v>
      </c>
      <c r="B1" s="139"/>
      <c r="C1" s="139"/>
      <c r="D1" s="139"/>
      <c r="E1" s="139"/>
    </row>
    <row r="2" spans="1:5" ht="38.25" x14ac:dyDescent="0.2">
      <c r="A2" s="555" t="str">
        <f>'Input &amp; Summary'!A2</f>
        <v>Note:  This Model Contains Proprietary or Wind Technology Protected Data, and Should Not Be Released Outside of the DOE/NREL/SNL, until Further Notice.</v>
      </c>
      <c r="B2" s="139"/>
      <c r="C2" s="139"/>
      <c r="D2" s="139"/>
      <c r="E2" s="139"/>
    </row>
    <row r="4" spans="1:5" x14ac:dyDescent="0.2">
      <c r="A4" s="21" t="s">
        <v>783</v>
      </c>
    </row>
    <row r="5" spans="1:5" ht="13.5" thickBot="1" x14ac:dyDescent="0.25">
      <c r="A5" s="21" t="s">
        <v>632</v>
      </c>
    </row>
    <row r="6" spans="1:5" ht="13.5" thickBot="1" x14ac:dyDescent="0.25">
      <c r="B6" s="468" t="s">
        <v>624</v>
      </c>
    </row>
    <row r="7" spans="1:5" ht="13.5" thickBot="1" x14ac:dyDescent="0.25">
      <c r="A7" s="121" t="s">
        <v>633</v>
      </c>
      <c r="B7" s="122">
        <v>35000</v>
      </c>
      <c r="C7" s="470">
        <f>'PPI Calculation'!D141</f>
        <v>1.2348822406110758</v>
      </c>
      <c r="D7" s="22" t="s">
        <v>590</v>
      </c>
    </row>
    <row r="8" spans="1:5" ht="13.5" thickBot="1" x14ac:dyDescent="0.25">
      <c r="A8" s="121" t="s">
        <v>652</v>
      </c>
      <c r="B8" s="122">
        <f>B7*C7</f>
        <v>43220.87842138765</v>
      </c>
      <c r="C8" s="550">
        <f>'Input &amp; Summary'!F7</f>
        <v>2010</v>
      </c>
      <c r="D8" s="567" t="s">
        <v>648</v>
      </c>
    </row>
    <row r="10" spans="1:5" x14ac:dyDescent="0.2">
      <c r="A10" s="21"/>
    </row>
    <row r="11" spans="1:5" x14ac:dyDescent="0.2">
      <c r="A11" s="1353" t="s">
        <v>1173</v>
      </c>
      <c r="B11" s="1354"/>
      <c r="C11" s="770">
        <v>35000</v>
      </c>
    </row>
  </sheetData>
  <mergeCells count="1">
    <mergeCell ref="A11:B11"/>
  </mergeCells>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25"/>
  </sheetPr>
  <dimension ref="A1:AB138"/>
  <sheetViews>
    <sheetView topLeftCell="A103" workbookViewId="0">
      <selection activeCell="E134" sqref="E134"/>
    </sheetView>
  </sheetViews>
  <sheetFormatPr defaultColWidth="8.85546875" defaultRowHeight="12.75" x14ac:dyDescent="0.2"/>
  <cols>
    <col min="1" max="1" width="21.42578125" customWidth="1"/>
    <col min="2" max="2" width="12.28515625" bestFit="1" customWidth="1"/>
    <col min="3" max="3" width="11.42578125" bestFit="1" customWidth="1"/>
    <col min="4" max="4" width="12.42578125" customWidth="1"/>
    <col min="5" max="5" width="11.42578125" customWidth="1"/>
    <col min="6" max="6" width="10.42578125" customWidth="1"/>
    <col min="7" max="7" width="13.42578125" bestFit="1" customWidth="1"/>
    <col min="8" max="8" width="12.28515625" bestFit="1" customWidth="1"/>
    <col min="9" max="9" width="11.42578125" bestFit="1" customWidth="1"/>
    <col min="12" max="12" width="11.42578125" bestFit="1" customWidth="1"/>
  </cols>
  <sheetData>
    <row r="1" spans="1:21" x14ac:dyDescent="0.2">
      <c r="A1" s="1" t="str">
        <f>'Input &amp; Summary'!A1</f>
        <v>Based on Combined Land Based-Offshore Turbine Cost Model. V2.01.12</v>
      </c>
      <c r="B1" s="1"/>
      <c r="C1" s="1"/>
      <c r="D1" s="139"/>
    </row>
    <row r="2" spans="1:21" ht="38.25" x14ac:dyDescent="0.2">
      <c r="A2" s="555" t="str">
        <f>'Input &amp; Summary'!A2</f>
        <v>Note:  This Model Contains Proprietary or Wind Technology Protected Data, and Should Not Be Released Outside of the DOE/NREL/SNL, until Further Notice.</v>
      </c>
      <c r="B2" s="555"/>
      <c r="C2" s="555"/>
      <c r="D2" s="139"/>
    </row>
    <row r="4" spans="1:21" x14ac:dyDescent="0.2">
      <c r="A4" s="21" t="s">
        <v>455</v>
      </c>
    </row>
    <row r="6" spans="1:21" s="19" customFormat="1" x14ac:dyDescent="0.2">
      <c r="A6" s="21" t="s">
        <v>381</v>
      </c>
      <c r="B6"/>
      <c r="C6"/>
      <c r="D6"/>
      <c r="E6"/>
      <c r="F6"/>
      <c r="G6"/>
      <c r="H6"/>
      <c r="I6"/>
    </row>
    <row r="7" spans="1:21" ht="13.5" thickBot="1" x14ac:dyDescent="0.25">
      <c r="A7" s="21"/>
      <c r="J7" s="19"/>
      <c r="K7" s="19"/>
      <c r="L7" s="19"/>
      <c r="M7" s="19"/>
      <c r="N7" s="19"/>
      <c r="O7" s="19"/>
      <c r="P7" s="19"/>
      <c r="Q7" s="19"/>
      <c r="R7" s="19"/>
      <c r="S7" s="19"/>
      <c r="T7" s="19"/>
      <c r="U7" s="19"/>
    </row>
    <row r="8" spans="1:21" ht="26.25" thickBot="1" x14ac:dyDescent="0.25">
      <c r="A8" s="21"/>
      <c r="B8" s="480" t="s">
        <v>625</v>
      </c>
      <c r="J8" s="19"/>
      <c r="K8" s="19"/>
      <c r="L8" s="19"/>
      <c r="M8" s="19"/>
      <c r="N8" s="19"/>
      <c r="O8" s="19"/>
      <c r="P8" s="19"/>
      <c r="Q8" s="19"/>
      <c r="R8" s="19"/>
      <c r="S8" s="19"/>
      <c r="T8" s="19"/>
      <c r="U8" s="19"/>
    </row>
    <row r="9" spans="1:21" ht="13.5" thickBot="1" x14ac:dyDescent="0.25">
      <c r="A9" s="221" t="s">
        <v>89</v>
      </c>
      <c r="B9" s="466">
        <f>'Input &amp; Summary'!$B$8</f>
        <v>96.9</v>
      </c>
      <c r="D9" t="s">
        <v>168</v>
      </c>
    </row>
    <row r="10" spans="1:21" ht="13.5" thickBot="1" x14ac:dyDescent="0.25">
      <c r="A10" s="221" t="s">
        <v>167</v>
      </c>
      <c r="B10" s="466">
        <f>'Input &amp; Summary'!$B$9</f>
        <v>82.7</v>
      </c>
      <c r="D10">
        <f>PI()*(B9/2)^2*B10</f>
        <v>609877.96853381465</v>
      </c>
    </row>
    <row r="11" spans="1:21" ht="13.5" thickBot="1" x14ac:dyDescent="0.25">
      <c r="A11" s="221" t="s">
        <v>175</v>
      </c>
      <c r="B11" s="466" t="str">
        <f>'Input &amp; Summary'!C9</f>
        <v>Advanced Design</v>
      </c>
      <c r="C11" s="41" t="s">
        <v>176</v>
      </c>
    </row>
    <row r="12" spans="1:21" ht="13.5" thickBot="1" x14ac:dyDescent="0.25">
      <c r="A12" s="21"/>
      <c r="B12" s="119"/>
    </row>
    <row r="13" spans="1:21" ht="13.5" thickBot="1" x14ac:dyDescent="0.25">
      <c r="A13" s="21"/>
      <c r="B13" s="519" t="s">
        <v>100</v>
      </c>
    </row>
    <row r="14" spans="1:21" ht="13.5" thickBot="1" x14ac:dyDescent="0.25">
      <c r="A14" s="472" t="s">
        <v>454</v>
      </c>
      <c r="B14" s="477">
        <f>IF(EXACT($B$11,"Baseline"),$B$21*PI()*($B$9/2)^2*$B$10 + $B$22,$B$25*PI()*($B$9/2)^2*$B$10 + $B$26)</f>
        <v>166068.35858562432</v>
      </c>
    </row>
    <row r="15" spans="1:21" ht="13.5" thickBot="1" x14ac:dyDescent="0.25">
      <c r="A15" s="472" t="s">
        <v>647</v>
      </c>
      <c r="B15" s="773">
        <f>B28</f>
        <v>1.5</v>
      </c>
      <c r="C15" s="470">
        <f>'PPI Calculation'!D159</f>
        <v>1.5943877551020409</v>
      </c>
      <c r="D15" s="22" t="s">
        <v>590</v>
      </c>
    </row>
    <row r="16" spans="1:21" ht="13.5" thickBot="1" x14ac:dyDescent="0.25">
      <c r="A16" s="472" t="s">
        <v>727</v>
      </c>
      <c r="B16" s="566">
        <f>B14*B15</f>
        <v>249102.53787843647</v>
      </c>
      <c r="C16" s="119"/>
    </row>
    <row r="17" spans="1:7" ht="13.5" thickBot="1" x14ac:dyDescent="0.25">
      <c r="A17" s="565" t="s">
        <v>652</v>
      </c>
      <c r="B17" s="122">
        <f>B16*C15</f>
        <v>397166.03615822142</v>
      </c>
      <c r="C17" s="550">
        <f>'Input &amp; Summary'!F7</f>
        <v>2010</v>
      </c>
      <c r="D17" s="567" t="s">
        <v>648</v>
      </c>
    </row>
    <row r="20" spans="1:7" ht="13.5" thickBot="1" x14ac:dyDescent="0.25">
      <c r="A20" s="140" t="s">
        <v>169</v>
      </c>
      <c r="B20" s="140"/>
      <c r="C20" s="140"/>
      <c r="D20" s="140"/>
      <c r="E20" s="140"/>
      <c r="F20" s="140"/>
      <c r="G20" s="140"/>
    </row>
    <row r="21" spans="1:7" ht="13.5" thickTop="1" x14ac:dyDescent="0.2">
      <c r="A21" s="540" t="s">
        <v>165</v>
      </c>
      <c r="B21" s="541">
        <f>SLOPE(E73:E76,D73:D76)</f>
        <v>0.3972511475469247</v>
      </c>
      <c r="C21" s="140"/>
      <c r="D21" s="140"/>
      <c r="E21" s="140"/>
      <c r="F21" s="140"/>
      <c r="G21" s="140"/>
    </row>
    <row r="22" spans="1:7" ht="13.5" thickBot="1" x14ac:dyDescent="0.25">
      <c r="A22" s="542" t="s">
        <v>166</v>
      </c>
      <c r="B22" s="543">
        <f>INTERCEPT(E73:E76,D73:D76)</f>
        <v>-1414.3818814095575</v>
      </c>
      <c r="C22" s="140"/>
      <c r="D22" s="140"/>
      <c r="E22" s="140"/>
      <c r="F22" s="140"/>
      <c r="G22" s="140"/>
    </row>
    <row r="23" spans="1:7" ht="13.5" thickTop="1" x14ac:dyDescent="0.2">
      <c r="A23" s="140"/>
      <c r="B23" s="140"/>
      <c r="C23" s="140"/>
      <c r="D23" s="140"/>
      <c r="E23" s="140"/>
      <c r="F23" s="140"/>
      <c r="G23" s="140"/>
    </row>
    <row r="24" spans="1:7" ht="13.5" thickBot="1" x14ac:dyDescent="0.25">
      <c r="A24" s="140" t="s">
        <v>174</v>
      </c>
      <c r="B24" s="140"/>
      <c r="C24" s="140"/>
      <c r="D24" s="140"/>
      <c r="E24" s="140"/>
      <c r="F24" s="140"/>
      <c r="G24" s="140"/>
    </row>
    <row r="25" spans="1:7" ht="13.5" thickTop="1" x14ac:dyDescent="0.2">
      <c r="A25" s="540" t="s">
        <v>165</v>
      </c>
      <c r="B25" s="541">
        <f>SLOPE($F$73:$F$75,$D$73:$D$75)</f>
        <v>0.26938016927873254</v>
      </c>
      <c r="C25" s="140"/>
      <c r="D25" s="140"/>
      <c r="E25" s="140"/>
      <c r="F25" s="140"/>
      <c r="G25" s="140"/>
    </row>
    <row r="26" spans="1:7" ht="13.5" thickBot="1" x14ac:dyDescent="0.25">
      <c r="A26" s="542" t="s">
        <v>166</v>
      </c>
      <c r="B26" s="543">
        <f>INTERCEPT($F$73:$F$75,$D$73:$D$75)</f>
        <v>1779.3281826158054</v>
      </c>
      <c r="C26" s="140"/>
      <c r="D26" s="140"/>
      <c r="E26" s="140"/>
      <c r="F26" s="140"/>
      <c r="G26" s="140"/>
    </row>
    <row r="27" spans="1:7" ht="14.25" thickTop="1" thickBot="1" x14ac:dyDescent="0.25"/>
    <row r="28" spans="1:7" ht="14.25" thickTop="1" thickBot="1" x14ac:dyDescent="0.25">
      <c r="A28" s="771" t="s">
        <v>1176</v>
      </c>
      <c r="B28" s="772">
        <v>1.5</v>
      </c>
      <c r="C28" t="s">
        <v>208</v>
      </c>
    </row>
    <row r="29" spans="1:7" ht="13.5" thickTop="1" x14ac:dyDescent="0.2"/>
    <row r="31" spans="1:7" x14ac:dyDescent="0.2">
      <c r="A31" t="s">
        <v>114</v>
      </c>
    </row>
    <row r="32" spans="1:7" x14ac:dyDescent="0.2">
      <c r="A32" t="s">
        <v>115</v>
      </c>
    </row>
    <row r="33" spans="1:21" ht="13.5" thickBot="1" x14ac:dyDescent="0.25">
      <c r="A33" t="s">
        <v>116</v>
      </c>
    </row>
    <row r="34" spans="1:21" ht="52.5" thickTop="1" thickBot="1" x14ac:dyDescent="0.25">
      <c r="A34" s="24" t="s">
        <v>117</v>
      </c>
      <c r="B34" s="25" t="s">
        <v>118</v>
      </c>
      <c r="C34" s="25" t="s">
        <v>119</v>
      </c>
      <c r="D34" s="25" t="s">
        <v>120</v>
      </c>
      <c r="E34" s="25" t="s">
        <v>121</v>
      </c>
      <c r="F34" s="25" t="s">
        <v>122</v>
      </c>
      <c r="G34" s="26" t="s">
        <v>123</v>
      </c>
      <c r="H34" s="19"/>
    </row>
    <row r="35" spans="1:21" ht="13.5" thickTop="1" x14ac:dyDescent="0.2">
      <c r="A35" s="27">
        <v>20</v>
      </c>
      <c r="B35" s="28">
        <f t="shared" ref="B35:B52" si="0">A35*1.3</f>
        <v>26</v>
      </c>
      <c r="C35" s="28">
        <f t="shared" ref="C35:C52" si="1">PI()*(A35/2)^2</f>
        <v>314.15926535897933</v>
      </c>
      <c r="D35" s="28">
        <f t="shared" ref="D35:D52" si="2">B35*C35</f>
        <v>8168.1408993334626</v>
      </c>
      <c r="E35" s="28">
        <v>1498</v>
      </c>
      <c r="F35" s="28">
        <v>749</v>
      </c>
      <c r="G35" s="29">
        <v>3816</v>
      </c>
    </row>
    <row r="36" spans="1:21" x14ac:dyDescent="0.2">
      <c r="A36" s="30">
        <v>30</v>
      </c>
      <c r="B36" s="31">
        <f t="shared" si="0"/>
        <v>39</v>
      </c>
      <c r="C36" s="28">
        <f t="shared" si="1"/>
        <v>706.85834705770344</v>
      </c>
      <c r="D36" s="31">
        <f t="shared" si="2"/>
        <v>27567.475535250433</v>
      </c>
      <c r="E36" s="31">
        <v>2246</v>
      </c>
      <c r="F36" s="31">
        <v>1123</v>
      </c>
      <c r="G36" s="32">
        <v>12866</v>
      </c>
    </row>
    <row r="37" spans="1:21" x14ac:dyDescent="0.2">
      <c r="A37" s="30">
        <v>40</v>
      </c>
      <c r="B37" s="31">
        <f t="shared" si="0"/>
        <v>52</v>
      </c>
      <c r="C37" s="28">
        <f t="shared" si="1"/>
        <v>1256.6370614359173</v>
      </c>
      <c r="D37" s="31">
        <f t="shared" si="2"/>
        <v>65345.127194667701</v>
      </c>
      <c r="E37" s="31">
        <v>2994</v>
      </c>
      <c r="F37" s="31">
        <v>1497</v>
      </c>
      <c r="G37" s="32">
        <v>30479</v>
      </c>
    </row>
    <row r="38" spans="1:21" x14ac:dyDescent="0.2">
      <c r="A38" s="30">
        <v>50</v>
      </c>
      <c r="B38" s="31">
        <f t="shared" si="0"/>
        <v>65</v>
      </c>
      <c r="C38" s="28">
        <f t="shared" si="1"/>
        <v>1963.4954084936207</v>
      </c>
      <c r="D38" s="31">
        <f t="shared" si="2"/>
        <v>127627.20155208535</v>
      </c>
      <c r="E38" s="31">
        <v>3741</v>
      </c>
      <c r="F38" s="31">
        <v>1871</v>
      </c>
      <c r="G38" s="32">
        <v>59499</v>
      </c>
    </row>
    <row r="39" spans="1:21" x14ac:dyDescent="0.2">
      <c r="A39" s="30">
        <v>60</v>
      </c>
      <c r="B39" s="31">
        <f t="shared" si="0"/>
        <v>78</v>
      </c>
      <c r="C39" s="28">
        <f t="shared" si="1"/>
        <v>2827.4333882308138</v>
      </c>
      <c r="D39" s="31">
        <f t="shared" si="2"/>
        <v>220539.80428200346</v>
      </c>
      <c r="E39" s="31">
        <v>4489</v>
      </c>
      <c r="F39" s="31">
        <v>2244</v>
      </c>
      <c r="G39" s="32">
        <v>102772</v>
      </c>
    </row>
    <row r="40" spans="1:21" x14ac:dyDescent="0.2">
      <c r="A40" s="30">
        <v>66</v>
      </c>
      <c r="B40" s="31">
        <f t="shared" si="0"/>
        <v>85.8</v>
      </c>
      <c r="C40" s="28">
        <f t="shared" si="1"/>
        <v>3421.1943997592848</v>
      </c>
      <c r="D40" s="31">
        <f t="shared" si="2"/>
        <v>293538.47949934663</v>
      </c>
      <c r="E40" s="31">
        <v>4937</v>
      </c>
      <c r="F40" s="31">
        <v>2469</v>
      </c>
      <c r="G40" s="32">
        <v>136760</v>
      </c>
    </row>
    <row r="41" spans="1:21" x14ac:dyDescent="0.2">
      <c r="A41" s="30">
        <v>70</v>
      </c>
      <c r="B41" s="31">
        <f t="shared" si="0"/>
        <v>91</v>
      </c>
      <c r="C41" s="28">
        <f t="shared" si="1"/>
        <v>3848.4510006474966</v>
      </c>
      <c r="D41" s="31">
        <f t="shared" si="2"/>
        <v>350209.04105892219</v>
      </c>
      <c r="E41" s="31">
        <v>5236</v>
      </c>
      <c r="F41" s="31">
        <v>2618</v>
      </c>
      <c r="G41" s="32">
        <v>163141</v>
      </c>
    </row>
    <row r="42" spans="1:21" x14ac:dyDescent="0.2">
      <c r="A42" s="30">
        <v>80</v>
      </c>
      <c r="B42" s="31">
        <f t="shared" si="0"/>
        <v>104</v>
      </c>
      <c r="C42" s="28">
        <f t="shared" si="1"/>
        <v>5026.5482457436692</v>
      </c>
      <c r="D42" s="31">
        <f t="shared" si="2"/>
        <v>522761.01755734161</v>
      </c>
      <c r="E42" s="31">
        <v>5983</v>
      </c>
      <c r="F42" s="31">
        <v>2992</v>
      </c>
      <c r="G42" s="32">
        <v>243450</v>
      </c>
    </row>
    <row r="43" spans="1:21" x14ac:dyDescent="0.2">
      <c r="A43" s="30">
        <v>85</v>
      </c>
      <c r="B43" s="31">
        <f t="shared" si="0"/>
        <v>110.5</v>
      </c>
      <c r="C43" s="28">
        <f t="shared" si="1"/>
        <v>5674.5017305465635</v>
      </c>
      <c r="D43" s="31">
        <f t="shared" si="2"/>
        <v>627032.44122539531</v>
      </c>
      <c r="E43" s="31">
        <v>6357</v>
      </c>
      <c r="F43" s="31">
        <v>3178</v>
      </c>
      <c r="G43" s="32">
        <v>291970</v>
      </c>
    </row>
    <row r="44" spans="1:21" s="19" customFormat="1" x14ac:dyDescent="0.2">
      <c r="A44" s="30">
        <v>90</v>
      </c>
      <c r="B44" s="31">
        <f t="shared" si="0"/>
        <v>117</v>
      </c>
      <c r="C44" s="28">
        <f t="shared" si="1"/>
        <v>6361.7251235193307</v>
      </c>
      <c r="D44" s="31">
        <f t="shared" si="2"/>
        <v>744321.83945176168</v>
      </c>
      <c r="E44" s="31">
        <v>6730</v>
      </c>
      <c r="F44" s="31">
        <v>3365</v>
      </c>
      <c r="G44" s="32">
        <v>346540</v>
      </c>
      <c r="H44"/>
      <c r="I44"/>
      <c r="J44"/>
      <c r="K44"/>
      <c r="L44"/>
      <c r="M44"/>
      <c r="N44"/>
      <c r="O44"/>
      <c r="P44"/>
      <c r="Q44"/>
      <c r="R44"/>
      <c r="S44"/>
      <c r="T44"/>
      <c r="U44"/>
    </row>
    <row r="45" spans="1:21" x14ac:dyDescent="0.2">
      <c r="A45" s="30">
        <v>100</v>
      </c>
      <c r="B45" s="31">
        <f t="shared" si="0"/>
        <v>130</v>
      </c>
      <c r="C45" s="28">
        <f t="shared" si="1"/>
        <v>7853.981633974483</v>
      </c>
      <c r="D45" s="31">
        <f t="shared" si="2"/>
        <v>1021017.6124166828</v>
      </c>
      <c r="E45" s="31">
        <v>7477</v>
      </c>
      <c r="F45" s="31">
        <v>3739</v>
      </c>
      <c r="G45" s="32">
        <v>475252</v>
      </c>
    </row>
    <row r="46" spans="1:21" x14ac:dyDescent="0.2">
      <c r="A46" s="30">
        <v>110</v>
      </c>
      <c r="B46" s="31">
        <f t="shared" si="0"/>
        <v>143</v>
      </c>
      <c r="C46" s="28">
        <f t="shared" si="1"/>
        <v>9503.317777109125</v>
      </c>
      <c r="D46" s="31">
        <f t="shared" si="2"/>
        <v>1358974.442126605</v>
      </c>
      <c r="E46" s="31">
        <v>8224</v>
      </c>
      <c r="F46" s="31">
        <v>4112</v>
      </c>
      <c r="G46" s="32">
        <v>632425</v>
      </c>
      <c r="J46" s="19"/>
      <c r="K46" s="19"/>
      <c r="L46" s="19"/>
      <c r="M46" s="19"/>
      <c r="N46" s="19"/>
      <c r="O46" s="19"/>
      <c r="P46" s="19"/>
      <c r="Q46" s="19"/>
      <c r="R46" s="19"/>
      <c r="S46" s="19"/>
      <c r="T46" s="19"/>
      <c r="U46" s="19"/>
    </row>
    <row r="47" spans="1:21" x14ac:dyDescent="0.2">
      <c r="A47" s="30">
        <v>120</v>
      </c>
      <c r="B47" s="31">
        <f t="shared" si="0"/>
        <v>156</v>
      </c>
      <c r="C47" s="28">
        <f t="shared" si="1"/>
        <v>11309.733552923255</v>
      </c>
      <c r="D47" s="31">
        <f t="shared" si="2"/>
        <v>1764318.4342560277</v>
      </c>
      <c r="E47" s="31">
        <v>8971</v>
      </c>
      <c r="F47" s="31">
        <v>4485</v>
      </c>
      <c r="G47" s="32">
        <v>820900</v>
      </c>
    </row>
    <row r="48" spans="1:21" x14ac:dyDescent="0.2">
      <c r="A48" s="30">
        <v>130</v>
      </c>
      <c r="B48" s="31">
        <f t="shared" si="0"/>
        <v>169</v>
      </c>
      <c r="C48" s="28">
        <f t="shared" si="1"/>
        <v>13273.228961416877</v>
      </c>
      <c r="D48" s="31">
        <f t="shared" si="2"/>
        <v>2243175.694479452</v>
      </c>
      <c r="E48" s="31">
        <v>9717</v>
      </c>
      <c r="F48" s="31">
        <v>4859</v>
      </c>
      <c r="G48" s="32">
        <v>1043515</v>
      </c>
    </row>
    <row r="49" spans="1:21" x14ac:dyDescent="0.2">
      <c r="A49" s="30">
        <v>140</v>
      </c>
      <c r="B49" s="31">
        <f t="shared" si="0"/>
        <v>182</v>
      </c>
      <c r="C49" s="28">
        <f t="shared" si="1"/>
        <v>15393.804002589986</v>
      </c>
      <c r="D49" s="31">
        <f t="shared" si="2"/>
        <v>2801672.3284713775</v>
      </c>
      <c r="E49" s="31">
        <v>10464</v>
      </c>
      <c r="F49" s="31">
        <v>5232</v>
      </c>
      <c r="G49" s="32">
        <v>1303109</v>
      </c>
    </row>
    <row r="50" spans="1:21" x14ac:dyDescent="0.2">
      <c r="A50" s="30">
        <v>150</v>
      </c>
      <c r="B50" s="31">
        <f t="shared" si="0"/>
        <v>195</v>
      </c>
      <c r="C50" s="28">
        <f t="shared" si="1"/>
        <v>17671.458676442588</v>
      </c>
      <c r="D50" s="31">
        <f t="shared" si="2"/>
        <v>3445934.4419063046</v>
      </c>
      <c r="E50" s="31">
        <v>11211</v>
      </c>
      <c r="F50" s="31">
        <v>5605</v>
      </c>
      <c r="G50" s="32">
        <v>1602520</v>
      </c>
    </row>
    <row r="51" spans="1:21" x14ac:dyDescent="0.2">
      <c r="A51" s="30">
        <v>160</v>
      </c>
      <c r="B51" s="31">
        <f t="shared" si="0"/>
        <v>208</v>
      </c>
      <c r="C51" s="28">
        <f t="shared" si="1"/>
        <v>20106.192982974677</v>
      </c>
      <c r="D51" s="31">
        <f t="shared" si="2"/>
        <v>4182088.1404587328</v>
      </c>
      <c r="E51" s="31">
        <v>11957</v>
      </c>
      <c r="F51" s="31">
        <v>5979</v>
      </c>
      <c r="G51" s="32">
        <v>1944585</v>
      </c>
    </row>
    <row r="52" spans="1:21" ht="13.5" thickBot="1" x14ac:dyDescent="0.25">
      <c r="A52" s="33">
        <v>170</v>
      </c>
      <c r="B52" s="34">
        <f t="shared" si="0"/>
        <v>221</v>
      </c>
      <c r="C52" s="34">
        <f t="shared" si="1"/>
        <v>22698.006922186254</v>
      </c>
      <c r="D52" s="34">
        <f t="shared" si="2"/>
        <v>5016259.5298031624</v>
      </c>
      <c r="E52" s="34">
        <v>12704</v>
      </c>
      <c r="F52" s="34">
        <v>6352</v>
      </c>
      <c r="G52" s="35">
        <v>2332141</v>
      </c>
    </row>
    <row r="53" spans="1:21" ht="13.5" thickTop="1" x14ac:dyDescent="0.2"/>
    <row r="54" spans="1:21" x14ac:dyDescent="0.2">
      <c r="A54" t="s">
        <v>124</v>
      </c>
    </row>
    <row r="55" spans="1:21" x14ac:dyDescent="0.2">
      <c r="A55" t="s">
        <v>125</v>
      </c>
    </row>
    <row r="56" spans="1:21" ht="13.5" thickBot="1" x14ac:dyDescent="0.25">
      <c r="A56" t="s">
        <v>126</v>
      </c>
    </row>
    <row r="57" spans="1:21" ht="52.5" thickTop="1" thickBot="1" x14ac:dyDescent="0.25">
      <c r="A57" s="24" t="s">
        <v>117</v>
      </c>
      <c r="B57" s="25" t="s">
        <v>118</v>
      </c>
      <c r="C57" s="25" t="s">
        <v>127</v>
      </c>
      <c r="D57" s="25" t="s">
        <v>128</v>
      </c>
      <c r="E57" s="25" t="s">
        <v>119</v>
      </c>
      <c r="F57" s="25" t="s">
        <v>129</v>
      </c>
      <c r="G57" s="26" t="s">
        <v>123</v>
      </c>
      <c r="H57" s="19"/>
    </row>
    <row r="58" spans="1:21" ht="13.5" thickTop="1" x14ac:dyDescent="0.2">
      <c r="A58" s="27">
        <v>65</v>
      </c>
      <c r="B58" s="28">
        <v>65</v>
      </c>
      <c r="C58" s="28">
        <v>4.0780000000000003</v>
      </c>
      <c r="D58" s="28">
        <v>2.6</v>
      </c>
      <c r="E58" s="28">
        <f t="shared" ref="E58:E66" si="3">PI()*(A58/2)^2</f>
        <v>3318.3072403542192</v>
      </c>
      <c r="F58" s="28">
        <f t="shared" ref="F58:F66" si="4">E58*B58</f>
        <v>215689.97062302424</v>
      </c>
      <c r="G58" s="29">
        <v>80641</v>
      </c>
    </row>
    <row r="59" spans="1:21" s="19" customFormat="1" x14ac:dyDescent="0.2">
      <c r="A59" s="30">
        <v>70.5</v>
      </c>
      <c r="B59" s="31">
        <v>65</v>
      </c>
      <c r="C59" s="31">
        <v>4.0780000000000003</v>
      </c>
      <c r="D59" s="31">
        <v>2.6</v>
      </c>
      <c r="E59" s="28">
        <f t="shared" si="3"/>
        <v>3903.6252216261673</v>
      </c>
      <c r="F59" s="31">
        <f t="shared" si="4"/>
        <v>253735.63940570087</v>
      </c>
      <c r="G59" s="32">
        <v>80641</v>
      </c>
      <c r="H59"/>
      <c r="I59"/>
      <c r="J59"/>
      <c r="K59"/>
      <c r="L59"/>
      <c r="M59"/>
      <c r="N59"/>
      <c r="O59"/>
      <c r="P59"/>
      <c r="Q59"/>
      <c r="R59"/>
      <c r="S59"/>
      <c r="T59"/>
      <c r="U59"/>
    </row>
    <row r="60" spans="1:21" s="19" customFormat="1" x14ac:dyDescent="0.2">
      <c r="A60" s="30">
        <v>77</v>
      </c>
      <c r="B60" s="31">
        <v>65</v>
      </c>
      <c r="C60" s="31">
        <v>4.0780000000000003</v>
      </c>
      <c r="D60" s="31">
        <v>2.6</v>
      </c>
      <c r="E60" s="28">
        <f t="shared" si="3"/>
        <v>4656.6257107834708</v>
      </c>
      <c r="F60" s="31">
        <f t="shared" si="4"/>
        <v>302680.6712009256</v>
      </c>
      <c r="G60" s="32">
        <v>80641</v>
      </c>
      <c r="H60"/>
      <c r="I60"/>
      <c r="J60"/>
      <c r="K60"/>
      <c r="L60"/>
      <c r="M60"/>
      <c r="N60"/>
      <c r="O60"/>
      <c r="P60"/>
      <c r="Q60"/>
      <c r="R60"/>
      <c r="S60"/>
      <c r="T60"/>
      <c r="U60"/>
    </row>
    <row r="61" spans="1:21" x14ac:dyDescent="0.2">
      <c r="A61" s="30">
        <v>65</v>
      </c>
      <c r="B61" s="31">
        <v>80</v>
      </c>
      <c r="C61" s="31">
        <v>4.0780000000000003</v>
      </c>
      <c r="D61" s="31">
        <v>2.6</v>
      </c>
      <c r="E61" s="28">
        <f t="shared" si="3"/>
        <v>3318.3072403542192</v>
      </c>
      <c r="F61" s="31">
        <f t="shared" si="4"/>
        <v>265464.5792283375</v>
      </c>
      <c r="G61" s="32">
        <v>109161</v>
      </c>
      <c r="J61" s="19"/>
      <c r="K61" s="19"/>
      <c r="L61" s="19"/>
      <c r="M61" s="19"/>
      <c r="N61" s="19"/>
      <c r="O61" s="19"/>
      <c r="P61" s="19"/>
      <c r="Q61" s="19"/>
      <c r="R61" s="19"/>
      <c r="S61" s="19"/>
      <c r="T61" s="19"/>
      <c r="U61" s="19"/>
    </row>
    <row r="62" spans="1:21" x14ac:dyDescent="0.2">
      <c r="A62" s="30">
        <v>70.5</v>
      </c>
      <c r="B62" s="31">
        <v>80</v>
      </c>
      <c r="C62" s="31">
        <v>4.0780000000000003</v>
      </c>
      <c r="D62" s="31">
        <v>2.6</v>
      </c>
      <c r="E62" s="28">
        <f t="shared" si="3"/>
        <v>3903.6252216261673</v>
      </c>
      <c r="F62" s="31">
        <f t="shared" si="4"/>
        <v>312290.01773009339</v>
      </c>
      <c r="G62" s="32">
        <v>109161</v>
      </c>
      <c r="J62" s="19"/>
      <c r="K62" s="19"/>
      <c r="L62" s="19"/>
      <c r="M62" s="19"/>
      <c r="N62" s="19"/>
      <c r="O62" s="19"/>
      <c r="P62" s="19"/>
      <c r="Q62" s="19"/>
      <c r="R62" s="19"/>
      <c r="S62" s="19"/>
      <c r="T62" s="19"/>
      <c r="U62" s="19"/>
    </row>
    <row r="63" spans="1:21" x14ac:dyDescent="0.2">
      <c r="A63" s="30">
        <v>77</v>
      </c>
      <c r="B63" s="31">
        <v>80</v>
      </c>
      <c r="C63" s="31">
        <v>4.0780000000000003</v>
      </c>
      <c r="D63" s="31">
        <v>2.6</v>
      </c>
      <c r="E63" s="28">
        <f t="shared" si="3"/>
        <v>4656.6257107834708</v>
      </c>
      <c r="F63" s="31">
        <f t="shared" si="4"/>
        <v>372530.05686267768</v>
      </c>
      <c r="G63" s="32">
        <v>109161</v>
      </c>
    </row>
    <row r="64" spans="1:21" x14ac:dyDescent="0.2">
      <c r="A64" s="30">
        <v>65</v>
      </c>
      <c r="B64" s="31">
        <v>100</v>
      </c>
      <c r="C64" s="31">
        <v>4.75</v>
      </c>
      <c r="D64" s="31">
        <v>2.6</v>
      </c>
      <c r="E64" s="28">
        <f t="shared" si="3"/>
        <v>3318.3072403542192</v>
      </c>
      <c r="F64" s="31">
        <f t="shared" si="4"/>
        <v>331830.72403542191</v>
      </c>
      <c r="G64" s="32">
        <v>156161</v>
      </c>
      <c r="I64" s="19"/>
    </row>
    <row r="65" spans="1:21" x14ac:dyDescent="0.2">
      <c r="A65" s="30">
        <v>70.5</v>
      </c>
      <c r="B65" s="31">
        <v>100</v>
      </c>
      <c r="C65" s="31">
        <v>4.75</v>
      </c>
      <c r="D65" s="31">
        <v>2.6</v>
      </c>
      <c r="E65" s="28">
        <f t="shared" si="3"/>
        <v>3903.6252216261673</v>
      </c>
      <c r="F65" s="31">
        <f t="shared" si="4"/>
        <v>390362.52216261672</v>
      </c>
      <c r="G65" s="32">
        <v>156161</v>
      </c>
    </row>
    <row r="66" spans="1:21" ht="13.5" thickBot="1" x14ac:dyDescent="0.25">
      <c r="A66" s="33">
        <v>77</v>
      </c>
      <c r="B66" s="34">
        <v>100</v>
      </c>
      <c r="C66" s="34">
        <v>4.75</v>
      </c>
      <c r="D66" s="34">
        <v>2.6</v>
      </c>
      <c r="E66" s="34">
        <f t="shared" si="3"/>
        <v>4656.6257107834708</v>
      </c>
      <c r="F66" s="34">
        <f t="shared" si="4"/>
        <v>465662.5710783471</v>
      </c>
      <c r="G66" s="35">
        <v>156161</v>
      </c>
    </row>
    <row r="67" spans="1:21" ht="13.5" thickTop="1" x14ac:dyDescent="0.2"/>
    <row r="68" spans="1:21" s="19" customFormat="1" x14ac:dyDescent="0.2">
      <c r="A68"/>
      <c r="B68"/>
      <c r="C68"/>
      <c r="D68"/>
      <c r="E68"/>
      <c r="F68"/>
      <c r="G68"/>
      <c r="H68"/>
      <c r="I68"/>
      <c r="J68"/>
      <c r="K68"/>
      <c r="L68"/>
      <c r="M68"/>
      <c r="N68"/>
      <c r="O68"/>
      <c r="P68"/>
      <c r="Q68"/>
      <c r="R68"/>
      <c r="S68"/>
      <c r="T68"/>
      <c r="U68"/>
    </row>
    <row r="69" spans="1:21" x14ac:dyDescent="0.2">
      <c r="A69" t="s">
        <v>130</v>
      </c>
    </row>
    <row r="70" spans="1:21" x14ac:dyDescent="0.2">
      <c r="A70" t="s">
        <v>131</v>
      </c>
      <c r="J70" s="19"/>
      <c r="K70" s="19"/>
      <c r="L70" s="19"/>
      <c r="M70" s="19"/>
      <c r="N70" s="19"/>
      <c r="O70" s="19"/>
      <c r="P70" s="19"/>
      <c r="Q70" s="19"/>
      <c r="R70" s="19"/>
      <c r="S70" s="19"/>
      <c r="T70" s="19"/>
      <c r="U70" s="19"/>
    </row>
    <row r="71" spans="1:21" ht="13.5" thickBot="1" x14ac:dyDescent="0.25">
      <c r="A71" t="s">
        <v>132</v>
      </c>
    </row>
    <row r="72" spans="1:21" ht="39.75" thickTop="1" thickBot="1" x14ac:dyDescent="0.25">
      <c r="A72" s="24" t="s">
        <v>117</v>
      </c>
      <c r="B72" s="25" t="s">
        <v>133</v>
      </c>
      <c r="C72" s="25" t="s">
        <v>119</v>
      </c>
      <c r="D72" s="25" t="s">
        <v>129</v>
      </c>
      <c r="E72" s="25" t="s">
        <v>134</v>
      </c>
      <c r="F72" s="26" t="s">
        <v>135</v>
      </c>
      <c r="G72" s="19"/>
      <c r="H72" s="19"/>
    </row>
    <row r="73" spans="1:21" ht="13.5" thickTop="1" x14ac:dyDescent="0.2">
      <c r="A73" s="27">
        <v>50</v>
      </c>
      <c r="B73" s="28">
        <v>60</v>
      </c>
      <c r="C73" s="28">
        <f>PI()*(A73/2)^2</f>
        <v>1963.4954084936207</v>
      </c>
      <c r="D73" s="28">
        <f>C73*B73</f>
        <v>117809.72450961724</v>
      </c>
      <c r="E73" s="28">
        <v>46440</v>
      </c>
      <c r="F73" s="29">
        <v>29054</v>
      </c>
    </row>
    <row r="74" spans="1:21" x14ac:dyDescent="0.2">
      <c r="A74" s="30">
        <v>70</v>
      </c>
      <c r="B74" s="31">
        <v>84</v>
      </c>
      <c r="C74" s="28">
        <f>PI()*(A74/2)^2</f>
        <v>3848.4510006474966</v>
      </c>
      <c r="D74" s="31">
        <f>C74*B74</f>
        <v>323269.88405438972</v>
      </c>
      <c r="E74" s="31">
        <v>122522</v>
      </c>
      <c r="F74" s="32">
        <v>94869</v>
      </c>
    </row>
    <row r="75" spans="1:21" x14ac:dyDescent="0.2">
      <c r="A75" s="30">
        <v>99</v>
      </c>
      <c r="B75" s="31">
        <v>119</v>
      </c>
      <c r="C75" s="28">
        <f>PI()*(A75/2)^2</f>
        <v>7697.6873994583902</v>
      </c>
      <c r="D75" s="31">
        <f>C75*B75</f>
        <v>916024.80053554848</v>
      </c>
      <c r="E75" s="31">
        <v>367610</v>
      </c>
      <c r="F75" s="32">
        <v>246992</v>
      </c>
    </row>
    <row r="76" spans="1:21" ht="13.5" thickBot="1" x14ac:dyDescent="0.25">
      <c r="A76" s="33">
        <v>128</v>
      </c>
      <c r="B76" s="34">
        <v>154</v>
      </c>
      <c r="C76" s="34">
        <f>PI()*(A76/2)^2</f>
        <v>12867.963509103793</v>
      </c>
      <c r="D76" s="34">
        <f>C76*B76</f>
        <v>1981666.3804019841</v>
      </c>
      <c r="E76" s="34">
        <v>784101</v>
      </c>
      <c r="F76" s="35"/>
    </row>
    <row r="77" spans="1:21" ht="13.5" thickTop="1" x14ac:dyDescent="0.2">
      <c r="A77" t="s">
        <v>136</v>
      </c>
    </row>
    <row r="79" spans="1:21" ht="13.5" thickBot="1" x14ac:dyDescent="0.25">
      <c r="A79" t="s">
        <v>137</v>
      </c>
      <c r="I79" s="19"/>
    </row>
    <row r="80" spans="1:21" s="19" customFormat="1" ht="39.75" thickTop="1" thickBot="1" x14ac:dyDescent="0.25">
      <c r="A80" s="24" t="s">
        <v>117</v>
      </c>
      <c r="B80" s="25" t="s">
        <v>118</v>
      </c>
      <c r="C80" s="25" t="s">
        <v>119</v>
      </c>
      <c r="D80" s="25" t="s">
        <v>129</v>
      </c>
      <c r="E80" s="25" t="s">
        <v>138</v>
      </c>
      <c r="F80" s="25" t="s">
        <v>139</v>
      </c>
      <c r="G80" s="26" t="s">
        <v>123</v>
      </c>
      <c r="J80"/>
      <c r="K80"/>
      <c r="L80"/>
      <c r="M80"/>
      <c r="N80"/>
      <c r="O80"/>
      <c r="P80"/>
      <c r="Q80"/>
      <c r="R80"/>
      <c r="S80"/>
      <c r="T80"/>
      <c r="U80"/>
    </row>
    <row r="81" spans="1:21" ht="13.5" thickTop="1" x14ac:dyDescent="0.2">
      <c r="A81" s="27">
        <v>93</v>
      </c>
      <c r="B81" s="28">
        <v>80</v>
      </c>
      <c r="C81" s="28">
        <f>PI()*(A81/2)^2</f>
        <v>6792.9087152245302</v>
      </c>
      <c r="D81" s="28">
        <f>C81*B81</f>
        <v>543432.69721796247</v>
      </c>
      <c r="E81" s="28">
        <v>4.42</v>
      </c>
      <c r="F81" s="28">
        <v>3.59</v>
      </c>
      <c r="G81" s="29">
        <v>204000</v>
      </c>
    </row>
    <row r="82" spans="1:21" ht="13.5" thickBot="1" x14ac:dyDescent="0.25">
      <c r="A82" s="33">
        <v>93</v>
      </c>
      <c r="B82" s="34">
        <v>73.5</v>
      </c>
      <c r="C82" s="34">
        <f>PI()*(A82/2)^2</f>
        <v>6792.9087152245302</v>
      </c>
      <c r="D82" s="34">
        <f>C82*B82</f>
        <v>499278.79056900297</v>
      </c>
      <c r="E82" s="34">
        <v>4.42</v>
      </c>
      <c r="F82" s="34">
        <v>3.59</v>
      </c>
      <c r="G82" s="35">
        <v>181500</v>
      </c>
      <c r="J82" s="19"/>
      <c r="K82" s="19"/>
      <c r="L82" s="19"/>
      <c r="M82" s="19"/>
      <c r="N82" s="19"/>
      <c r="O82" s="19"/>
      <c r="P82" s="19"/>
      <c r="Q82" s="19"/>
      <c r="R82" s="19"/>
      <c r="S82" s="19"/>
      <c r="T82" s="19"/>
      <c r="U82" s="19"/>
    </row>
    <row r="83" spans="1:21" ht="13.5" thickTop="1" x14ac:dyDescent="0.2"/>
    <row r="84" spans="1:21" ht="13.5" thickBot="1" x14ac:dyDescent="0.25">
      <c r="A84" s="39" t="s">
        <v>569</v>
      </c>
      <c r="B84" s="39"/>
      <c r="C84" s="39"/>
      <c r="D84" s="39"/>
      <c r="E84" s="39"/>
    </row>
    <row r="85" spans="1:21" s="19" customFormat="1" ht="39.75" thickTop="1" thickBot="1" x14ac:dyDescent="0.25">
      <c r="A85" s="24" t="s">
        <v>117</v>
      </c>
      <c r="B85" s="25" t="s">
        <v>118</v>
      </c>
      <c r="C85" s="25" t="s">
        <v>119</v>
      </c>
      <c r="D85" s="25" t="s">
        <v>129</v>
      </c>
      <c r="E85" s="25" t="s">
        <v>138</v>
      </c>
      <c r="F85" s="25" t="s">
        <v>139</v>
      </c>
      <c r="G85" s="26" t="s">
        <v>123</v>
      </c>
    </row>
    <row r="86" spans="1:21" s="19" customFormat="1" ht="13.5" thickTop="1" x14ac:dyDescent="0.2">
      <c r="A86" s="181">
        <v>80</v>
      </c>
      <c r="B86" s="182">
        <v>60</v>
      </c>
      <c r="C86" s="182">
        <f>PI()*(A86/2)^2</f>
        <v>5026.5482457436692</v>
      </c>
      <c r="D86" s="182">
        <f>C86*B86</f>
        <v>301592.89474462013</v>
      </c>
      <c r="E86" s="182"/>
      <c r="F86" s="182"/>
      <c r="G86" s="183">
        <v>125000</v>
      </c>
      <c r="H86" s="19" t="s">
        <v>570</v>
      </c>
    </row>
    <row r="87" spans="1:21" s="19" customFormat="1" x14ac:dyDescent="0.2">
      <c r="A87" s="371">
        <v>80</v>
      </c>
      <c r="B87" s="372">
        <v>67</v>
      </c>
      <c r="C87" s="372">
        <f t="shared" ref="C87:C101" si="5">PI()*(A87/2)^2</f>
        <v>5026.5482457436692</v>
      </c>
      <c r="D87" s="372">
        <f t="shared" ref="D87:D101" si="6">C87*B87</f>
        <v>336778.73246482585</v>
      </c>
      <c r="E87" s="372"/>
      <c r="F87" s="372"/>
      <c r="G87" s="373">
        <v>145000</v>
      </c>
      <c r="H87" s="7" t="s">
        <v>570</v>
      </c>
    </row>
    <row r="88" spans="1:21" s="19" customFormat="1" x14ac:dyDescent="0.2">
      <c r="A88" s="371">
        <v>80</v>
      </c>
      <c r="B88" s="372">
        <v>78</v>
      </c>
      <c r="C88" s="372">
        <f t="shared" si="5"/>
        <v>5026.5482457436692</v>
      </c>
      <c r="D88" s="372">
        <f t="shared" si="6"/>
        <v>392070.7631680062</v>
      </c>
      <c r="E88" s="372"/>
      <c r="F88" s="372"/>
      <c r="G88" s="373">
        <v>200000</v>
      </c>
      <c r="H88" s="7" t="s">
        <v>570</v>
      </c>
    </row>
    <row r="89" spans="1:21" s="19" customFormat="1" x14ac:dyDescent="0.2">
      <c r="A89" s="371">
        <v>80</v>
      </c>
      <c r="B89" s="372">
        <v>100</v>
      </c>
      <c r="C89" s="372">
        <f t="shared" si="5"/>
        <v>5026.5482457436692</v>
      </c>
      <c r="D89" s="372">
        <f t="shared" si="6"/>
        <v>502654.82457436691</v>
      </c>
      <c r="E89" s="372"/>
      <c r="F89" s="372"/>
      <c r="G89" s="373">
        <v>225000</v>
      </c>
      <c r="H89" s="374" t="s">
        <v>570</v>
      </c>
    </row>
    <row r="90" spans="1:21" s="19" customFormat="1" x14ac:dyDescent="0.2">
      <c r="A90" s="371">
        <v>80</v>
      </c>
      <c r="B90" s="372">
        <v>60</v>
      </c>
      <c r="C90" s="372">
        <f t="shared" si="5"/>
        <v>5026.5482457436692</v>
      </c>
      <c r="D90" s="372">
        <f t="shared" si="6"/>
        <v>301592.89474462013</v>
      </c>
      <c r="E90" s="372"/>
      <c r="F90" s="372"/>
      <c r="G90" s="373">
        <v>130000</v>
      </c>
      <c r="H90" s="374" t="s">
        <v>571</v>
      </c>
    </row>
    <row r="91" spans="1:21" s="19" customFormat="1" x14ac:dyDescent="0.2">
      <c r="A91" s="371">
        <v>80</v>
      </c>
      <c r="B91" s="372">
        <v>67</v>
      </c>
      <c r="C91" s="372">
        <f t="shared" si="5"/>
        <v>5026.5482457436692</v>
      </c>
      <c r="D91" s="372">
        <f t="shared" si="6"/>
        <v>336778.73246482585</v>
      </c>
      <c r="E91" s="372"/>
      <c r="F91" s="372"/>
      <c r="G91" s="373">
        <v>160000</v>
      </c>
      <c r="H91" s="374" t="s">
        <v>571</v>
      </c>
    </row>
    <row r="92" spans="1:21" s="19" customFormat="1" x14ac:dyDescent="0.2">
      <c r="A92" s="371">
        <v>80</v>
      </c>
      <c r="B92" s="372">
        <v>78</v>
      </c>
      <c r="C92" s="372">
        <f t="shared" si="5"/>
        <v>5026.5482457436692</v>
      </c>
      <c r="D92" s="372">
        <f t="shared" si="6"/>
        <v>392070.7631680062</v>
      </c>
      <c r="E92" s="372"/>
      <c r="F92" s="372"/>
      <c r="G92" s="373">
        <v>205000</v>
      </c>
      <c r="H92" s="374" t="s">
        <v>571</v>
      </c>
    </row>
    <row r="93" spans="1:21" s="19" customFormat="1" x14ac:dyDescent="0.2">
      <c r="A93" s="371">
        <v>82</v>
      </c>
      <c r="B93" s="372">
        <v>59</v>
      </c>
      <c r="C93" s="372">
        <f t="shared" si="5"/>
        <v>5281.0172506844419</v>
      </c>
      <c r="D93" s="372">
        <f t="shared" si="6"/>
        <v>311580.01779038209</v>
      </c>
      <c r="E93" s="372"/>
      <c r="F93" s="372"/>
      <c r="G93" s="373">
        <v>72000</v>
      </c>
      <c r="H93" s="374" t="s">
        <v>572</v>
      </c>
    </row>
    <row r="94" spans="1:21" s="19" customFormat="1" x14ac:dyDescent="0.2">
      <c r="A94" s="371">
        <v>82</v>
      </c>
      <c r="B94" s="372">
        <v>68.5</v>
      </c>
      <c r="C94" s="372">
        <f t="shared" si="5"/>
        <v>5281.0172506844419</v>
      </c>
      <c r="D94" s="372">
        <f t="shared" si="6"/>
        <v>361749.68167188426</v>
      </c>
      <c r="E94" s="372"/>
      <c r="F94" s="372"/>
      <c r="G94" s="373">
        <v>103000</v>
      </c>
      <c r="H94" s="374" t="s">
        <v>572</v>
      </c>
    </row>
    <row r="95" spans="1:21" s="19" customFormat="1" x14ac:dyDescent="0.2">
      <c r="A95" s="371">
        <v>82</v>
      </c>
      <c r="B95" s="372">
        <v>70</v>
      </c>
      <c r="C95" s="372">
        <f t="shared" si="5"/>
        <v>5281.0172506844419</v>
      </c>
      <c r="D95" s="372">
        <f t="shared" si="6"/>
        <v>369671.20754791092</v>
      </c>
      <c r="E95" s="372"/>
      <c r="F95" s="372"/>
      <c r="G95" s="373">
        <v>106000</v>
      </c>
      <c r="H95" s="374" t="s">
        <v>572</v>
      </c>
    </row>
    <row r="96" spans="1:21" s="19" customFormat="1" x14ac:dyDescent="0.2">
      <c r="A96" s="371">
        <v>82</v>
      </c>
      <c r="B96" s="372">
        <v>78</v>
      </c>
      <c r="C96" s="372">
        <f t="shared" si="5"/>
        <v>5281.0172506844419</v>
      </c>
      <c r="D96" s="372">
        <f t="shared" si="6"/>
        <v>411919.34555338649</v>
      </c>
      <c r="E96" s="372"/>
      <c r="F96" s="372"/>
      <c r="G96" s="373">
        <v>127000</v>
      </c>
      <c r="H96" s="374" t="s">
        <v>572</v>
      </c>
    </row>
    <row r="97" spans="1:28" s="19" customFormat="1" x14ac:dyDescent="0.2">
      <c r="A97" s="371">
        <v>90</v>
      </c>
      <c r="B97" s="372">
        <v>65</v>
      </c>
      <c r="C97" s="372">
        <f t="shared" si="5"/>
        <v>6361.7251235193307</v>
      </c>
      <c r="D97" s="372">
        <f t="shared" si="6"/>
        <v>413512.13302875648</v>
      </c>
      <c r="E97" s="372"/>
      <c r="F97" s="372"/>
      <c r="G97" s="373">
        <v>100000</v>
      </c>
      <c r="H97" s="7" t="s">
        <v>573</v>
      </c>
    </row>
    <row r="98" spans="1:28" s="7" customFormat="1" x14ac:dyDescent="0.2">
      <c r="A98" s="380">
        <v>90</v>
      </c>
      <c r="B98" s="381">
        <v>80</v>
      </c>
      <c r="C98" s="381">
        <f t="shared" si="5"/>
        <v>6361.7251235193307</v>
      </c>
      <c r="D98" s="381">
        <f t="shared" si="6"/>
        <v>508938.00988154649</v>
      </c>
      <c r="E98" s="381"/>
      <c r="F98" s="381"/>
      <c r="G98" s="382">
        <v>160000</v>
      </c>
      <c r="H98" s="7" t="s">
        <v>575</v>
      </c>
    </row>
    <row r="99" spans="1:28" s="7" customFormat="1" x14ac:dyDescent="0.2">
      <c r="A99" s="380">
        <v>90</v>
      </c>
      <c r="B99" s="381">
        <v>90</v>
      </c>
      <c r="C99" s="381">
        <f t="shared" si="5"/>
        <v>6361.7251235193307</v>
      </c>
      <c r="D99" s="381">
        <f t="shared" si="6"/>
        <v>572555.26111673971</v>
      </c>
      <c r="E99" s="381"/>
      <c r="F99" s="381"/>
      <c r="G99" s="382">
        <v>170000</v>
      </c>
      <c r="H99" s="7" t="s">
        <v>576</v>
      </c>
    </row>
    <row r="100" spans="1:28" s="7" customFormat="1" x14ac:dyDescent="0.2">
      <c r="A100" s="383">
        <v>90</v>
      </c>
      <c r="B100" s="384">
        <v>105</v>
      </c>
      <c r="C100" s="384">
        <f t="shared" si="5"/>
        <v>6361.7251235193307</v>
      </c>
      <c r="D100" s="384">
        <f t="shared" si="6"/>
        <v>667981.13796952972</v>
      </c>
      <c r="E100" s="384"/>
      <c r="F100" s="384"/>
      <c r="G100" s="385">
        <v>285000</v>
      </c>
      <c r="H100" s="7" t="s">
        <v>576</v>
      </c>
    </row>
    <row r="101" spans="1:28" s="7" customFormat="1" ht="13.5" thickBot="1" x14ac:dyDescent="0.25">
      <c r="A101" s="375">
        <v>120</v>
      </c>
      <c r="B101" s="376">
        <v>90</v>
      </c>
      <c r="C101" s="376">
        <f t="shared" si="5"/>
        <v>11309.733552923255</v>
      </c>
      <c r="D101" s="376">
        <f t="shared" si="6"/>
        <v>1017876.019763093</v>
      </c>
      <c r="E101" s="376"/>
      <c r="F101" s="376"/>
      <c r="G101" s="377">
        <v>220000</v>
      </c>
      <c r="H101" s="378" t="s">
        <v>574</v>
      </c>
      <c r="I101" s="379"/>
    </row>
    <row r="102" spans="1:28" ht="13.5" thickTop="1" x14ac:dyDescent="0.2">
      <c r="A102" s="39"/>
      <c r="B102" s="39"/>
      <c r="C102" s="39"/>
      <c r="D102" s="39"/>
      <c r="E102" s="39"/>
    </row>
    <row r="103" spans="1:28" x14ac:dyDescent="0.2">
      <c r="A103" t="s">
        <v>114</v>
      </c>
    </row>
    <row r="104" spans="1:28" s="19" customFormat="1" x14ac:dyDescent="0.2">
      <c r="A104" t="s">
        <v>140</v>
      </c>
      <c r="B104"/>
      <c r="C104"/>
      <c r="D104"/>
      <c r="E104"/>
      <c r="F104"/>
      <c r="G104"/>
      <c r="H104"/>
      <c r="I104"/>
      <c r="J104"/>
      <c r="K104"/>
      <c r="L104"/>
      <c r="M104"/>
      <c r="N104"/>
      <c r="O104"/>
      <c r="P104"/>
      <c r="Q104"/>
      <c r="R104"/>
      <c r="S104"/>
      <c r="T104"/>
      <c r="U104"/>
    </row>
    <row r="105" spans="1:28" s="19" customFormat="1" ht="13.5" thickBot="1" x14ac:dyDescent="0.25">
      <c r="A105" t="s">
        <v>141</v>
      </c>
      <c r="B105"/>
      <c r="C105"/>
      <c r="D105"/>
      <c r="E105"/>
      <c r="F105"/>
      <c r="G105"/>
      <c r="H105"/>
      <c r="I105"/>
      <c r="J105"/>
      <c r="K105"/>
      <c r="L105"/>
      <c r="M105"/>
      <c r="N105"/>
      <c r="O105"/>
      <c r="P105"/>
      <c r="Q105"/>
      <c r="R105"/>
      <c r="S105"/>
      <c r="T105"/>
      <c r="U105"/>
    </row>
    <row r="106" spans="1:28" ht="27" thickTop="1" thickBot="1" x14ac:dyDescent="0.25">
      <c r="A106" s="24" t="s">
        <v>117</v>
      </c>
      <c r="B106" s="25" t="s">
        <v>118</v>
      </c>
      <c r="C106" s="25" t="s">
        <v>119</v>
      </c>
      <c r="D106" s="25" t="s">
        <v>129</v>
      </c>
      <c r="E106" s="26" t="s">
        <v>123</v>
      </c>
      <c r="F106" s="19"/>
      <c r="G106" s="19"/>
      <c r="H106" s="19"/>
      <c r="I106" s="19"/>
      <c r="J106" s="19"/>
      <c r="K106" s="19"/>
      <c r="L106" s="19"/>
      <c r="M106" s="19"/>
      <c r="N106" s="19"/>
      <c r="O106" s="19"/>
      <c r="P106" s="19"/>
      <c r="Q106" s="19"/>
      <c r="R106" s="19"/>
      <c r="S106" s="19"/>
      <c r="T106" s="19"/>
      <c r="U106" s="19"/>
    </row>
    <row r="107" spans="1:28" ht="13.5" thickTop="1" x14ac:dyDescent="0.2">
      <c r="A107" s="36">
        <v>91.4</v>
      </c>
      <c r="B107" s="37">
        <v>61</v>
      </c>
      <c r="C107" s="37">
        <f t="shared" ref="C107:C115" si="7">PI()*(A107/2)^2</f>
        <v>6561.1848410957482</v>
      </c>
      <c r="D107" s="37">
        <f t="shared" ref="D107:D115" si="8">C107*B107</f>
        <v>400232.27530684066</v>
      </c>
      <c r="E107" s="38">
        <v>115700</v>
      </c>
      <c r="J107" s="19"/>
      <c r="K107" s="19"/>
    </row>
    <row r="108" spans="1:28" s="19" customFormat="1" x14ac:dyDescent="0.2">
      <c r="A108" s="30">
        <v>97.5</v>
      </c>
      <c r="B108" s="31">
        <v>61</v>
      </c>
      <c r="C108" s="31">
        <f t="shared" si="7"/>
        <v>7466.1912907969927</v>
      </c>
      <c r="D108" s="31">
        <f t="shared" si="8"/>
        <v>455437.66873861657</v>
      </c>
      <c r="E108" s="32">
        <v>159600</v>
      </c>
      <c r="F108"/>
      <c r="G108"/>
      <c r="H108"/>
      <c r="I108"/>
      <c r="J108"/>
      <c r="K108"/>
      <c r="L108"/>
      <c r="M108"/>
      <c r="N108"/>
      <c r="O108"/>
      <c r="P108"/>
      <c r="Q108"/>
      <c r="R108"/>
      <c r="S108"/>
      <c r="T108"/>
      <c r="U108"/>
      <c r="V108"/>
      <c r="W108"/>
      <c r="X108"/>
      <c r="Y108"/>
      <c r="Z108"/>
      <c r="AA108"/>
      <c r="AB108"/>
    </row>
    <row r="109" spans="1:28" s="19" customFormat="1" x14ac:dyDescent="0.2">
      <c r="A109" s="30">
        <v>80</v>
      </c>
      <c r="B109" s="31">
        <v>80</v>
      </c>
      <c r="C109" s="31">
        <f t="shared" si="7"/>
        <v>5026.5482457436692</v>
      </c>
      <c r="D109" s="31">
        <f t="shared" si="8"/>
        <v>402123.85965949355</v>
      </c>
      <c r="E109" s="32">
        <v>179300</v>
      </c>
      <c r="F109"/>
      <c r="G109"/>
      <c r="H109"/>
      <c r="I109"/>
      <c r="J109"/>
      <c r="K109"/>
      <c r="L109"/>
      <c r="M109"/>
      <c r="N109"/>
      <c r="O109"/>
      <c r="P109"/>
      <c r="Q109"/>
      <c r="R109"/>
      <c r="S109"/>
      <c r="T109"/>
      <c r="U109"/>
      <c r="V109"/>
      <c r="W109"/>
      <c r="X109"/>
      <c r="Y109"/>
      <c r="Z109"/>
      <c r="AA109"/>
      <c r="AB109"/>
    </row>
    <row r="110" spans="1:28" s="19" customFormat="1" x14ac:dyDescent="0.2">
      <c r="A110" s="30">
        <v>54</v>
      </c>
      <c r="B110" s="31">
        <v>70</v>
      </c>
      <c r="C110" s="31">
        <f t="shared" si="7"/>
        <v>2290.221044466959</v>
      </c>
      <c r="D110" s="31">
        <f t="shared" si="8"/>
        <v>160315.47311268712</v>
      </c>
      <c r="E110" s="32">
        <v>107000</v>
      </c>
      <c r="F110"/>
      <c r="G110"/>
      <c r="H110"/>
      <c r="I110"/>
      <c r="L110"/>
      <c r="M110"/>
      <c r="N110"/>
      <c r="O110"/>
      <c r="P110"/>
      <c r="Q110"/>
      <c r="R110"/>
      <c r="S110"/>
      <c r="T110"/>
      <c r="U110"/>
      <c r="V110"/>
      <c r="W110"/>
      <c r="X110"/>
      <c r="Y110"/>
      <c r="Z110"/>
      <c r="AA110"/>
      <c r="AB110"/>
    </row>
    <row r="111" spans="1:28" x14ac:dyDescent="0.2">
      <c r="A111" s="30">
        <v>60</v>
      </c>
      <c r="B111" s="31">
        <v>69</v>
      </c>
      <c r="C111" s="31">
        <f t="shared" si="7"/>
        <v>2827.4333882308138</v>
      </c>
      <c r="D111" s="31">
        <f t="shared" si="8"/>
        <v>195092.90378792616</v>
      </c>
      <c r="E111" s="32">
        <v>104000</v>
      </c>
      <c r="J111" s="19"/>
      <c r="K111" s="19"/>
    </row>
    <row r="112" spans="1:28" s="19" customFormat="1" x14ac:dyDescent="0.2">
      <c r="A112" s="30">
        <v>50</v>
      </c>
      <c r="B112" s="31">
        <v>50</v>
      </c>
      <c r="C112" s="31">
        <f t="shared" si="7"/>
        <v>1963.4954084936207</v>
      </c>
      <c r="D112" s="31">
        <f t="shared" si="8"/>
        <v>98174.770424681032</v>
      </c>
      <c r="E112" s="32">
        <v>109000</v>
      </c>
      <c r="F112"/>
      <c r="G112"/>
      <c r="H112"/>
      <c r="I112"/>
      <c r="L112"/>
      <c r="M112"/>
      <c r="N112"/>
      <c r="O112"/>
      <c r="P112"/>
      <c r="Q112"/>
      <c r="R112"/>
      <c r="S112"/>
      <c r="T112"/>
      <c r="U112"/>
      <c r="V112"/>
      <c r="W112"/>
      <c r="X112"/>
      <c r="Y112"/>
      <c r="Z112"/>
      <c r="AA112"/>
      <c r="AB112"/>
    </row>
    <row r="113" spans="1:28" s="19" customFormat="1" x14ac:dyDescent="0.2">
      <c r="A113" s="30">
        <v>53</v>
      </c>
      <c r="B113" s="31">
        <v>58</v>
      </c>
      <c r="C113" s="31">
        <f t="shared" si="7"/>
        <v>2206.1834409834323</v>
      </c>
      <c r="D113" s="31">
        <f t="shared" si="8"/>
        <v>127958.63957703908</v>
      </c>
      <c r="E113" s="32">
        <v>58740</v>
      </c>
      <c r="F113"/>
      <c r="G113"/>
      <c r="H113"/>
      <c r="I113"/>
      <c r="J113"/>
      <c r="K113"/>
      <c r="L113"/>
      <c r="M113"/>
      <c r="N113"/>
      <c r="O113"/>
      <c r="P113"/>
      <c r="Q113"/>
      <c r="R113"/>
      <c r="S113"/>
      <c r="T113"/>
      <c r="U113"/>
      <c r="V113"/>
      <c r="W113"/>
      <c r="X113"/>
      <c r="Y113"/>
      <c r="Z113"/>
      <c r="AA113"/>
      <c r="AB113"/>
    </row>
    <row r="114" spans="1:28" x14ac:dyDescent="0.2">
      <c r="A114" s="30">
        <v>66</v>
      </c>
      <c r="B114" s="31">
        <v>80</v>
      </c>
      <c r="C114" s="31">
        <f t="shared" si="7"/>
        <v>3421.1943997592848</v>
      </c>
      <c r="D114" s="31">
        <f t="shared" si="8"/>
        <v>273695.55198074278</v>
      </c>
      <c r="E114" s="32">
        <v>145000</v>
      </c>
      <c r="J114" s="19"/>
      <c r="K114" s="19"/>
    </row>
    <row r="115" spans="1:28" ht="13.5" thickBot="1" x14ac:dyDescent="0.25">
      <c r="A115" s="33">
        <v>47</v>
      </c>
      <c r="B115" s="34">
        <v>65</v>
      </c>
      <c r="C115" s="34">
        <f t="shared" si="7"/>
        <v>1734.9445429449634</v>
      </c>
      <c r="D115" s="34">
        <f t="shared" si="8"/>
        <v>112771.39529142262</v>
      </c>
      <c r="E115" s="35">
        <v>50700</v>
      </c>
      <c r="J115" s="19"/>
      <c r="K115" s="19"/>
    </row>
    <row r="116" spans="1:28" ht="13.5" thickTop="1" x14ac:dyDescent="0.2"/>
    <row r="117" spans="1:28" ht="13.5" thickBot="1" x14ac:dyDescent="0.25">
      <c r="A117" t="s">
        <v>142</v>
      </c>
    </row>
    <row r="118" spans="1:28" ht="27" thickTop="1" thickBot="1" x14ac:dyDescent="0.25">
      <c r="A118" s="24" t="s">
        <v>117</v>
      </c>
      <c r="B118" s="25" t="s">
        <v>118</v>
      </c>
      <c r="C118" s="25" t="s">
        <v>119</v>
      </c>
      <c r="D118" s="25" t="s">
        <v>129</v>
      </c>
      <c r="E118" s="26" t="s">
        <v>123</v>
      </c>
      <c r="F118" s="19"/>
      <c r="G118" s="19"/>
      <c r="H118" s="19"/>
      <c r="I118" s="19"/>
    </row>
    <row r="119" spans="1:28" ht="13.5" thickTop="1" x14ac:dyDescent="0.2">
      <c r="A119" s="36">
        <v>129</v>
      </c>
      <c r="B119" s="37">
        <v>91.4</v>
      </c>
      <c r="C119" s="37">
        <f>PI()*(A119/2)^2</f>
        <v>13069.810837096937</v>
      </c>
      <c r="D119" s="37">
        <f>C119*B119</f>
        <v>1194580.7105106602</v>
      </c>
      <c r="E119" s="38">
        <v>345370.6</v>
      </c>
      <c r="F119" t="s">
        <v>143</v>
      </c>
    </row>
    <row r="120" spans="1:28" x14ac:dyDescent="0.2">
      <c r="A120" s="30">
        <v>118</v>
      </c>
      <c r="B120" s="31">
        <v>80</v>
      </c>
      <c r="C120" s="31">
        <f>PI()*(A120/2)^2</f>
        <v>10935.88402714607</v>
      </c>
      <c r="D120" s="31">
        <f>C120*B120</f>
        <v>874870.72217168566</v>
      </c>
      <c r="E120" s="32">
        <v>540294.5</v>
      </c>
      <c r="F120" t="s">
        <v>163</v>
      </c>
    </row>
    <row r="121" spans="1:28" ht="13.5" thickBot="1" x14ac:dyDescent="0.25">
      <c r="A121" s="33">
        <v>126</v>
      </c>
      <c r="B121" s="34">
        <v>90</v>
      </c>
      <c r="C121" s="34">
        <f>PI()*(A121/2)^2</f>
        <v>12468.981242097889</v>
      </c>
      <c r="D121" s="34">
        <f>C121*B121</f>
        <v>1122208.31178881</v>
      </c>
      <c r="E121" s="35">
        <v>347460</v>
      </c>
      <c r="F121" t="s">
        <v>164</v>
      </c>
    </row>
    <row r="122" spans="1:28" ht="13.5" thickTop="1" x14ac:dyDescent="0.2">
      <c r="A122" s="39"/>
      <c r="B122" s="39"/>
      <c r="C122" s="39"/>
      <c r="D122" s="39"/>
      <c r="E122" s="39"/>
    </row>
    <row r="123" spans="1:28" ht="13.5" thickBot="1" x14ac:dyDescent="0.25">
      <c r="A123" t="s">
        <v>549</v>
      </c>
      <c r="J123" s="19"/>
      <c r="K123" s="19"/>
      <c r="L123" s="19"/>
      <c r="M123" s="19"/>
      <c r="N123" s="19"/>
      <c r="O123" s="19"/>
      <c r="P123" s="19"/>
      <c r="Q123" s="19"/>
      <c r="R123" s="19"/>
      <c r="S123" s="19"/>
      <c r="T123" s="19"/>
      <c r="U123" s="19"/>
    </row>
    <row r="124" spans="1:28" ht="27" thickTop="1" thickBot="1" x14ac:dyDescent="0.25">
      <c r="A124" s="24" t="s">
        <v>117</v>
      </c>
      <c r="B124" s="25" t="s">
        <v>118</v>
      </c>
      <c r="C124" s="25" t="s">
        <v>119</v>
      </c>
      <c r="D124" s="25" t="s">
        <v>129</v>
      </c>
      <c r="E124" s="26" t="s">
        <v>123</v>
      </c>
      <c r="F124" s="19"/>
      <c r="G124" s="19"/>
      <c r="H124" s="19"/>
      <c r="I124" s="19"/>
    </row>
    <row r="125" spans="1:28" ht="13.5" thickTop="1" x14ac:dyDescent="0.2">
      <c r="A125" s="36">
        <v>62</v>
      </c>
      <c r="B125" s="37">
        <v>45</v>
      </c>
      <c r="C125" s="366">
        <f>PI()*(A125/2)^2</f>
        <v>3019.0705400997913</v>
      </c>
      <c r="D125" s="37">
        <f>C125*B125</f>
        <v>135858.17430449062</v>
      </c>
      <c r="E125" s="38">
        <v>48000</v>
      </c>
    </row>
    <row r="126" spans="1:28" x14ac:dyDescent="0.2">
      <c r="A126" s="27">
        <v>62</v>
      </c>
      <c r="B126" s="28">
        <v>49</v>
      </c>
      <c r="C126" s="367">
        <f t="shared" ref="C126:C137" si="9">PI()*(A126/2)^2</f>
        <v>3019.0705400997913</v>
      </c>
      <c r="D126" s="28">
        <f t="shared" ref="D126:D137" si="10">C126*B126</f>
        <v>147934.45646488978</v>
      </c>
      <c r="E126" s="29">
        <v>54000</v>
      </c>
    </row>
    <row r="127" spans="1:28" x14ac:dyDescent="0.2">
      <c r="A127" s="27">
        <v>62</v>
      </c>
      <c r="B127" s="28">
        <v>60</v>
      </c>
      <c r="C127" s="367">
        <f t="shared" si="9"/>
        <v>3019.0705400997913</v>
      </c>
      <c r="D127" s="28">
        <f t="shared" si="10"/>
        <v>181144.23240598748</v>
      </c>
      <c r="E127" s="29">
        <v>75000</v>
      </c>
    </row>
    <row r="128" spans="1:28" x14ac:dyDescent="0.2">
      <c r="A128" s="27">
        <v>62</v>
      </c>
      <c r="B128" s="28">
        <v>68</v>
      </c>
      <c r="C128" s="367">
        <f t="shared" si="9"/>
        <v>3019.0705400997913</v>
      </c>
      <c r="D128" s="28">
        <f t="shared" si="10"/>
        <v>205296.7967267858</v>
      </c>
      <c r="E128" s="29">
        <v>94000</v>
      </c>
    </row>
    <row r="129" spans="1:6" x14ac:dyDescent="0.2">
      <c r="A129" s="27">
        <v>82.4</v>
      </c>
      <c r="B129" s="28">
        <v>80</v>
      </c>
      <c r="C129" s="367">
        <f t="shared" si="9"/>
        <v>5332.6650339094595</v>
      </c>
      <c r="D129" s="28">
        <f t="shared" si="10"/>
        <v>426613.20271275676</v>
      </c>
      <c r="E129" s="29">
        <v>158000</v>
      </c>
    </row>
    <row r="130" spans="1:6" x14ac:dyDescent="0.2">
      <c r="A130" s="27">
        <v>82.4</v>
      </c>
      <c r="B130" s="28">
        <v>60</v>
      </c>
      <c r="C130" s="367">
        <f t="shared" si="9"/>
        <v>5332.6650339094595</v>
      </c>
      <c r="D130" s="28">
        <f t="shared" si="10"/>
        <v>319959.90203456755</v>
      </c>
      <c r="E130" s="29">
        <v>81000</v>
      </c>
    </row>
    <row r="131" spans="1:6" x14ac:dyDescent="0.2">
      <c r="A131" s="30">
        <v>82.4</v>
      </c>
      <c r="B131" s="31">
        <v>60</v>
      </c>
      <c r="C131" s="368">
        <f t="shared" si="9"/>
        <v>5332.6650339094595</v>
      </c>
      <c r="D131" s="31">
        <f t="shared" si="10"/>
        <v>319959.90203456755</v>
      </c>
      <c r="E131" s="32">
        <v>98000</v>
      </c>
      <c r="F131" t="s">
        <v>557</v>
      </c>
    </row>
    <row r="132" spans="1:6" x14ac:dyDescent="0.2">
      <c r="A132" s="198">
        <v>93</v>
      </c>
      <c r="B132" s="199">
        <v>70</v>
      </c>
      <c r="C132" s="369">
        <f t="shared" si="9"/>
        <v>6792.9087152245302</v>
      </c>
      <c r="D132" s="199">
        <f t="shared" si="10"/>
        <v>475503.61006571713</v>
      </c>
      <c r="E132" s="200">
        <v>134000</v>
      </c>
    </row>
    <row r="133" spans="1:6" x14ac:dyDescent="0.2">
      <c r="A133" s="198">
        <v>93</v>
      </c>
      <c r="B133" s="199">
        <v>80</v>
      </c>
      <c r="C133" s="369">
        <f t="shared" si="9"/>
        <v>6792.9087152245302</v>
      </c>
      <c r="D133" s="199">
        <f t="shared" si="10"/>
        <v>543432.69721796247</v>
      </c>
      <c r="E133" s="200">
        <v>162000</v>
      </c>
    </row>
    <row r="134" spans="1:6" x14ac:dyDescent="0.2">
      <c r="A134" s="198">
        <v>93</v>
      </c>
      <c r="B134" s="199">
        <v>60</v>
      </c>
      <c r="C134" s="369">
        <f t="shared" si="9"/>
        <v>6792.9087152245302</v>
      </c>
      <c r="D134" s="199">
        <f t="shared" si="10"/>
        <v>407574.5229134718</v>
      </c>
      <c r="E134" s="200">
        <v>81000</v>
      </c>
    </row>
    <row r="135" spans="1:6" x14ac:dyDescent="0.2">
      <c r="A135" s="198">
        <v>93</v>
      </c>
      <c r="B135" s="199">
        <v>60</v>
      </c>
      <c r="C135" s="369">
        <f t="shared" si="9"/>
        <v>6792.9087152245302</v>
      </c>
      <c r="D135" s="199">
        <f t="shared" si="10"/>
        <v>407574.5229134718</v>
      </c>
      <c r="E135" s="200">
        <v>98000</v>
      </c>
      <c r="F135" t="s">
        <v>557</v>
      </c>
    </row>
    <row r="136" spans="1:6" x14ac:dyDescent="0.2">
      <c r="A136" s="198">
        <v>107</v>
      </c>
      <c r="B136" s="199">
        <v>80</v>
      </c>
      <c r="C136" s="369">
        <f t="shared" si="9"/>
        <v>8992.0235727373856</v>
      </c>
      <c r="D136" s="199">
        <f t="shared" si="10"/>
        <v>719361.88581899088</v>
      </c>
      <c r="E136" s="200">
        <v>250000</v>
      </c>
    </row>
    <row r="137" spans="1:6" ht="13.5" thickBot="1" x14ac:dyDescent="0.25">
      <c r="A137" s="33">
        <v>107</v>
      </c>
      <c r="B137" s="34">
        <v>100</v>
      </c>
      <c r="C137" s="370">
        <f t="shared" si="9"/>
        <v>8992.0235727373856</v>
      </c>
      <c r="D137" s="34">
        <f t="shared" si="10"/>
        <v>899202.3572737386</v>
      </c>
      <c r="E137" s="35">
        <v>350000</v>
      </c>
    </row>
    <row r="138" spans="1:6" ht="13.5" thickTop="1" x14ac:dyDescent="0.2"/>
  </sheetData>
  <phoneticPr fontId="3" type="noConversion"/>
  <pageMargins left="0.75" right="0.75" top="1" bottom="1" header="0.5" footer="0.5"/>
  <pageSetup orientation="portrait"/>
  <headerFooter alignWithMargins="0"/>
  <drawing r:id="rId1"/>
  <legacyDrawing r:id="rId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31"/>
  </sheetPr>
  <dimension ref="A1:F28"/>
  <sheetViews>
    <sheetView topLeftCell="A4" workbookViewId="0">
      <selection activeCell="B9" sqref="B9"/>
    </sheetView>
  </sheetViews>
  <sheetFormatPr defaultColWidth="8.85546875" defaultRowHeight="12.75" x14ac:dyDescent="0.2"/>
  <cols>
    <col min="1" max="1" width="28.28515625" customWidth="1"/>
  </cols>
  <sheetData>
    <row r="1" spans="1:5" x14ac:dyDescent="0.2">
      <c r="A1" s="1" t="str">
        <f>'Input &amp; Summary'!A1</f>
        <v>Based on Combined Land Based-Offshore Turbine Cost Model. V2.01.12</v>
      </c>
      <c r="B1" s="139"/>
      <c r="C1" s="139"/>
      <c r="D1" s="139"/>
      <c r="E1" s="139"/>
    </row>
    <row r="2" spans="1:5" ht="38.25" x14ac:dyDescent="0.2">
      <c r="A2" s="555" t="str">
        <f>'Input &amp; Summary'!A2</f>
        <v>Note:  This Model Contains Proprietary or Wind Technology Protected Data, and Should Not Be Released Outside of the DOE/NREL/SNL, until Further Notice.</v>
      </c>
      <c r="B2" s="139"/>
      <c r="C2" s="139"/>
      <c r="D2" s="139"/>
      <c r="E2" s="139"/>
    </row>
    <row r="4" spans="1:5" x14ac:dyDescent="0.2">
      <c r="A4" s="21" t="s">
        <v>742</v>
      </c>
    </row>
    <row r="5" spans="1:5" ht="13.5" thickBot="1" x14ac:dyDescent="0.25">
      <c r="A5" s="644" t="s">
        <v>692</v>
      </c>
    </row>
    <row r="6" spans="1:5" ht="39" thickBot="1" x14ac:dyDescent="0.25">
      <c r="A6" s="11"/>
      <c r="B6" s="578" t="s">
        <v>625</v>
      </c>
    </row>
    <row r="7" spans="1:5" ht="13.5" thickBot="1" x14ac:dyDescent="0.25">
      <c r="A7" s="221" t="s">
        <v>88</v>
      </c>
      <c r="B7" s="466">
        <f>'Input &amp; Summary'!B8</f>
        <v>96.9</v>
      </c>
    </row>
    <row r="8" spans="1:5" ht="13.5" thickBot="1" x14ac:dyDescent="0.25">
      <c r="A8" s="221" t="s">
        <v>564</v>
      </c>
      <c r="B8" s="466">
        <f>'Input &amp; Summary'!B9</f>
        <v>82.7</v>
      </c>
    </row>
    <row r="9" spans="1:5" ht="13.5" thickBot="1" x14ac:dyDescent="0.25">
      <c r="A9" s="221" t="s">
        <v>701</v>
      </c>
      <c r="B9" s="588">
        <f>(PI()*B7^2)/4</f>
        <v>7374.5824490183149</v>
      </c>
    </row>
    <row r="10" spans="1:5" ht="13.5" thickBot="1" x14ac:dyDescent="0.25">
      <c r="A10" s="221" t="s">
        <v>702</v>
      </c>
      <c r="B10" s="466">
        <f>B9*B8</f>
        <v>609877.96853381465</v>
      </c>
    </row>
    <row r="11" spans="1:5" ht="13.5" thickBot="1" x14ac:dyDescent="0.25">
      <c r="A11" s="21"/>
    </row>
    <row r="12" spans="1:5" ht="13.5" thickBot="1" x14ac:dyDescent="0.25">
      <c r="B12" s="468" t="s">
        <v>624</v>
      </c>
    </row>
    <row r="13" spans="1:5" ht="13.5" thickBot="1" x14ac:dyDescent="0.25">
      <c r="A13" s="121" t="s">
        <v>697</v>
      </c>
      <c r="B13" s="122">
        <f>303.24*B10^0.4037</f>
        <v>65658.213964766983</v>
      </c>
      <c r="C13" s="470">
        <f>'PPI Calculation'!D262</f>
        <v>1.4909916727009414</v>
      </c>
      <c r="D13" s="22" t="s">
        <v>590</v>
      </c>
    </row>
    <row r="14" spans="1:5" ht="13.5" thickBot="1" x14ac:dyDescent="0.25">
      <c r="A14" s="121" t="s">
        <v>652</v>
      </c>
      <c r="B14" s="122">
        <f>B13*C13</f>
        <v>97895.850265884234</v>
      </c>
      <c r="C14" s="550">
        <f>'Input &amp; Summary'!F7</f>
        <v>2010</v>
      </c>
      <c r="D14" s="567" t="s">
        <v>648</v>
      </c>
    </row>
    <row r="16" spans="1:5" x14ac:dyDescent="0.2">
      <c r="A16" s="21" t="s">
        <v>703</v>
      </c>
    </row>
    <row r="18" spans="1:6" x14ac:dyDescent="0.2">
      <c r="A18" s="138" t="s">
        <v>9</v>
      </c>
      <c r="B18" s="138">
        <f>303.23</f>
        <v>303.23</v>
      </c>
    </row>
    <row r="19" spans="1:6" x14ac:dyDescent="0.2">
      <c r="A19" s="138" t="s">
        <v>10</v>
      </c>
      <c r="B19" s="138">
        <v>0.4037</v>
      </c>
    </row>
    <row r="21" spans="1:6" ht="13.5" thickBot="1" x14ac:dyDescent="0.25"/>
    <row r="22" spans="1:6" ht="38.25" x14ac:dyDescent="0.2">
      <c r="A22" s="611" t="s">
        <v>77</v>
      </c>
      <c r="B22" s="612" t="s">
        <v>12</v>
      </c>
      <c r="C22" s="612" t="s">
        <v>564</v>
      </c>
      <c r="D22" s="612" t="s">
        <v>699</v>
      </c>
      <c r="E22" s="612" t="s">
        <v>698</v>
      </c>
      <c r="F22" s="613" t="s">
        <v>700</v>
      </c>
    </row>
    <row r="23" spans="1:6" x14ac:dyDescent="0.2">
      <c r="A23" s="240">
        <v>750</v>
      </c>
      <c r="B23" s="142">
        <v>50</v>
      </c>
      <c r="C23" s="142">
        <v>60</v>
      </c>
      <c r="D23" s="397">
        <f>(PI()*B23^2)/4</f>
        <v>1963.4954084936207</v>
      </c>
      <c r="E23" s="397">
        <f>D23*C23</f>
        <v>117809.72450961724</v>
      </c>
      <c r="F23" s="614">
        <v>34919</v>
      </c>
    </row>
    <row r="24" spans="1:6" x14ac:dyDescent="0.2">
      <c r="A24" s="240">
        <v>1500</v>
      </c>
      <c r="B24" s="142">
        <v>70</v>
      </c>
      <c r="C24" s="142">
        <v>84</v>
      </c>
      <c r="D24" s="397">
        <f>(PI()*B24^2)/4</f>
        <v>3848.4510006474966</v>
      </c>
      <c r="E24" s="397">
        <f>D24*C24</f>
        <v>323269.88405438972</v>
      </c>
      <c r="F24" s="614">
        <v>48513</v>
      </c>
    </row>
    <row r="25" spans="1:6" x14ac:dyDescent="0.2">
      <c r="A25" s="240">
        <v>3000</v>
      </c>
      <c r="B25" s="142">
        <v>99</v>
      </c>
      <c r="C25" s="142">
        <v>119</v>
      </c>
      <c r="D25" s="397">
        <f>(PI()*B25^2)/4</f>
        <v>7697.6873994583902</v>
      </c>
      <c r="E25" s="397">
        <f>D25*C25</f>
        <v>916024.80053554848</v>
      </c>
      <c r="F25" s="614">
        <v>76765</v>
      </c>
    </row>
    <row r="26" spans="1:6" ht="13.5" thickBot="1" x14ac:dyDescent="0.25">
      <c r="A26" s="245">
        <v>5000</v>
      </c>
      <c r="B26" s="246">
        <v>128</v>
      </c>
      <c r="C26" s="246">
        <v>154</v>
      </c>
      <c r="D26" s="615">
        <f>(PI()*B26^2)/4</f>
        <v>12867.963509103793</v>
      </c>
      <c r="E26" s="615">
        <f>D26*C26</f>
        <v>1981666.3804019841</v>
      </c>
      <c r="F26" s="616">
        <v>108094</v>
      </c>
    </row>
    <row r="27" spans="1:6" x14ac:dyDescent="0.2">
      <c r="A27" s="609" t="s">
        <v>729</v>
      </c>
      <c r="B27" s="600"/>
      <c r="C27" s="600"/>
      <c r="D27" s="600"/>
      <c r="E27" s="600"/>
      <c r="F27" s="601"/>
    </row>
    <row r="28" spans="1:6" ht="13.5" thickBot="1" x14ac:dyDescent="0.25">
      <c r="A28" s="602"/>
      <c r="B28" s="603">
        <f>B7</f>
        <v>96.9</v>
      </c>
      <c r="C28" s="603">
        <f>B8</f>
        <v>82.7</v>
      </c>
      <c r="D28" s="605">
        <f>B9</f>
        <v>7374.5824490183149</v>
      </c>
      <c r="E28" s="605">
        <f>B10</f>
        <v>609877.96853381465</v>
      </c>
      <c r="F28" s="606">
        <f>B13</f>
        <v>65658.213964766983</v>
      </c>
    </row>
  </sheetData>
  <phoneticPr fontId="3" type="noConversion"/>
  <pageMargins left="0.75" right="0.75" top="1" bottom="1" header="0.5" footer="0.5"/>
  <pageSetup orientation="portrait" horizontalDpi="300" verticalDpi="300"/>
  <headerFooter alignWithMargins="0"/>
  <drawing r:id="rId1"/>
  <legacyDrawing r:id="rId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31"/>
  </sheetPr>
  <dimension ref="A1:F30"/>
  <sheetViews>
    <sheetView topLeftCell="A10" workbookViewId="0">
      <selection activeCell="E6" sqref="E6"/>
    </sheetView>
  </sheetViews>
  <sheetFormatPr defaultColWidth="8.85546875" defaultRowHeight="12.75" x14ac:dyDescent="0.2"/>
  <cols>
    <col min="1" max="1" width="28.140625" customWidth="1"/>
    <col min="2" max="2" width="10.7109375" customWidth="1"/>
    <col min="3" max="3" width="12" bestFit="1" customWidth="1"/>
  </cols>
  <sheetData>
    <row r="1" spans="1:6" x14ac:dyDescent="0.2">
      <c r="A1" s="1" t="str">
        <f>'Input &amp; Summary'!A1</f>
        <v>Based on Combined Land Based-Offshore Turbine Cost Model. V2.01.12</v>
      </c>
      <c r="B1" s="139"/>
      <c r="C1" s="139"/>
      <c r="D1" s="139"/>
      <c r="E1" s="139"/>
      <c r="F1" s="139"/>
    </row>
    <row r="2" spans="1:6" ht="51" x14ac:dyDescent="0.2">
      <c r="A2" s="555" t="str">
        <f>'Input &amp; Summary'!A2</f>
        <v>Note:  This Model Contains Proprietary or Wind Technology Protected Data, and Should Not Be Released Outside of the DOE/NREL/SNL, until Further Notice.</v>
      </c>
      <c r="B2" s="139"/>
      <c r="C2" s="139"/>
    </row>
    <row r="4" spans="1:6" x14ac:dyDescent="0.2">
      <c r="A4" s="21" t="s">
        <v>741</v>
      </c>
    </row>
    <row r="5" spans="1:6" ht="13.5" thickBot="1" x14ac:dyDescent="0.25">
      <c r="A5" s="635" t="s">
        <v>37</v>
      </c>
    </row>
    <row r="6" spans="1:6" ht="39" thickBot="1" x14ac:dyDescent="0.25">
      <c r="B6" s="480" t="s">
        <v>602</v>
      </c>
    </row>
    <row r="7" spans="1:6" ht="13.5" thickBot="1" x14ac:dyDescent="0.25">
      <c r="A7" s="221" t="s">
        <v>248</v>
      </c>
      <c r="B7" s="466">
        <f>'Input &amp; Summary'!B7</f>
        <v>1910</v>
      </c>
    </row>
    <row r="8" spans="1:6" ht="13.5" thickBot="1" x14ac:dyDescent="0.25"/>
    <row r="9" spans="1:6" ht="13.5" thickBot="1" x14ac:dyDescent="0.25">
      <c r="A9" s="21"/>
      <c r="B9" s="468" t="s">
        <v>100</v>
      </c>
    </row>
    <row r="10" spans="1:6" ht="13.5" thickBot="1" x14ac:dyDescent="0.25">
      <c r="A10" s="472" t="s">
        <v>704</v>
      </c>
      <c r="B10" s="589">
        <f>(B14*$B$7^2 + B15*$B$7 + B16)*$B$7</f>
        <v>77835.290509999992</v>
      </c>
      <c r="C10" s="470">
        <f>'PPI Calculation'!D171</f>
        <v>1.1665150136487714</v>
      </c>
      <c r="D10" s="22" t="s">
        <v>590</v>
      </c>
    </row>
    <row r="11" spans="1:6" ht="12" customHeight="1" thickBot="1" x14ac:dyDescent="0.25">
      <c r="A11" s="472" t="s">
        <v>652</v>
      </c>
      <c r="B11" s="122">
        <f>B10*C10</f>
        <v>90796.034971628731</v>
      </c>
      <c r="C11" s="550">
        <f>'Input &amp; Summary'!F7</f>
        <v>2010</v>
      </c>
      <c r="D11" s="567" t="s">
        <v>648</v>
      </c>
    </row>
    <row r="12" spans="1:6" ht="12" customHeight="1" x14ac:dyDescent="0.2"/>
    <row r="13" spans="1:6" ht="12" customHeight="1" x14ac:dyDescent="0.2"/>
    <row r="14" spans="1:6" ht="12" customHeight="1" x14ac:dyDescent="0.2">
      <c r="A14" s="782" t="s">
        <v>1107</v>
      </c>
      <c r="B14" s="800">
        <v>1.5809999999999999E-5</v>
      </c>
    </row>
    <row r="15" spans="1:6" ht="12" customHeight="1" x14ac:dyDescent="0.2">
      <c r="A15" s="782" t="s">
        <v>1108</v>
      </c>
      <c r="B15" s="138">
        <v>-3.7499999999999999E-2</v>
      </c>
    </row>
    <row r="16" spans="1:6" ht="12" customHeight="1" x14ac:dyDescent="0.2">
      <c r="A16" s="782" t="s">
        <v>1109</v>
      </c>
      <c r="B16" s="138">
        <v>54.7</v>
      </c>
    </row>
    <row r="17" spans="1:4" ht="12" customHeight="1" x14ac:dyDescent="0.2"/>
    <row r="19" spans="1:4" ht="12" customHeight="1" x14ac:dyDescent="0.2">
      <c r="A19" s="21" t="s">
        <v>982</v>
      </c>
    </row>
    <row r="20" spans="1:4" ht="12" customHeight="1" x14ac:dyDescent="0.2">
      <c r="A20" s="21"/>
    </row>
    <row r="21" spans="1:4" ht="12" customHeight="1" x14ac:dyDescent="0.2">
      <c r="A21" s="21" t="s">
        <v>1106</v>
      </c>
    </row>
    <row r="22" spans="1:4" ht="12" customHeight="1" x14ac:dyDescent="0.2">
      <c r="A22" s="21"/>
    </row>
    <row r="23" spans="1:4" ht="12" customHeight="1" thickBot="1" x14ac:dyDescent="0.25"/>
    <row r="24" spans="1:4" s="19" customFormat="1" ht="38.25" x14ac:dyDescent="0.2">
      <c r="A24" s="611" t="s">
        <v>248</v>
      </c>
      <c r="B24" s="612" t="s">
        <v>693</v>
      </c>
      <c r="C24" s="612" t="s">
        <v>694</v>
      </c>
      <c r="D24" s="617" t="s">
        <v>695</v>
      </c>
    </row>
    <row r="25" spans="1:4" x14ac:dyDescent="0.2">
      <c r="A25" s="240">
        <v>750</v>
      </c>
      <c r="B25" s="620">
        <v>26586</v>
      </c>
      <c r="C25" s="620">
        <f>(0.00001581*A25^2-0.0375*A25+54.7)*A25</f>
        <v>26601.09375</v>
      </c>
      <c r="D25" s="618">
        <f>(C25-B25)/C25</f>
        <v>5.6741087948686318E-4</v>
      </c>
    </row>
    <row r="26" spans="1:4" x14ac:dyDescent="0.2">
      <c r="A26" s="240">
        <v>1500</v>
      </c>
      <c r="B26" s="620">
        <v>51004</v>
      </c>
      <c r="C26" s="620">
        <f>(0.00001581*A26^2-0.0375*A26+54.7)*A26</f>
        <v>51033.75</v>
      </c>
      <c r="D26" s="618">
        <f>(C26-B26)/C26</f>
        <v>5.8294755921326576E-4</v>
      </c>
    </row>
    <row r="27" spans="1:4" x14ac:dyDescent="0.2">
      <c r="A27" s="240">
        <v>3000</v>
      </c>
      <c r="B27" s="620">
        <v>253410</v>
      </c>
      <c r="C27" s="620">
        <f>(0.00001581*A27^2-0.0375*A27+54.7)*A27</f>
        <v>253469.99999999997</v>
      </c>
      <c r="D27" s="618">
        <f>(C27-B27)/C27</f>
        <v>2.3671440407137294E-4</v>
      </c>
    </row>
    <row r="28" spans="1:4" ht="13.5" thickBot="1" x14ac:dyDescent="0.25">
      <c r="A28" s="245">
        <v>5000</v>
      </c>
      <c r="B28" s="621">
        <v>1312150</v>
      </c>
      <c r="C28" s="621">
        <f>(0.00001581*A28^2-0.0375*A28+54.7)*A28</f>
        <v>1312250</v>
      </c>
      <c r="D28" s="619">
        <f>(C28-B28)/C28</f>
        <v>7.6204991426938461E-5</v>
      </c>
    </row>
    <row r="29" spans="1:4" x14ac:dyDescent="0.2">
      <c r="A29" s="537" t="s">
        <v>729</v>
      </c>
      <c r="B29" s="622"/>
      <c r="C29" s="622"/>
      <c r="D29" s="537"/>
    </row>
    <row r="30" spans="1:4" x14ac:dyDescent="0.2">
      <c r="A30" s="119">
        <f>B7</f>
        <v>1910</v>
      </c>
      <c r="B30" s="512"/>
      <c r="C30" s="512"/>
      <c r="D30" s="119"/>
    </row>
  </sheetData>
  <phoneticPr fontId="3" type="noConversion"/>
  <pageMargins left="0.75" right="0.75" top="1" bottom="1" header="0.5" footer="0.5"/>
  <pageSetup orientation="portrait"/>
  <headerFooter alignWithMargins="0"/>
  <legacyDrawing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31"/>
  </sheetPr>
  <dimension ref="A1:F25"/>
  <sheetViews>
    <sheetView topLeftCell="A7" workbookViewId="0">
      <selection activeCell="A19" sqref="A19"/>
    </sheetView>
  </sheetViews>
  <sheetFormatPr defaultColWidth="8.85546875" defaultRowHeight="12.75" x14ac:dyDescent="0.2"/>
  <cols>
    <col min="1" max="1" width="28.140625" customWidth="1"/>
    <col min="2" max="2" width="10.7109375" customWidth="1"/>
    <col min="3" max="3" width="12" bestFit="1" customWidth="1"/>
  </cols>
  <sheetData>
    <row r="1" spans="1:6" x14ac:dyDescent="0.2">
      <c r="A1" s="1" t="str">
        <f>'Input &amp; Summary'!A1</f>
        <v>Based on Combined Land Based-Offshore Turbine Cost Model. V2.01.12</v>
      </c>
      <c r="B1" s="139"/>
      <c r="C1" s="139"/>
      <c r="D1" s="139"/>
      <c r="E1" s="139"/>
      <c r="F1" s="139"/>
    </row>
    <row r="2" spans="1:6" ht="51" x14ac:dyDescent="0.2">
      <c r="A2" s="555" t="str">
        <f>'Input &amp; Summary'!A2</f>
        <v>Note:  This Model Contains Proprietary or Wind Technology Protected Data, and Should Not Be Released Outside of the DOE/NREL/SNL, until Further Notice.</v>
      </c>
      <c r="B2" s="139"/>
      <c r="C2" s="139"/>
    </row>
    <row r="4" spans="1:6" x14ac:dyDescent="0.2">
      <c r="A4" s="21" t="s">
        <v>755</v>
      </c>
    </row>
    <row r="5" spans="1:6" ht="13.5" thickBot="1" x14ac:dyDescent="0.25">
      <c r="A5" t="s">
        <v>747</v>
      </c>
    </row>
    <row r="6" spans="1:6" ht="39" thickBot="1" x14ac:dyDescent="0.25">
      <c r="B6" s="480" t="s">
        <v>602</v>
      </c>
    </row>
    <row r="7" spans="1:6" ht="13.5" thickBot="1" x14ac:dyDescent="0.25">
      <c r="A7" s="221" t="s">
        <v>248</v>
      </c>
      <c r="B7" s="466">
        <f>'Input &amp; Summary'!B7</f>
        <v>1910</v>
      </c>
    </row>
    <row r="8" spans="1:6" ht="13.5" thickBot="1" x14ac:dyDescent="0.25"/>
    <row r="9" spans="1:6" ht="13.5" thickBot="1" x14ac:dyDescent="0.25">
      <c r="A9" s="21"/>
      <c r="B9" s="468" t="s">
        <v>100</v>
      </c>
    </row>
    <row r="10" spans="1:6" ht="13.5" thickBot="1" x14ac:dyDescent="0.25">
      <c r="A10" s="472" t="s">
        <v>705</v>
      </c>
      <c r="B10" s="590">
        <f>(B13*$B$7^2 +B14*$B$7 + B15)*$B$7</f>
        <v>95044.23007000002</v>
      </c>
      <c r="C10" s="470">
        <f>'PPI Calculation'!D268</f>
        <v>1.6153810763888889</v>
      </c>
      <c r="D10" s="22" t="s">
        <v>590</v>
      </c>
    </row>
    <row r="11" spans="1:6" ht="12" customHeight="1" thickBot="1" x14ac:dyDescent="0.25">
      <c r="A11" s="472" t="s">
        <v>652</v>
      </c>
      <c r="B11" s="122">
        <f>B10*C10</f>
        <v>153532.65067502984</v>
      </c>
      <c r="C11" s="550">
        <f>'Input &amp; Summary'!F7</f>
        <v>2010</v>
      </c>
      <c r="D11" s="567" t="s">
        <v>648</v>
      </c>
    </row>
    <row r="12" spans="1:6" ht="12" customHeight="1" x14ac:dyDescent="0.2"/>
    <row r="13" spans="1:6" ht="12" customHeight="1" x14ac:dyDescent="0.2">
      <c r="A13" s="782" t="s">
        <v>1113</v>
      </c>
      <c r="B13" s="784">
        <v>2.17E-6</v>
      </c>
    </row>
    <row r="14" spans="1:6" ht="12" customHeight="1" x14ac:dyDescent="0.2">
      <c r="A14" s="782" t="s">
        <v>1116</v>
      </c>
      <c r="B14" s="138">
        <v>-1.4500000000000001E-2</v>
      </c>
    </row>
    <row r="15" spans="1:6" ht="12" customHeight="1" x14ac:dyDescent="0.2">
      <c r="A15" s="782" t="s">
        <v>1114</v>
      </c>
      <c r="B15" s="138">
        <v>69.540000000000006</v>
      </c>
    </row>
    <row r="16" spans="1:6" ht="12" customHeight="1" x14ac:dyDescent="0.2"/>
    <row r="17" spans="1:4" x14ac:dyDescent="0.2">
      <c r="A17" s="21" t="s">
        <v>1117</v>
      </c>
    </row>
    <row r="18" spans="1:4" x14ac:dyDescent="0.2">
      <c r="A18" s="21"/>
    </row>
    <row r="19" spans="1:4" x14ac:dyDescent="0.2">
      <c r="A19" s="21" t="s">
        <v>1115</v>
      </c>
    </row>
    <row r="21" spans="1:4" ht="38.25" x14ac:dyDescent="0.2">
      <c r="A21" s="399" t="s">
        <v>248</v>
      </c>
      <c r="B21" s="399" t="s">
        <v>693</v>
      </c>
      <c r="C21" s="399" t="s">
        <v>694</v>
      </c>
      <c r="D21" s="398" t="s">
        <v>695</v>
      </c>
    </row>
    <row r="22" spans="1:4" x14ac:dyDescent="0.2">
      <c r="A22" s="142">
        <v>750</v>
      </c>
      <c r="B22" s="142">
        <v>44896</v>
      </c>
      <c r="C22" s="397">
        <f>(0.00000217*A22^2 - 0.0145*A22 + 69.54)*A22</f>
        <v>44914.21875</v>
      </c>
      <c r="D22" s="581">
        <f>(C22-B22)/C22</f>
        <v>4.0563435159383688E-4</v>
      </c>
    </row>
    <row r="23" spans="1:4" x14ac:dyDescent="0.2">
      <c r="A23" s="142">
        <v>1500</v>
      </c>
      <c r="B23" s="397">
        <v>78931</v>
      </c>
      <c r="C23" s="397">
        <f>(0.00000217*A23^2 - 0.0145*A23 + 69.54)*A23</f>
        <v>79008.750000000015</v>
      </c>
      <c r="D23" s="581">
        <f>(C23-B23)/C23</f>
        <v>9.8406822029224023E-4</v>
      </c>
    </row>
    <row r="24" spans="1:4" x14ac:dyDescent="0.2">
      <c r="A24" s="142">
        <v>3000</v>
      </c>
      <c r="B24" s="142">
        <v>136359</v>
      </c>
      <c r="C24" s="397">
        <f>(0.00000217*A24^2 - 0.0145*A24 + 69.54)*A24</f>
        <v>136710.00000000003</v>
      </c>
      <c r="D24" s="581">
        <f>(C24-B24)/C24</f>
        <v>2.5674786043451761E-3</v>
      </c>
    </row>
    <row r="25" spans="1:4" x14ac:dyDescent="0.2">
      <c r="A25" s="142">
        <v>5000</v>
      </c>
      <c r="B25" s="142">
        <v>255325</v>
      </c>
      <c r="C25" s="397">
        <f>(0.00000217*A25^2 - 0.0145*A25 + 69.54)*A25</f>
        <v>256450.00000000003</v>
      </c>
      <c r="D25" s="581">
        <f>(C25-B25)/C25</f>
        <v>4.3868200428934644E-3</v>
      </c>
    </row>
  </sheetData>
  <phoneticPr fontId="3" type="noConversion"/>
  <pageMargins left="0.75" right="0.75" top="1" bottom="1" header="0.5" footer="0.5"/>
  <pageSetup orientation="portrait"/>
  <headerFooter alignWithMargins="0"/>
  <legacyDrawing r:id="rId1"/>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31"/>
  </sheetPr>
  <dimension ref="A1:F27"/>
  <sheetViews>
    <sheetView workbookViewId="0">
      <selection activeCell="D16" sqref="D16"/>
    </sheetView>
  </sheetViews>
  <sheetFormatPr defaultColWidth="8.85546875" defaultRowHeight="12.75" x14ac:dyDescent="0.2"/>
  <cols>
    <col min="1" max="1" width="28.140625" customWidth="1"/>
    <col min="2" max="2" width="10.7109375" customWidth="1"/>
    <col min="3" max="3" width="12" bestFit="1" customWidth="1"/>
    <col min="4" max="4" width="12" customWidth="1"/>
  </cols>
  <sheetData>
    <row r="1" spans="1:5" x14ac:dyDescent="0.2">
      <c r="A1" s="1" t="str">
        <f>'Input &amp; Summary'!A1</f>
        <v>Based on Combined Land Based-Offshore Turbine Cost Model. V2.01.12</v>
      </c>
      <c r="B1" s="139"/>
      <c r="C1" s="139"/>
      <c r="D1" s="139"/>
      <c r="E1" s="139"/>
    </row>
    <row r="2" spans="1:5" ht="38.25" x14ac:dyDescent="0.2">
      <c r="A2" s="555" t="str">
        <f>'Input &amp; Summary'!A2</f>
        <v>Note:  This Model Contains Proprietary or Wind Technology Protected Data, and Should Not Be Released Outside of the DOE/NREL/SNL, until Further Notice.</v>
      </c>
      <c r="B2" s="139"/>
      <c r="C2" s="139"/>
      <c r="D2" s="139"/>
    </row>
    <row r="4" spans="1:5" x14ac:dyDescent="0.2">
      <c r="A4" s="21" t="s">
        <v>748</v>
      </c>
    </row>
    <row r="5" spans="1:5" ht="13.5" thickBot="1" x14ac:dyDescent="0.25">
      <c r="A5" s="635" t="s">
        <v>749</v>
      </c>
    </row>
    <row r="6" spans="1:5" ht="39" thickBot="1" x14ac:dyDescent="0.25">
      <c r="B6" s="480" t="s">
        <v>602</v>
      </c>
    </row>
    <row r="7" spans="1:5" ht="13.5" thickBot="1" x14ac:dyDescent="0.25">
      <c r="A7" s="221" t="s">
        <v>15</v>
      </c>
      <c r="B7" s="466">
        <f>'Input &amp; Summary'!B8</f>
        <v>96.9</v>
      </c>
    </row>
    <row r="8" spans="1:5" ht="13.5" thickBot="1" x14ac:dyDescent="0.25">
      <c r="A8" s="221" t="s">
        <v>709</v>
      </c>
      <c r="B8" s="466">
        <f>'Input &amp; Summary'!B9</f>
        <v>82.7</v>
      </c>
    </row>
    <row r="9" spans="1:5" ht="13.5" thickBot="1" x14ac:dyDescent="0.25">
      <c r="A9" s="221" t="s">
        <v>708</v>
      </c>
      <c r="B9" s="466">
        <f>B7*B8</f>
        <v>8013.630000000001</v>
      </c>
    </row>
    <row r="10" spans="1:5" ht="13.5" thickBot="1" x14ac:dyDescent="0.25"/>
    <row r="11" spans="1:5" ht="13.5" thickBot="1" x14ac:dyDescent="0.25">
      <c r="A11" s="21"/>
      <c r="B11" s="468" t="s">
        <v>100</v>
      </c>
    </row>
    <row r="12" spans="1:5" ht="13.5" thickBot="1" x14ac:dyDescent="0.25">
      <c r="A12" s="472" t="s">
        <v>691</v>
      </c>
      <c r="B12" s="590">
        <f>B15*B9^B16</f>
        <v>74971.5699739517</v>
      </c>
      <c r="C12" s="470">
        <f>'PPI Calculation'!D183</f>
        <v>1.4909916727009414</v>
      </c>
      <c r="D12" s="22" t="s">
        <v>590</v>
      </c>
    </row>
    <row r="13" spans="1:5" ht="12" customHeight="1" thickBot="1" x14ac:dyDescent="0.25">
      <c r="A13" s="472" t="s">
        <v>652</v>
      </c>
      <c r="B13" s="122">
        <f>B12*C12</f>
        <v>111781.98652047792</v>
      </c>
      <c r="C13" s="550">
        <f>'Input &amp; Summary'!F7</f>
        <v>2010</v>
      </c>
      <c r="D13" s="567" t="s">
        <v>648</v>
      </c>
    </row>
    <row r="14" spans="1:5" ht="12" customHeight="1" x14ac:dyDescent="0.2"/>
    <row r="15" spans="1:5" ht="12" customHeight="1" x14ac:dyDescent="0.2">
      <c r="A15" s="138" t="s">
        <v>1119</v>
      </c>
      <c r="B15" s="138">
        <v>1.9650000000000001</v>
      </c>
    </row>
    <row r="16" spans="1:5" ht="12" customHeight="1" x14ac:dyDescent="0.2">
      <c r="A16" s="138" t="s">
        <v>1120</v>
      </c>
      <c r="B16" s="138">
        <v>1.1736</v>
      </c>
    </row>
    <row r="17" spans="1:6" ht="12" customHeight="1" x14ac:dyDescent="0.2"/>
    <row r="18" spans="1:6" ht="12" customHeight="1" x14ac:dyDescent="0.2">
      <c r="A18" s="21" t="s">
        <v>1121</v>
      </c>
    </row>
    <row r="19" spans="1:6" ht="12" customHeight="1" x14ac:dyDescent="0.2">
      <c r="A19" s="21" t="s">
        <v>710</v>
      </c>
    </row>
    <row r="20" spans="1:6" ht="12" customHeight="1" thickBot="1" x14ac:dyDescent="0.25"/>
    <row r="21" spans="1:6" ht="33.75" x14ac:dyDescent="0.2">
      <c r="A21" s="624" t="s">
        <v>77</v>
      </c>
      <c r="B21" s="625" t="s">
        <v>88</v>
      </c>
      <c r="C21" s="625" t="s">
        <v>564</v>
      </c>
      <c r="D21" s="625" t="s">
        <v>708</v>
      </c>
      <c r="E21" s="626" t="s">
        <v>707</v>
      </c>
      <c r="F21" s="623"/>
    </row>
    <row r="22" spans="1:6" x14ac:dyDescent="0.2">
      <c r="A22" s="240">
        <v>750</v>
      </c>
      <c r="B22" s="142">
        <v>50</v>
      </c>
      <c r="C22" s="142">
        <v>60</v>
      </c>
      <c r="D22" s="142">
        <f>B22*C22</f>
        <v>3000</v>
      </c>
      <c r="E22" s="614">
        <v>24374</v>
      </c>
    </row>
    <row r="23" spans="1:6" x14ac:dyDescent="0.2">
      <c r="A23" s="240">
        <v>1500</v>
      </c>
      <c r="B23" s="142">
        <v>70</v>
      </c>
      <c r="C23" s="142">
        <v>84</v>
      </c>
      <c r="D23" s="142">
        <f>B23*C23</f>
        <v>5880</v>
      </c>
      <c r="E23" s="614">
        <v>50713</v>
      </c>
    </row>
    <row r="24" spans="1:6" x14ac:dyDescent="0.2">
      <c r="A24" s="240">
        <v>3000</v>
      </c>
      <c r="B24" s="142">
        <v>99</v>
      </c>
      <c r="C24" s="142">
        <v>119</v>
      </c>
      <c r="D24" s="142">
        <f>B24*C24</f>
        <v>11781</v>
      </c>
      <c r="E24" s="614">
        <v>112714</v>
      </c>
    </row>
    <row r="25" spans="1:6" ht="13.5" thickBot="1" x14ac:dyDescent="0.25">
      <c r="A25" s="245">
        <v>5000</v>
      </c>
      <c r="B25" s="246">
        <v>128</v>
      </c>
      <c r="C25" s="246">
        <v>154</v>
      </c>
      <c r="D25" s="246">
        <f>B25*C25</f>
        <v>19712</v>
      </c>
      <c r="E25" s="616">
        <v>224790</v>
      </c>
    </row>
    <row r="26" spans="1:6" x14ac:dyDescent="0.2">
      <c r="A26" s="609" t="s">
        <v>729</v>
      </c>
      <c r="B26" s="600"/>
      <c r="C26" s="600"/>
      <c r="D26" s="600"/>
      <c r="E26" s="601"/>
    </row>
    <row r="27" spans="1:6" ht="13.5" thickBot="1" x14ac:dyDescent="0.25">
      <c r="A27" s="602"/>
      <c r="B27" s="603">
        <f>B7</f>
        <v>96.9</v>
      </c>
      <c r="C27" s="603">
        <f>B8</f>
        <v>82.7</v>
      </c>
      <c r="D27" s="603">
        <f>B9</f>
        <v>8013.630000000001</v>
      </c>
      <c r="E27" s="606">
        <f>B12</f>
        <v>74971.5699739517</v>
      </c>
    </row>
  </sheetData>
  <phoneticPr fontId="3" type="noConversion"/>
  <pageMargins left="0.75" right="0.75" top="1" bottom="1" header="0.5" footer="0.5"/>
  <pageSetup orientation="portrait"/>
  <headerFooter alignWithMargins="0"/>
  <drawing r:id="rId1"/>
  <legacyDrawing r:id="rId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31"/>
  </sheetPr>
  <dimension ref="A1:H33"/>
  <sheetViews>
    <sheetView topLeftCell="A4" workbookViewId="0">
      <selection activeCell="E14" sqref="E14"/>
    </sheetView>
  </sheetViews>
  <sheetFormatPr defaultColWidth="8.85546875" defaultRowHeight="12.75" x14ac:dyDescent="0.2"/>
  <cols>
    <col min="1" max="1" width="37.7109375" customWidth="1"/>
    <col min="2" max="2" width="10.7109375" customWidth="1"/>
    <col min="3" max="3" width="12" bestFit="1" customWidth="1"/>
  </cols>
  <sheetData>
    <row r="1" spans="1:5" x14ac:dyDescent="0.2">
      <c r="A1" s="1" t="str">
        <f>'Input &amp; Summary'!A1</f>
        <v>Based on Combined Land Based-Offshore Turbine Cost Model. V2.01.12</v>
      </c>
      <c r="B1" s="139"/>
      <c r="C1" s="139"/>
      <c r="D1" s="139"/>
      <c r="E1" s="139"/>
    </row>
    <row r="2" spans="1:5" ht="38.25" x14ac:dyDescent="0.2">
      <c r="A2" s="555" t="str">
        <f>'Input &amp; Summary'!A2</f>
        <v>Note:  This Model Contains Proprietary or Wind Technology Protected Data, and Should Not Be Released Outside of the DOE/NREL/SNL, until Further Notice.</v>
      </c>
      <c r="B2" s="139"/>
      <c r="C2" s="139"/>
    </row>
    <row r="4" spans="1:5" x14ac:dyDescent="0.2">
      <c r="A4" s="21" t="s">
        <v>753</v>
      </c>
    </row>
    <row r="5" spans="1:5" ht="13.5" thickBot="1" x14ac:dyDescent="0.25">
      <c r="A5" s="635" t="s">
        <v>754</v>
      </c>
    </row>
    <row r="6" spans="1:5" ht="39" thickBot="1" x14ac:dyDescent="0.25">
      <c r="B6" s="480" t="s">
        <v>602</v>
      </c>
    </row>
    <row r="7" spans="1:5" ht="13.5" thickBot="1" x14ac:dyDescent="0.25">
      <c r="A7" s="221" t="s">
        <v>248</v>
      </c>
      <c r="B7" s="466">
        <f>'Input &amp; Summary'!B7</f>
        <v>1910</v>
      </c>
    </row>
    <row r="8" spans="1:5" ht="13.5" thickBot="1" x14ac:dyDescent="0.25"/>
    <row r="9" spans="1:5" ht="13.5" thickBot="1" x14ac:dyDescent="0.25">
      <c r="A9" s="21"/>
      <c r="B9" s="468" t="s">
        <v>100</v>
      </c>
    </row>
    <row r="10" spans="1:5" ht="13.5" thickBot="1" x14ac:dyDescent="0.25">
      <c r="A10" s="472" t="s">
        <v>711</v>
      </c>
      <c r="B10" s="590">
        <f>(B13*$B$7^2+B14*$B$7+B15)*$B$7</f>
        <v>153221.85978999999</v>
      </c>
      <c r="C10" s="470">
        <f>'PPI Calculation'!D205</f>
        <v>1.8233923612593923</v>
      </c>
      <c r="D10" s="22" t="s">
        <v>590</v>
      </c>
    </row>
    <row r="11" spans="1:5" ht="13.5" thickBot="1" x14ac:dyDescent="0.25">
      <c r="A11" s="472" t="s">
        <v>652</v>
      </c>
      <c r="B11" s="590">
        <f>B10*C10</f>
        <v>279383.56871904363</v>
      </c>
      <c r="C11" s="550">
        <f>'Input &amp; Summary'!F7</f>
        <v>2010</v>
      </c>
      <c r="D11" s="567" t="s">
        <v>648</v>
      </c>
    </row>
    <row r="12" spans="1:5" ht="12" customHeight="1" x14ac:dyDescent="0.2"/>
    <row r="13" spans="1:5" ht="12" customHeight="1" x14ac:dyDescent="0.2">
      <c r="A13" s="138" t="s">
        <v>1124</v>
      </c>
      <c r="B13" s="784">
        <v>3.49E-6</v>
      </c>
    </row>
    <row r="14" spans="1:5" ht="12" customHeight="1" x14ac:dyDescent="0.2">
      <c r="A14" s="138" t="s">
        <v>1125</v>
      </c>
      <c r="B14" s="138">
        <v>-2.2100000000000002E-2</v>
      </c>
    </row>
    <row r="15" spans="1:5" ht="12" customHeight="1" x14ac:dyDescent="0.2">
      <c r="A15" s="138" t="s">
        <v>1123</v>
      </c>
      <c r="B15" s="138">
        <v>109.7</v>
      </c>
    </row>
    <row r="16" spans="1:5" ht="12" customHeight="1" x14ac:dyDescent="0.2">
      <c r="A16" s="760"/>
    </row>
    <row r="17" spans="1:8" ht="15.75" customHeight="1" x14ac:dyDescent="0.2">
      <c r="A17" s="760" t="s">
        <v>1127</v>
      </c>
      <c r="B17" s="19"/>
      <c r="C17" s="19"/>
      <c r="D17" s="19"/>
      <c r="E17" s="19"/>
      <c r="F17" s="19"/>
      <c r="G17" s="19"/>
      <c r="H17" s="19"/>
    </row>
    <row r="18" spans="1:8" ht="13.5" customHeight="1" x14ac:dyDescent="0.2">
      <c r="A18" s="760"/>
      <c r="B18" s="19"/>
      <c r="C18" s="19"/>
      <c r="D18" s="19"/>
      <c r="E18" s="19"/>
      <c r="F18" s="19"/>
      <c r="G18" s="19"/>
      <c r="H18" s="19"/>
    </row>
    <row r="19" spans="1:8" x14ac:dyDescent="0.2">
      <c r="A19" s="21" t="s">
        <v>1126</v>
      </c>
    </row>
    <row r="20" spans="1:8" x14ac:dyDescent="0.2">
      <c r="A20" s="21"/>
    </row>
    <row r="22" spans="1:8" ht="38.25" x14ac:dyDescent="0.2">
      <c r="A22" s="583" t="s">
        <v>77</v>
      </c>
      <c r="B22" s="583" t="s">
        <v>693</v>
      </c>
      <c r="C22" s="583" t="s">
        <v>694</v>
      </c>
      <c r="D22" s="584" t="s">
        <v>695</v>
      </c>
    </row>
    <row r="23" spans="1:8" x14ac:dyDescent="0.2">
      <c r="A23" s="142">
        <v>750</v>
      </c>
      <c r="B23" s="142">
        <v>71304</v>
      </c>
      <c r="C23" s="397">
        <f>(0.00000349*A23^2-0.0221*A23+109.7)*A23</f>
        <v>71316.09375</v>
      </c>
      <c r="D23" s="581">
        <f>(C23-B23)/C23</f>
        <v>1.6957953477366391E-4</v>
      </c>
    </row>
    <row r="24" spans="1:8" x14ac:dyDescent="0.2">
      <c r="A24" s="142">
        <v>1500</v>
      </c>
      <c r="B24" s="397">
        <v>126552</v>
      </c>
      <c r="C24" s="397">
        <f>(0.00000349*A24^2-0.0221*A24+109.7)*A24</f>
        <v>126603.75</v>
      </c>
      <c r="D24" s="581">
        <f>(C24-B24)/C24</f>
        <v>4.0875566482035487E-4</v>
      </c>
    </row>
    <row r="25" spans="1:8" x14ac:dyDescent="0.2">
      <c r="A25" s="142">
        <v>3000</v>
      </c>
      <c r="B25" s="142">
        <v>224196</v>
      </c>
      <c r="C25" s="397">
        <f>(0.00000349*A25^2-0.0221*A25+109.7)*A25</f>
        <v>224429.99999999997</v>
      </c>
      <c r="D25" s="581">
        <f>(C25-B25)/C25</f>
        <v>1.0426413581070754E-3</v>
      </c>
    </row>
    <row r="26" spans="1:8" x14ac:dyDescent="0.2">
      <c r="A26" s="142">
        <v>5000</v>
      </c>
      <c r="B26" s="142">
        <v>431500</v>
      </c>
      <c r="C26" s="397">
        <f>(0.00000349*A26^2-0.0221*A26+109.7)*A26</f>
        <v>432249.99999999994</v>
      </c>
      <c r="D26" s="581">
        <f>(C26-B26)/C26</f>
        <v>1.7351069982647585E-3</v>
      </c>
    </row>
    <row r="28" spans="1:8" x14ac:dyDescent="0.2">
      <c r="A28" s="21" t="s">
        <v>713</v>
      </c>
    </row>
    <row r="29" spans="1:8" ht="22.5" x14ac:dyDescent="0.2">
      <c r="A29" s="582" t="s">
        <v>77</v>
      </c>
      <c r="B29" s="582" t="s">
        <v>12</v>
      </c>
      <c r="C29" s="582" t="s">
        <v>712</v>
      </c>
      <c r="D29" s="582" t="s">
        <v>108</v>
      </c>
    </row>
    <row r="30" spans="1:8" x14ac:dyDescent="0.2">
      <c r="A30">
        <v>750</v>
      </c>
      <c r="B30">
        <v>50</v>
      </c>
      <c r="C30">
        <f>A30*B30</f>
        <v>37500</v>
      </c>
      <c r="D30" s="577">
        <v>71304</v>
      </c>
    </row>
    <row r="31" spans="1:8" x14ac:dyDescent="0.2">
      <c r="A31">
        <v>1500</v>
      </c>
      <c r="B31">
        <v>70</v>
      </c>
      <c r="C31">
        <f>A31*B31</f>
        <v>105000</v>
      </c>
      <c r="D31" s="577">
        <v>126552</v>
      </c>
    </row>
    <row r="32" spans="1:8" x14ac:dyDescent="0.2">
      <c r="A32">
        <v>3000</v>
      </c>
      <c r="B32">
        <v>99</v>
      </c>
      <c r="C32">
        <f>A32*B32</f>
        <v>297000</v>
      </c>
      <c r="D32" s="577">
        <v>224196</v>
      </c>
    </row>
    <row r="33" spans="1:4" x14ac:dyDescent="0.2">
      <c r="A33">
        <v>5000</v>
      </c>
      <c r="B33">
        <v>128</v>
      </c>
      <c r="C33">
        <f>A33*B33</f>
        <v>640000</v>
      </c>
      <c r="D33" s="577">
        <v>431500</v>
      </c>
    </row>
  </sheetData>
  <phoneticPr fontId="3" type="noConversion"/>
  <pageMargins left="0.75" right="0.75" top="1" bottom="1" header="0.5" footer="0.5"/>
  <pageSetup orientation="portrait"/>
  <headerFooter alignWithMargins="0"/>
  <drawing r:id="rId1"/>
  <legacyDrawing r:id="rId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31"/>
  </sheetPr>
  <dimension ref="A1:F22"/>
  <sheetViews>
    <sheetView topLeftCell="A4" workbookViewId="0">
      <selection activeCell="C11" sqref="C11"/>
    </sheetView>
  </sheetViews>
  <sheetFormatPr defaultColWidth="8.85546875" defaultRowHeight="12.75" x14ac:dyDescent="0.2"/>
  <cols>
    <col min="1" max="1" width="28.140625" customWidth="1"/>
    <col min="2" max="2" width="10.7109375" customWidth="1"/>
    <col min="3" max="3" width="12" bestFit="1" customWidth="1"/>
  </cols>
  <sheetData>
    <row r="1" spans="1:6" x14ac:dyDescent="0.2">
      <c r="A1" s="1" t="str">
        <f>'Input &amp; Summary'!A1</f>
        <v>Based on Combined Land Based-Offshore Turbine Cost Model. V2.01.12</v>
      </c>
      <c r="B1" s="139"/>
      <c r="C1" s="139"/>
      <c r="D1" s="139"/>
      <c r="E1" s="139"/>
      <c r="F1" s="139"/>
    </row>
    <row r="2" spans="1:6" ht="51" x14ac:dyDescent="0.2">
      <c r="A2" s="555" t="str">
        <f>'Input &amp; Summary'!A2</f>
        <v>Note:  This Model Contains Proprietary or Wind Technology Protected Data, and Should Not Be Released Outside of the DOE/NREL/SNL, until Further Notice.</v>
      </c>
      <c r="B2" s="139"/>
      <c r="C2" s="139"/>
    </row>
    <row r="4" spans="1:6" x14ac:dyDescent="0.2">
      <c r="A4" s="21" t="s">
        <v>756</v>
      </c>
    </row>
    <row r="5" spans="1:6" ht="13.5" thickBot="1" x14ac:dyDescent="0.25">
      <c r="A5" s="635" t="s">
        <v>757</v>
      </c>
    </row>
    <row r="6" spans="1:6" ht="39" thickBot="1" x14ac:dyDescent="0.25">
      <c r="B6" s="480" t="s">
        <v>602</v>
      </c>
    </row>
    <row r="7" spans="1:6" ht="13.5" thickBot="1" x14ac:dyDescent="0.25">
      <c r="A7" s="221" t="s">
        <v>248</v>
      </c>
      <c r="B7" s="466">
        <f>'Input &amp; Summary'!B7</f>
        <v>1910</v>
      </c>
    </row>
    <row r="8" spans="1:6" ht="13.5" thickBot="1" x14ac:dyDescent="0.25"/>
    <row r="9" spans="1:6" ht="13.5" thickBot="1" x14ac:dyDescent="0.25">
      <c r="A9" s="21"/>
      <c r="B9" s="468" t="s">
        <v>100</v>
      </c>
    </row>
    <row r="10" spans="1:6" ht="13.5" thickBot="1" x14ac:dyDescent="0.25">
      <c r="A10" s="472" t="s">
        <v>714</v>
      </c>
      <c r="B10" s="590">
        <f>B13*$B$7^2+B14*B7</f>
        <v>42418.311399999999</v>
      </c>
      <c r="C10" s="470">
        <f>'PPI Calculation'!D226</f>
        <v>1.1263362487852282</v>
      </c>
      <c r="D10" s="22" t="s">
        <v>590</v>
      </c>
    </row>
    <row r="11" spans="1:6" ht="12" customHeight="1" thickBot="1" x14ac:dyDescent="0.25">
      <c r="A11" s="472" t="s">
        <v>652</v>
      </c>
      <c r="B11" s="590">
        <f>B10*C10</f>
        <v>47777.281742079678</v>
      </c>
      <c r="C11" s="550">
        <f>'Input &amp; Summary'!F7</f>
        <v>2010</v>
      </c>
      <c r="D11" s="567" t="s">
        <v>648</v>
      </c>
    </row>
    <row r="12" spans="1:6" ht="12" customHeight="1" x14ac:dyDescent="0.2">
      <c r="A12" s="60"/>
      <c r="B12" s="786"/>
      <c r="C12" s="60"/>
      <c r="D12" s="567"/>
    </row>
    <row r="13" spans="1:6" ht="12" customHeight="1" x14ac:dyDescent="0.2">
      <c r="A13" s="782" t="s">
        <v>1131</v>
      </c>
      <c r="B13" s="787">
        <v>9.9400000000000009E-4</v>
      </c>
      <c r="C13" s="60"/>
      <c r="D13" s="567"/>
      <c r="E13" s="577"/>
    </row>
    <row r="14" spans="1:6" ht="12" customHeight="1" x14ac:dyDescent="0.2">
      <c r="A14" s="782" t="s">
        <v>1132</v>
      </c>
      <c r="B14" s="788">
        <v>20.309999999999999</v>
      </c>
      <c r="C14" s="60"/>
      <c r="D14" s="567"/>
    </row>
    <row r="15" spans="1:6" ht="12" customHeight="1" x14ac:dyDescent="0.2"/>
    <row r="16" spans="1:6" x14ac:dyDescent="0.2">
      <c r="A16" s="21" t="s">
        <v>1133</v>
      </c>
    </row>
    <row r="18" spans="1:4" ht="38.25" x14ac:dyDescent="0.2">
      <c r="A18" s="583" t="s">
        <v>77</v>
      </c>
      <c r="B18" s="580" t="s">
        <v>693</v>
      </c>
      <c r="C18" s="580" t="s">
        <v>694</v>
      </c>
      <c r="D18" s="142" t="s">
        <v>695</v>
      </c>
    </row>
    <row r="19" spans="1:4" x14ac:dyDescent="0.2">
      <c r="A19" s="142">
        <v>750</v>
      </c>
      <c r="B19" s="142">
        <v>15790</v>
      </c>
      <c r="C19" s="397">
        <f>(0.000994*A19+20.31)*A19</f>
        <v>15791.624999999998</v>
      </c>
      <c r="D19" s="581">
        <f>(C19-B19)/C19</f>
        <v>1.0290264618100931E-4</v>
      </c>
    </row>
    <row r="20" spans="1:4" x14ac:dyDescent="0.2">
      <c r="A20" s="142">
        <v>1500</v>
      </c>
      <c r="B20" s="397">
        <v>32698</v>
      </c>
      <c r="C20" s="397">
        <f>(0.000994*A20+20.31)*A20</f>
        <v>32701.499999999996</v>
      </c>
      <c r="D20" s="581">
        <f>(C20-B20)/C20</f>
        <v>1.0702872956886878E-4</v>
      </c>
    </row>
    <row r="21" spans="1:4" x14ac:dyDescent="0.2">
      <c r="A21" s="142">
        <v>3000</v>
      </c>
      <c r="B21" s="142">
        <v>69868</v>
      </c>
      <c r="C21" s="397">
        <f>(0.000994*A21+20.31)*A21</f>
        <v>69876</v>
      </c>
      <c r="D21" s="581">
        <f>(C21-B21)/C21</f>
        <v>1.144885225256168E-4</v>
      </c>
    </row>
    <row r="22" spans="1:4" x14ac:dyDescent="0.2">
      <c r="A22" s="142">
        <v>5000</v>
      </c>
      <c r="B22" s="142">
        <v>126385</v>
      </c>
      <c r="C22" s="397">
        <f>(0.000994*A22+20.31)*A22</f>
        <v>126400</v>
      </c>
      <c r="D22" s="581">
        <f>(C22-B22)/C22</f>
        <v>1.1867088607594936E-4</v>
      </c>
    </row>
  </sheetData>
  <phoneticPr fontId="3" type="noConversion"/>
  <pageMargins left="0.75" right="0.75" top="1" bottom="1" header="0.5" footer="0.5"/>
  <pageSetup orientation="portrait"/>
  <headerFooter alignWithMargins="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5"/>
  </sheetPr>
  <dimension ref="B1:Q663"/>
  <sheetViews>
    <sheetView workbookViewId="0">
      <selection activeCell="B29" sqref="B29:C29"/>
    </sheetView>
  </sheetViews>
  <sheetFormatPr defaultColWidth="8.85546875" defaultRowHeight="12.75" x14ac:dyDescent="0.2"/>
  <cols>
    <col min="1" max="1" width="2.42578125" customWidth="1"/>
    <col min="2" max="2" width="16.42578125" customWidth="1"/>
    <col min="3" max="3" width="16.7109375" customWidth="1"/>
    <col min="4" max="4" width="16.140625" bestFit="1" customWidth="1"/>
    <col min="5" max="6" width="9.7109375" customWidth="1"/>
    <col min="7" max="7" width="10" customWidth="1"/>
    <col min="8" max="8" width="10.140625" customWidth="1"/>
    <col min="9" max="10" width="9.42578125" customWidth="1"/>
    <col min="11" max="11" width="9.140625" customWidth="1"/>
    <col min="12" max="12" width="13.85546875" bestFit="1" customWidth="1"/>
  </cols>
  <sheetData>
    <row r="1" spans="2:11" x14ac:dyDescent="0.2">
      <c r="B1" s="710" t="str">
        <f>'Input &amp; Summary'!A1</f>
        <v>Based on Combined Land Based-Offshore Turbine Cost Model. V2.01.12</v>
      </c>
      <c r="C1" s="710"/>
      <c r="D1" s="709"/>
      <c r="E1" s="709"/>
      <c r="F1" s="709"/>
      <c r="G1" s="709"/>
      <c r="H1" s="709"/>
      <c r="I1" s="709"/>
    </row>
    <row r="2" spans="2:11" ht="25.5" x14ac:dyDescent="0.2">
      <c r="B2" s="555" t="str">
        <f>'Input &amp; Summary'!A2</f>
        <v>Note:  This Model Contains Proprietary or Wind Technology Protected Data, and Should Not Be Released Outside of the DOE/NREL/SNL, until Further Notice.</v>
      </c>
      <c r="C2" s="555"/>
      <c r="D2" s="709"/>
      <c r="E2" s="709"/>
      <c r="F2" s="709"/>
      <c r="G2" s="709"/>
      <c r="H2" s="709"/>
    </row>
    <row r="4" spans="2:11" ht="13.5" thickBot="1" x14ac:dyDescent="0.25">
      <c r="C4" s="1308" t="s">
        <v>886</v>
      </c>
      <c r="D4" s="1309"/>
      <c r="E4" s="1309"/>
      <c r="F4" s="1309"/>
      <c r="G4" s="1309"/>
      <c r="H4" s="1309"/>
      <c r="I4" s="1309"/>
      <c r="J4" s="1309"/>
    </row>
    <row r="5" spans="2:11" ht="26.25" thickBot="1" x14ac:dyDescent="0.25">
      <c r="B5" s="713" t="s">
        <v>248</v>
      </c>
      <c r="C5" s="713" t="s">
        <v>1455</v>
      </c>
      <c r="D5" s="713" t="s">
        <v>88</v>
      </c>
      <c r="E5" s="713" t="s">
        <v>564</v>
      </c>
      <c r="F5" s="713" t="s">
        <v>887</v>
      </c>
      <c r="G5" s="713" t="s">
        <v>888</v>
      </c>
      <c r="H5" s="713" t="s">
        <v>889</v>
      </c>
      <c r="I5" s="713" t="s">
        <v>890</v>
      </c>
      <c r="J5" s="713" t="s">
        <v>595</v>
      </c>
      <c r="K5" s="713" t="s">
        <v>54</v>
      </c>
    </row>
    <row r="6" spans="2:11" ht="26.25" thickBot="1" x14ac:dyDescent="0.25">
      <c r="B6" s="713">
        <f>'Input &amp; Summary'!B7</f>
        <v>1910</v>
      </c>
      <c r="C6" s="713">
        <f>ROUND('AEP Input Output sheet'!B17,0)</f>
        <v>2117</v>
      </c>
      <c r="D6" s="713">
        <f>'Input &amp; Summary'!B8</f>
        <v>96.9</v>
      </c>
      <c r="E6" s="713">
        <f>'Input &amp; Summary'!B9</f>
        <v>82.7</v>
      </c>
      <c r="F6" s="713" t="str">
        <f>'Input &amp; Summary'!C8</f>
        <v>Advanced Design</v>
      </c>
      <c r="G6" s="713" t="str">
        <f>'Input &amp; Summary'!C9</f>
        <v>Advanced Design</v>
      </c>
      <c r="H6" s="713">
        <f>'Input &amp; Summary'!B24</f>
        <v>1</v>
      </c>
      <c r="I6" s="713">
        <f>'Input &amp; Summary'!B18</f>
        <v>80</v>
      </c>
      <c r="J6" s="713">
        <f>'Input &amp; Summary'!B25</f>
        <v>1</v>
      </c>
      <c r="K6" s="1229">
        <f>'AEP Input Output sheet'!B15</f>
        <v>1.1629115464932083</v>
      </c>
    </row>
    <row r="7" spans="2:11" x14ac:dyDescent="0.2">
      <c r="B7" s="21"/>
      <c r="C7" s="735"/>
      <c r="D7" s="735"/>
      <c r="E7" s="735"/>
      <c r="F7" s="735"/>
      <c r="G7" s="735"/>
      <c r="H7" s="735"/>
      <c r="I7" s="735"/>
      <c r="J7" s="735"/>
    </row>
    <row r="8" spans="2:11" x14ac:dyDescent="0.2">
      <c r="B8" s="736" t="s">
        <v>934</v>
      </c>
      <c r="C8" s="735"/>
      <c r="D8" s="735"/>
      <c r="E8" s="735"/>
      <c r="F8" s="735"/>
      <c r="G8" s="735"/>
      <c r="H8" s="735"/>
      <c r="I8" s="735"/>
      <c r="J8" s="735"/>
    </row>
    <row r="9" spans="2:11" x14ac:dyDescent="0.2">
      <c r="B9" s="21"/>
      <c r="C9" s="21"/>
      <c r="D9" s="712"/>
      <c r="E9" s="712"/>
      <c r="F9" s="712"/>
      <c r="G9" s="712"/>
      <c r="H9" s="712"/>
      <c r="I9" s="712"/>
      <c r="J9" s="712"/>
      <c r="K9" s="712"/>
    </row>
    <row r="10" spans="2:11" ht="13.5" thickBot="1" x14ac:dyDescent="0.25">
      <c r="B10" s="1296" t="s">
        <v>907</v>
      </c>
      <c r="C10" s="1297"/>
      <c r="D10" s="1297"/>
      <c r="E10" s="1297"/>
      <c r="F10" s="1297"/>
    </row>
    <row r="11" spans="2:11" ht="14.25" thickTop="1" thickBot="1" x14ac:dyDescent="0.25">
      <c r="B11" s="711"/>
      <c r="C11" s="711"/>
      <c r="D11" s="21"/>
    </row>
    <row r="12" spans="2:11" ht="13.5" thickTop="1" x14ac:dyDescent="0.2">
      <c r="B12" s="717" t="s">
        <v>906</v>
      </c>
      <c r="C12" s="718"/>
      <c r="D12" s="718"/>
      <c r="E12" s="719"/>
      <c r="F12" s="719"/>
      <c r="G12" s="719"/>
      <c r="H12" s="719"/>
      <c r="I12" s="719"/>
      <c r="J12" s="720"/>
    </row>
    <row r="13" spans="2:11" x14ac:dyDescent="0.2">
      <c r="B13" s="721"/>
      <c r="C13" s="275"/>
      <c r="D13" s="275"/>
      <c r="E13" s="39"/>
      <c r="F13" s="39"/>
      <c r="G13" s="39"/>
      <c r="H13" s="39"/>
      <c r="I13" s="39"/>
      <c r="J13" s="722"/>
    </row>
    <row r="14" spans="2:11" x14ac:dyDescent="0.2">
      <c r="B14" s="723" t="s">
        <v>918</v>
      </c>
      <c r="C14" s="275"/>
      <c r="D14" s="275"/>
      <c r="E14" s="39"/>
      <c r="F14" s="275" t="s">
        <v>919</v>
      </c>
      <c r="G14" s="275"/>
      <c r="H14" s="278"/>
      <c r="I14" s="39"/>
      <c r="J14" s="722"/>
    </row>
    <row r="15" spans="2:11" x14ac:dyDescent="0.2">
      <c r="B15" s="1270" t="s">
        <v>911</v>
      </c>
      <c r="C15" s="1271"/>
      <c r="D15" s="137">
        <f>'Blade Mass &amp; Cost'!S7</f>
        <v>0.1452</v>
      </c>
      <c r="E15" s="39"/>
      <c r="F15" s="1271" t="s">
        <v>911</v>
      </c>
      <c r="G15" s="1271"/>
      <c r="H15" s="137">
        <f>'Blade Mass &amp; Cost'!S15</f>
        <v>0.49480000000000002</v>
      </c>
      <c r="I15" s="39"/>
      <c r="J15" s="722"/>
    </row>
    <row r="16" spans="2:11" x14ac:dyDescent="0.2">
      <c r="B16" s="1270" t="s">
        <v>912</v>
      </c>
      <c r="C16" s="1271"/>
      <c r="D16" s="137">
        <f>'Blade Mass &amp; Cost'!S11</f>
        <v>2.9157999999999999</v>
      </c>
      <c r="E16" s="39"/>
      <c r="F16" s="1271" t="s">
        <v>912</v>
      </c>
      <c r="G16" s="1271"/>
      <c r="H16" s="137">
        <f>'Blade Mass &amp; Cost'!S16</f>
        <v>2.5299999999999998</v>
      </c>
      <c r="I16" s="39"/>
      <c r="J16" s="722"/>
    </row>
    <row r="17" spans="2:10" ht="13.5" thickBot="1" x14ac:dyDescent="0.25">
      <c r="B17" s="724"/>
      <c r="C17" s="39"/>
      <c r="D17" s="39"/>
      <c r="E17" s="39"/>
      <c r="F17" s="39"/>
      <c r="G17" s="39"/>
      <c r="H17" s="39"/>
      <c r="I17" s="39"/>
      <c r="J17" s="722"/>
    </row>
    <row r="18" spans="2:10" ht="25.5" customHeight="1" x14ac:dyDescent="0.2">
      <c r="B18" s="1312" t="s">
        <v>438</v>
      </c>
      <c r="C18" s="1301"/>
      <c r="D18" s="1300" t="s">
        <v>439</v>
      </c>
      <c r="E18" s="1301"/>
      <c r="F18" s="1300" t="s">
        <v>440</v>
      </c>
      <c r="G18" s="1301"/>
      <c r="H18" s="39"/>
      <c r="I18" s="39"/>
      <c r="J18" s="722"/>
    </row>
    <row r="19" spans="2:10" x14ac:dyDescent="0.2">
      <c r="B19" s="750" t="s">
        <v>441</v>
      </c>
      <c r="C19" s="764">
        <f>'Blade Mass &amp; Cost'!B76</f>
        <v>0.40193758052952494</v>
      </c>
      <c r="D19" s="523" t="s">
        <v>441</v>
      </c>
      <c r="E19" s="764">
        <f>'Blade Mass &amp; Cost'!E76</f>
        <v>0.40193758052952488</v>
      </c>
      <c r="F19" s="523" t="s">
        <v>909</v>
      </c>
      <c r="G19" s="524">
        <f>'Blade Mass &amp; Cost'!H76</f>
        <v>2.7444999999999999</v>
      </c>
      <c r="H19" s="39"/>
      <c r="I19" s="39"/>
      <c r="J19" s="722"/>
    </row>
    <row r="20" spans="2:10" ht="13.5" thickBot="1" x14ac:dyDescent="0.25">
      <c r="B20" s="765" t="s">
        <v>442</v>
      </c>
      <c r="C20" s="531">
        <f>'Blade Mass &amp; Cost'!B77</f>
        <v>-955.24267312367738</v>
      </c>
      <c r="D20" s="525" t="s">
        <v>442</v>
      </c>
      <c r="E20" s="766">
        <f>'Blade Mass &amp; Cost'!E77</f>
        <v>-21051.045982777105</v>
      </c>
      <c r="F20" s="525" t="s">
        <v>390</v>
      </c>
      <c r="G20" s="527">
        <f>'Blade Mass &amp; Cost'!H77</f>
        <v>2.5024999999999999</v>
      </c>
      <c r="H20" s="39"/>
      <c r="I20" s="39"/>
      <c r="J20" s="722"/>
    </row>
    <row r="21" spans="2:10" x14ac:dyDescent="0.2">
      <c r="B21" s="725"/>
      <c r="C21" s="714"/>
      <c r="D21" s="394"/>
      <c r="E21" s="39"/>
      <c r="F21" s="39"/>
      <c r="G21" s="39"/>
      <c r="H21" s="39"/>
      <c r="I21" s="39"/>
      <c r="J21" s="722"/>
    </row>
    <row r="22" spans="2:10" x14ac:dyDescent="0.2">
      <c r="B22" s="723" t="s">
        <v>921</v>
      </c>
      <c r="C22" s="275"/>
      <c r="D22" s="275"/>
      <c r="E22" s="39"/>
      <c r="F22" s="39"/>
      <c r="G22" s="39"/>
      <c r="H22" s="39"/>
      <c r="I22" s="39"/>
      <c r="J22" s="722"/>
    </row>
    <row r="23" spans="2:10" x14ac:dyDescent="0.2">
      <c r="B23" s="723"/>
      <c r="C23" s="275"/>
      <c r="D23" s="275"/>
      <c r="E23" s="39"/>
      <c r="F23" s="39"/>
      <c r="G23" s="39"/>
      <c r="H23" s="39"/>
      <c r="I23" s="39"/>
      <c r="J23" s="722"/>
    </row>
    <row r="24" spans="2:10" ht="25.5" customHeight="1" x14ac:dyDescent="0.2">
      <c r="B24" s="1305" t="s">
        <v>929</v>
      </c>
      <c r="C24" s="1306"/>
      <c r="D24" s="1306"/>
      <c r="E24" s="1306"/>
      <c r="F24" s="1306"/>
      <c r="G24" s="1306"/>
      <c r="H24" s="1306"/>
      <c r="I24" s="1306"/>
      <c r="J24" s="1307"/>
    </row>
    <row r="25" spans="2:10" ht="14.25" customHeight="1" x14ac:dyDescent="0.2">
      <c r="B25" s="726"/>
      <c r="C25" s="727"/>
      <c r="D25" s="727"/>
      <c r="E25" s="727"/>
      <c r="F25" s="727"/>
      <c r="G25" s="727"/>
      <c r="H25" s="727"/>
      <c r="I25" s="727"/>
      <c r="J25" s="728"/>
    </row>
    <row r="26" spans="2:10" ht="25.5" customHeight="1" x14ac:dyDescent="0.2">
      <c r="B26" s="1305" t="s">
        <v>930</v>
      </c>
      <c r="C26" s="1306"/>
      <c r="D26" s="1306"/>
      <c r="E26" s="1306"/>
      <c r="F26" s="1306"/>
      <c r="G26" s="1306"/>
      <c r="H26" s="1306"/>
      <c r="I26" s="1306"/>
      <c r="J26" s="1307"/>
    </row>
    <row r="27" spans="2:10" ht="25.5" customHeight="1" x14ac:dyDescent="0.2">
      <c r="B27" s="726"/>
      <c r="C27" s="727"/>
      <c r="D27" s="727"/>
      <c r="E27" s="727"/>
      <c r="F27" s="727"/>
      <c r="G27" s="727"/>
      <c r="H27" s="727"/>
      <c r="I27" s="727"/>
      <c r="J27" s="728"/>
    </row>
    <row r="28" spans="2:10" x14ac:dyDescent="0.2">
      <c r="B28" s="1272" t="s">
        <v>920</v>
      </c>
      <c r="C28" s="1273"/>
      <c r="D28" s="802">
        <f>IF(EXACT(F6,"Baseline"),($D$15*($D$6/2)^$D$16),($H$15*($D$6/2)^$H$16))</f>
        <v>9082.8670624211954</v>
      </c>
      <c r="E28" s="39"/>
      <c r="F28" s="716">
        <f>'PPI Calculation'!D12</f>
        <v>1.1263362487852282</v>
      </c>
      <c r="G28" s="1302" t="s">
        <v>924</v>
      </c>
      <c r="H28" s="1303"/>
      <c r="I28" s="1304"/>
      <c r="J28" s="722"/>
    </row>
    <row r="29" spans="2:10" x14ac:dyDescent="0.2">
      <c r="B29" s="1272" t="s">
        <v>928</v>
      </c>
      <c r="C29" s="1273"/>
      <c r="D29" s="803">
        <f>IF(EXACT($F$6,"Baseline"),(($C$19*($D$6/2)^3+$C$20)*$F$29+($G$19*($D$6/2)^$G$20)*$F$28)/(1-0.28),(($E$19*($D$6/2)^3+$E$20)*$F$30+($G$19*($D$6/2)^$G$20)*$F$28)/(1-0.28))</f>
        <v>107664.66481455535</v>
      </c>
      <c r="E29" s="39"/>
      <c r="F29" s="716">
        <f>'PPI Calculation'!D31</f>
        <v>1.0362620198210015</v>
      </c>
      <c r="G29" s="1302" t="s">
        <v>925</v>
      </c>
      <c r="H29" s="1303"/>
      <c r="I29" s="1304"/>
      <c r="J29" s="722"/>
    </row>
    <row r="30" spans="2:10" x14ac:dyDescent="0.2">
      <c r="B30" s="1272" t="s">
        <v>927</v>
      </c>
      <c r="C30" s="1273"/>
      <c r="D30" s="802">
        <f>D29*3</f>
        <v>322993.99444366607</v>
      </c>
      <c r="E30" s="39"/>
      <c r="F30" s="716">
        <f>'PPI Calculation'!K31</f>
        <v>1.0752391210085082</v>
      </c>
      <c r="G30" s="1311" t="s">
        <v>926</v>
      </c>
      <c r="H30" s="1311"/>
      <c r="I30" s="1311"/>
      <c r="J30" s="722"/>
    </row>
    <row r="31" spans="2:10" ht="13.5" thickBot="1" x14ac:dyDescent="0.25">
      <c r="B31" s="729"/>
      <c r="C31" s="730"/>
      <c r="D31" s="731"/>
      <c r="E31" s="732"/>
      <c r="F31" s="732"/>
      <c r="G31" s="732"/>
      <c r="H31" s="732"/>
      <c r="I31" s="732"/>
      <c r="J31" s="733"/>
    </row>
    <row r="32" spans="2:10" ht="13.5" thickTop="1" x14ac:dyDescent="0.2">
      <c r="B32" s="717" t="s">
        <v>902</v>
      </c>
      <c r="C32" s="737"/>
      <c r="D32" s="737"/>
      <c r="E32" s="738"/>
      <c r="F32" s="738"/>
      <c r="G32" s="738"/>
      <c r="H32" s="738"/>
      <c r="I32" s="738"/>
      <c r="J32" s="739"/>
    </row>
    <row r="33" spans="2:10" x14ac:dyDescent="0.2">
      <c r="B33" s="723"/>
      <c r="C33" s="275"/>
      <c r="D33" s="275"/>
      <c r="E33" s="39"/>
      <c r="F33" s="39"/>
      <c r="G33" s="39"/>
      <c r="H33" s="39"/>
      <c r="I33" s="39"/>
      <c r="J33" s="722"/>
    </row>
    <row r="34" spans="2:10" x14ac:dyDescent="0.2">
      <c r="B34" s="1270" t="s">
        <v>613</v>
      </c>
      <c r="C34" s="1284"/>
      <c r="D34" s="763">
        <f>'Hub Mass &amp; Cost'!B31</f>
        <v>0.95402537264402965</v>
      </c>
      <c r="E34" s="39"/>
      <c r="F34" s="39"/>
      <c r="G34" s="39"/>
      <c r="H34" s="39"/>
      <c r="I34" s="39"/>
      <c r="J34" s="722"/>
    </row>
    <row r="35" spans="2:10" x14ac:dyDescent="0.2">
      <c r="B35" s="1270" t="s">
        <v>614</v>
      </c>
      <c r="C35" s="1284"/>
      <c r="D35" s="763">
        <f>'Hub Mass &amp; Cost'!B32</f>
        <v>5680.2722376117763</v>
      </c>
      <c r="E35" s="39"/>
      <c r="F35" s="39"/>
      <c r="G35" s="39"/>
      <c r="H35" s="39"/>
      <c r="I35" s="39"/>
      <c r="J35" s="722"/>
    </row>
    <row r="36" spans="2:10" x14ac:dyDescent="0.2">
      <c r="B36" s="725"/>
      <c r="C36" s="714"/>
      <c r="D36" s="793"/>
      <c r="E36" s="39"/>
      <c r="F36" s="39"/>
      <c r="G36" s="39"/>
      <c r="H36" s="39"/>
      <c r="I36" s="39"/>
      <c r="J36" s="722"/>
    </row>
    <row r="37" spans="2:10" x14ac:dyDescent="0.2">
      <c r="B37" s="1270" t="s">
        <v>905</v>
      </c>
      <c r="C37" s="1271"/>
      <c r="D37" s="137">
        <f>'Hub Mass &amp; Cost'!C12</f>
        <v>4.25</v>
      </c>
      <c r="E37" s="39" t="s">
        <v>208</v>
      </c>
      <c r="F37" s="39"/>
      <c r="G37" s="39"/>
      <c r="H37" s="39"/>
      <c r="I37" s="39"/>
      <c r="J37" s="722"/>
    </row>
    <row r="38" spans="2:10" x14ac:dyDescent="0.2">
      <c r="B38" s="725"/>
      <c r="C38" s="714"/>
      <c r="D38" s="394"/>
      <c r="E38" s="39"/>
      <c r="F38" s="39"/>
      <c r="G38" s="39"/>
      <c r="H38" s="39"/>
      <c r="I38" s="39"/>
      <c r="J38" s="722"/>
    </row>
    <row r="39" spans="2:10" x14ac:dyDescent="0.2">
      <c r="B39" s="723" t="s">
        <v>903</v>
      </c>
      <c r="C39" s="714"/>
      <c r="D39" s="394"/>
      <c r="E39" s="39"/>
      <c r="F39" s="39"/>
      <c r="G39" s="39"/>
      <c r="H39" s="39"/>
      <c r="I39" s="39"/>
      <c r="J39" s="722"/>
    </row>
    <row r="40" spans="2:10" x14ac:dyDescent="0.2">
      <c r="B40" s="725"/>
      <c r="C40" s="714"/>
      <c r="D40" s="394"/>
      <c r="E40" s="39"/>
      <c r="F40" s="39"/>
      <c r="G40" s="39"/>
      <c r="H40" s="39"/>
      <c r="I40" s="39"/>
      <c r="J40" s="722"/>
    </row>
    <row r="41" spans="2:10" x14ac:dyDescent="0.2">
      <c r="B41" s="725" t="s">
        <v>938</v>
      </c>
      <c r="C41" s="714"/>
      <c r="D41" s="394"/>
      <c r="E41" s="39"/>
      <c r="F41" s="39"/>
      <c r="G41" s="39"/>
      <c r="H41" s="39"/>
      <c r="I41" s="39"/>
      <c r="J41" s="722"/>
    </row>
    <row r="42" spans="2:10" x14ac:dyDescent="0.2">
      <c r="B42" s="725"/>
      <c r="C42" s="714"/>
      <c r="D42" s="715"/>
      <c r="E42" s="39"/>
      <c r="F42" s="39"/>
      <c r="G42" s="39"/>
      <c r="H42" s="39"/>
      <c r="I42" s="39"/>
      <c r="J42" s="722"/>
    </row>
    <row r="43" spans="2:10" x14ac:dyDescent="0.2">
      <c r="B43" s="1272" t="s">
        <v>904</v>
      </c>
      <c r="C43" s="1273"/>
      <c r="D43" s="761">
        <f>D34*'Cost Summary'!C16/3 +'Cost &amp; Mass Functions'!D35</f>
        <v>14345.55787151434</v>
      </c>
      <c r="E43" s="39" t="s">
        <v>407</v>
      </c>
      <c r="F43" s="39"/>
      <c r="G43" s="39"/>
      <c r="H43" s="39"/>
      <c r="I43" s="39"/>
      <c r="J43" s="722"/>
    </row>
    <row r="44" spans="2:10" x14ac:dyDescent="0.2">
      <c r="B44" s="1272" t="s">
        <v>893</v>
      </c>
      <c r="C44" s="1273"/>
      <c r="D44" s="755">
        <f>D43*D37</f>
        <v>60968.620953935948</v>
      </c>
      <c r="E44" s="39"/>
      <c r="F44" s="39"/>
      <c r="G44" s="39"/>
      <c r="H44" s="39"/>
      <c r="I44" s="39"/>
      <c r="J44" s="722"/>
    </row>
    <row r="45" spans="2:10" x14ac:dyDescent="0.2">
      <c r="B45" s="1272" t="s">
        <v>901</v>
      </c>
      <c r="C45" s="1273"/>
      <c r="D45" s="757">
        <f>'PPI Calculation'!D37</f>
        <v>1.3925729442970822</v>
      </c>
      <c r="E45" s="39"/>
      <c r="F45" s="39"/>
      <c r="G45" s="39"/>
      <c r="H45" s="39"/>
      <c r="I45" s="39"/>
      <c r="J45" s="722"/>
    </row>
    <row r="46" spans="2:10" x14ac:dyDescent="0.2">
      <c r="B46" s="1272" t="s">
        <v>895</v>
      </c>
      <c r="C46" s="1273"/>
      <c r="D46" s="755">
        <f>D45*D44</f>
        <v>84903.251991555371</v>
      </c>
      <c r="E46" s="39"/>
      <c r="F46" s="39"/>
      <c r="G46" s="39"/>
      <c r="H46" s="39"/>
      <c r="I46" s="39"/>
      <c r="J46" s="722"/>
    </row>
    <row r="47" spans="2:10" ht="13.5" thickBot="1" x14ac:dyDescent="0.25">
      <c r="B47" s="729"/>
      <c r="C47" s="730"/>
      <c r="D47" s="730"/>
      <c r="E47" s="732"/>
      <c r="F47" s="732"/>
      <c r="G47" s="732"/>
      <c r="H47" s="732"/>
      <c r="I47" s="732"/>
      <c r="J47" s="733"/>
    </row>
    <row r="48" spans="2:10" ht="13.5" thickTop="1" x14ac:dyDescent="0.2">
      <c r="B48" s="717" t="s">
        <v>898</v>
      </c>
      <c r="C48" s="737"/>
      <c r="D48" s="737"/>
      <c r="E48" s="738"/>
      <c r="F48" s="738"/>
      <c r="G48" s="738"/>
      <c r="H48" s="738"/>
      <c r="I48" s="738"/>
      <c r="J48" s="739"/>
    </row>
    <row r="49" spans="2:10" x14ac:dyDescent="0.2">
      <c r="B49" s="721"/>
      <c r="C49" s="275"/>
      <c r="D49" s="275"/>
      <c r="E49" s="39"/>
      <c r="F49" s="39"/>
      <c r="G49" s="39"/>
      <c r="H49" s="39"/>
      <c r="I49" s="39"/>
      <c r="J49" s="722"/>
    </row>
    <row r="50" spans="2:10" x14ac:dyDescent="0.2">
      <c r="B50" s="1280" t="s">
        <v>939</v>
      </c>
      <c r="C50" s="1281"/>
      <c r="D50" s="137">
        <f>'Pitch Mech &amp; Bearings'!B17</f>
        <v>0.1295</v>
      </c>
      <c r="E50" s="39"/>
      <c r="F50" s="39"/>
      <c r="G50" s="39"/>
      <c r="H50" s="39"/>
      <c r="I50" s="39"/>
      <c r="J50" s="722"/>
    </row>
    <row r="51" spans="2:10" x14ac:dyDescent="0.2">
      <c r="B51" s="1280" t="s">
        <v>942</v>
      </c>
      <c r="C51" s="1281"/>
      <c r="D51" s="137">
        <f>'Pitch Mech &amp; Bearings'!B18</f>
        <v>491.31</v>
      </c>
      <c r="E51" s="39"/>
      <c r="F51" s="39"/>
      <c r="G51" s="39"/>
      <c r="H51" s="39"/>
      <c r="I51" s="39"/>
      <c r="J51" s="722"/>
    </row>
    <row r="52" spans="2:10" x14ac:dyDescent="0.2">
      <c r="B52" s="721"/>
      <c r="C52" s="275"/>
      <c r="D52" s="275"/>
      <c r="E52" s="39"/>
      <c r="F52" s="39"/>
      <c r="G52" s="39"/>
      <c r="H52" s="39"/>
      <c r="I52" s="39"/>
      <c r="J52" s="722"/>
    </row>
    <row r="53" spans="2:10" x14ac:dyDescent="0.2">
      <c r="B53" s="1270" t="s">
        <v>943</v>
      </c>
      <c r="C53" s="1287"/>
      <c r="D53" s="792">
        <f>'Pitch Mech &amp; Bearings'!B20</f>
        <v>0.32800000000000001</v>
      </c>
      <c r="E53" s="39"/>
      <c r="F53" s="39"/>
      <c r="G53" s="39"/>
      <c r="H53" s="39"/>
      <c r="I53" s="39"/>
      <c r="J53" s="722"/>
    </row>
    <row r="54" spans="2:10" x14ac:dyDescent="0.2">
      <c r="B54" s="1270" t="s">
        <v>944</v>
      </c>
      <c r="C54" s="1287"/>
      <c r="D54" s="796">
        <f>'Pitch Mech &amp; Bearings'!B21</f>
        <v>555</v>
      </c>
      <c r="E54" s="39"/>
      <c r="F54" s="39"/>
      <c r="G54" s="39"/>
      <c r="H54" s="39"/>
      <c r="I54" s="39"/>
      <c r="J54" s="722"/>
    </row>
    <row r="55" spans="2:10" x14ac:dyDescent="0.2">
      <c r="B55" s="721"/>
      <c r="C55" s="275"/>
      <c r="D55" s="275"/>
      <c r="E55" s="39"/>
      <c r="F55" s="39"/>
      <c r="G55" s="39"/>
      <c r="H55" s="39"/>
      <c r="I55" s="39"/>
      <c r="J55" s="722"/>
    </row>
    <row r="56" spans="2:10" ht="15" customHeight="1" x14ac:dyDescent="0.2">
      <c r="B56" s="740" t="s">
        <v>941</v>
      </c>
      <c r="C56" s="6"/>
      <c r="D56" s="7"/>
      <c r="E56" s="7"/>
      <c r="F56" s="7"/>
      <c r="G56" s="7"/>
      <c r="H56" s="7"/>
      <c r="I56" s="7"/>
      <c r="J56" s="797"/>
    </row>
    <row r="57" spans="2:10" ht="15" customHeight="1" x14ac:dyDescent="0.2">
      <c r="B57" s="723" t="s">
        <v>945</v>
      </c>
      <c r="C57" s="6"/>
      <c r="D57" s="7"/>
      <c r="E57" s="7"/>
      <c r="F57" s="7"/>
      <c r="G57" s="7"/>
      <c r="H57" s="7"/>
      <c r="I57" s="7"/>
      <c r="J57" s="797"/>
    </row>
    <row r="58" spans="2:10" ht="12" customHeight="1" x14ac:dyDescent="0.2">
      <c r="B58" s="723"/>
      <c r="C58" s="275"/>
      <c r="D58" s="21"/>
      <c r="E58" s="21"/>
      <c r="F58" s="21"/>
      <c r="G58" s="21"/>
      <c r="H58" s="21"/>
      <c r="I58" s="21"/>
      <c r="J58" s="722"/>
    </row>
    <row r="59" spans="2:10" x14ac:dyDescent="0.2">
      <c r="B59" s="1272" t="s">
        <v>899</v>
      </c>
      <c r="C59" s="1273"/>
      <c r="D59" s="416">
        <f>'Cost Summary'!C16</f>
        <v>27248.601187263586</v>
      </c>
      <c r="E59" s="39" t="s">
        <v>407</v>
      </c>
      <c r="F59" s="39"/>
      <c r="G59" s="39"/>
      <c r="H59" s="39"/>
      <c r="I59" s="39"/>
      <c r="J59" s="722"/>
    </row>
    <row r="60" spans="2:10" x14ac:dyDescent="0.2">
      <c r="B60" s="1289" t="s">
        <v>951</v>
      </c>
      <c r="C60" s="1281"/>
      <c r="D60" s="804">
        <f>D50*D59+D51</f>
        <v>4020.0038537506343</v>
      </c>
      <c r="E60" s="39" t="s">
        <v>407</v>
      </c>
      <c r="F60" s="39"/>
      <c r="G60" s="39"/>
      <c r="H60" s="39"/>
      <c r="I60" s="39"/>
      <c r="J60" s="722"/>
    </row>
    <row r="61" spans="2:10" x14ac:dyDescent="0.2">
      <c r="B61" s="1272" t="s">
        <v>900</v>
      </c>
      <c r="C61" s="1310"/>
      <c r="D61" s="804">
        <f>D60+D60*D53+D54</f>
        <v>5893.5651177808422</v>
      </c>
      <c r="E61" s="39" t="s">
        <v>407</v>
      </c>
      <c r="F61" s="39"/>
      <c r="G61" s="39"/>
      <c r="H61" s="39"/>
      <c r="I61" s="39"/>
      <c r="J61" s="722"/>
    </row>
    <row r="62" spans="2:10" x14ac:dyDescent="0.2">
      <c r="B62" s="740"/>
      <c r="C62" s="741"/>
      <c r="D62" s="742"/>
      <c r="E62" s="39"/>
      <c r="F62" s="39"/>
      <c r="G62" s="39"/>
      <c r="H62" s="39"/>
      <c r="I62" s="39"/>
      <c r="J62" s="722"/>
    </row>
    <row r="63" spans="2:10" x14ac:dyDescent="0.2">
      <c r="B63" s="1270" t="s">
        <v>946</v>
      </c>
      <c r="C63" s="1287"/>
      <c r="D63" s="798">
        <f>'Pitch Mech &amp; Bearings'!B26</f>
        <v>0.21060000000000001</v>
      </c>
      <c r="E63" s="39"/>
      <c r="F63" s="39"/>
      <c r="G63" s="39"/>
      <c r="H63" s="39"/>
      <c r="I63" s="39"/>
      <c r="J63" s="722"/>
    </row>
    <row r="64" spans="2:10" x14ac:dyDescent="0.2">
      <c r="B64" s="1270" t="s">
        <v>947</v>
      </c>
      <c r="C64" s="1287"/>
      <c r="D64" s="798">
        <f>'Pitch Mech &amp; Bearings'!B27</f>
        <v>2.6576</v>
      </c>
      <c r="E64" s="39"/>
      <c r="F64" s="39"/>
      <c r="G64" s="39"/>
      <c r="H64" s="39"/>
      <c r="I64" s="39"/>
      <c r="J64" s="722"/>
    </row>
    <row r="65" spans="2:10" x14ac:dyDescent="0.2">
      <c r="B65" s="1270" t="s">
        <v>949</v>
      </c>
      <c r="C65" s="1287"/>
      <c r="D65" s="799">
        <f>'Pitch Mech &amp; Bearings'!B28</f>
        <v>1.28</v>
      </c>
      <c r="E65" s="39"/>
      <c r="F65" s="39"/>
      <c r="G65" s="39"/>
      <c r="H65" s="39"/>
      <c r="I65" s="39"/>
      <c r="J65" s="722"/>
    </row>
    <row r="66" spans="2:10" x14ac:dyDescent="0.2">
      <c r="B66" s="740"/>
      <c r="C66" s="741"/>
      <c r="D66" s="742"/>
      <c r="E66" s="39"/>
      <c r="F66" s="39"/>
      <c r="G66" s="39"/>
      <c r="H66" s="39"/>
      <c r="I66" s="39"/>
      <c r="J66" s="722"/>
    </row>
    <row r="67" spans="2:10" x14ac:dyDescent="0.2">
      <c r="B67" s="723" t="s">
        <v>952</v>
      </c>
      <c r="C67" s="741"/>
      <c r="D67" s="742"/>
      <c r="E67" s="39"/>
      <c r="F67" s="39"/>
      <c r="G67" s="39"/>
      <c r="H67" s="39"/>
      <c r="I67" s="39"/>
      <c r="J67" s="722"/>
    </row>
    <row r="68" spans="2:10" x14ac:dyDescent="0.2">
      <c r="B68" s="723" t="s">
        <v>950</v>
      </c>
      <c r="C68" s="741"/>
      <c r="D68" s="742"/>
      <c r="E68" s="39"/>
      <c r="F68" s="39"/>
      <c r="G68" s="39"/>
      <c r="H68" s="39"/>
      <c r="I68" s="39"/>
      <c r="J68" s="722"/>
    </row>
    <row r="69" spans="2:10" x14ac:dyDescent="0.2">
      <c r="B69" s="723"/>
      <c r="C69" s="741"/>
      <c r="D69" s="742"/>
      <c r="E69" s="39"/>
      <c r="F69" s="39"/>
      <c r="G69" s="39"/>
      <c r="H69" s="39"/>
      <c r="I69" s="39"/>
      <c r="J69" s="722"/>
    </row>
    <row r="70" spans="2:10" x14ac:dyDescent="0.2">
      <c r="B70" s="1298" t="s">
        <v>953</v>
      </c>
      <c r="C70" s="1299"/>
      <c r="D70" s="755">
        <f>D63*D6^D64</f>
        <v>40023.257840633101</v>
      </c>
      <c r="E70" s="39"/>
      <c r="F70" s="39"/>
      <c r="G70" s="39">
        <f>2.28*(0.2106*D6^2.6576)</f>
        <v>91253.027876643464</v>
      </c>
      <c r="H70" s="39"/>
      <c r="I70" s="39"/>
      <c r="J70" s="722"/>
    </row>
    <row r="71" spans="2:10" x14ac:dyDescent="0.2">
      <c r="B71" s="1298" t="s">
        <v>954</v>
      </c>
      <c r="C71" s="1299"/>
      <c r="D71" s="755">
        <f>D70+D70*D65</f>
        <v>91253.027876643464</v>
      </c>
      <c r="E71" s="39"/>
      <c r="F71" s="39"/>
      <c r="G71" s="39"/>
      <c r="H71" s="39"/>
      <c r="I71" s="39"/>
      <c r="J71" s="722"/>
    </row>
    <row r="72" spans="2:10" x14ac:dyDescent="0.2">
      <c r="B72" s="1272" t="s">
        <v>901</v>
      </c>
      <c r="C72" s="1273"/>
      <c r="D72" s="757">
        <f>'PPI Calculation'!D52</f>
        <v>1.3527532772941504</v>
      </c>
      <c r="E72" s="39"/>
      <c r="F72" s="39"/>
      <c r="G72" s="39"/>
      <c r="H72" s="39"/>
      <c r="I72" s="39"/>
      <c r="J72" s="722"/>
    </row>
    <row r="73" spans="2:10" x14ac:dyDescent="0.2">
      <c r="B73" s="1272" t="s">
        <v>895</v>
      </c>
      <c r="C73" s="1273"/>
      <c r="D73" s="755">
        <f>D72*D71</f>
        <v>123442.83252314391</v>
      </c>
      <c r="E73" s="39"/>
      <c r="F73" s="39"/>
      <c r="G73" s="39"/>
      <c r="H73" s="39"/>
      <c r="I73" s="39"/>
      <c r="J73" s="722"/>
    </row>
    <row r="74" spans="2:10" ht="13.5" thickBot="1" x14ac:dyDescent="0.25">
      <c r="B74" s="743"/>
      <c r="C74" s="730"/>
      <c r="D74" s="730"/>
      <c r="E74" s="732"/>
      <c r="F74" s="732"/>
      <c r="G74" s="732"/>
      <c r="H74" s="732"/>
      <c r="I74" s="732"/>
      <c r="J74" s="733"/>
    </row>
    <row r="75" spans="2:10" ht="13.5" thickTop="1" x14ac:dyDescent="0.2">
      <c r="B75" s="717" t="s">
        <v>897</v>
      </c>
      <c r="C75" s="744"/>
      <c r="D75" s="737"/>
      <c r="E75" s="738"/>
      <c r="F75" s="738"/>
      <c r="G75" s="738"/>
      <c r="H75" s="738"/>
      <c r="I75" s="738"/>
      <c r="J75" s="739"/>
    </row>
    <row r="76" spans="2:10" x14ac:dyDescent="0.2">
      <c r="B76" s="745"/>
      <c r="C76" s="275"/>
      <c r="D76" s="275"/>
      <c r="E76" s="39"/>
      <c r="F76" s="39"/>
      <c r="G76" s="39"/>
      <c r="H76" s="39"/>
      <c r="I76" s="39"/>
      <c r="J76" s="722"/>
    </row>
    <row r="77" spans="2:10" x14ac:dyDescent="0.2">
      <c r="B77" s="1293" t="s">
        <v>955</v>
      </c>
      <c r="C77" s="1294"/>
      <c r="D77" s="137">
        <f>'Nose cone'!B20</f>
        <v>18.5</v>
      </c>
      <c r="E77" s="39"/>
      <c r="F77" s="39"/>
      <c r="G77" s="39"/>
      <c r="H77" s="39"/>
      <c r="I77" s="39"/>
      <c r="J77" s="722"/>
    </row>
    <row r="78" spans="2:10" x14ac:dyDescent="0.2">
      <c r="B78" s="1293" t="s">
        <v>956</v>
      </c>
      <c r="C78" s="1294"/>
      <c r="D78" s="137">
        <f>'Nose cone'!B21</f>
        <v>-520.5</v>
      </c>
      <c r="E78" s="39"/>
      <c r="F78" s="39"/>
      <c r="G78" s="39"/>
      <c r="H78" s="39"/>
      <c r="I78" s="39"/>
      <c r="J78" s="722"/>
    </row>
    <row r="79" spans="2:10" x14ac:dyDescent="0.2">
      <c r="B79" s="723"/>
      <c r="C79" s="275"/>
      <c r="D79" s="275"/>
      <c r="E79" s="39"/>
      <c r="F79" s="39"/>
      <c r="G79" s="39"/>
      <c r="H79" s="39"/>
      <c r="I79" s="39"/>
      <c r="J79" s="722"/>
    </row>
    <row r="80" spans="2:10" x14ac:dyDescent="0.2">
      <c r="B80" s="1293" t="s">
        <v>957</v>
      </c>
      <c r="C80" s="1294"/>
      <c r="D80" s="137">
        <f>'Nose cone'!B11</f>
        <v>5.57</v>
      </c>
      <c r="E80" s="39" t="s">
        <v>208</v>
      </c>
      <c r="F80" s="39"/>
      <c r="G80" s="39"/>
      <c r="H80" s="39"/>
      <c r="I80" s="39"/>
      <c r="J80" s="722"/>
    </row>
    <row r="81" spans="2:10" x14ac:dyDescent="0.2">
      <c r="B81" s="723"/>
      <c r="C81" s="275"/>
      <c r="D81" s="275"/>
      <c r="E81" s="39"/>
      <c r="F81" s="39"/>
      <c r="G81" s="39"/>
      <c r="H81" s="39"/>
      <c r="I81" s="39"/>
      <c r="J81" s="722"/>
    </row>
    <row r="82" spans="2:10" x14ac:dyDescent="0.2">
      <c r="B82" s="1314" t="s">
        <v>892</v>
      </c>
      <c r="C82" s="1315"/>
      <c r="D82" s="1315"/>
      <c r="E82" s="1315"/>
      <c r="F82" s="1315"/>
      <c r="G82" s="1315"/>
      <c r="H82" s="1315"/>
      <c r="I82" s="39"/>
      <c r="J82" s="722"/>
    </row>
    <row r="83" spans="2:10" x14ac:dyDescent="0.2">
      <c r="B83" s="746" t="s">
        <v>958</v>
      </c>
      <c r="C83" s="6"/>
      <c r="D83" s="6"/>
      <c r="E83" s="6"/>
      <c r="F83" s="6"/>
      <c r="G83" s="6"/>
      <c r="H83" s="6"/>
      <c r="I83" s="39"/>
      <c r="J83" s="722"/>
    </row>
    <row r="84" spans="2:10" x14ac:dyDescent="0.2">
      <c r="B84" s="746"/>
      <c r="C84" s="6"/>
      <c r="D84" s="6"/>
      <c r="E84" s="6"/>
      <c r="F84" s="6"/>
      <c r="G84" s="6"/>
      <c r="H84" s="6"/>
      <c r="I84" s="39"/>
      <c r="J84" s="722"/>
    </row>
    <row r="85" spans="2:10" x14ac:dyDescent="0.2">
      <c r="B85" s="1316" t="s">
        <v>891</v>
      </c>
      <c r="C85" s="1317"/>
      <c r="D85" s="756">
        <f>D77*D6+D78</f>
        <v>1272.1500000000001</v>
      </c>
      <c r="E85" s="39" t="s">
        <v>407</v>
      </c>
      <c r="F85" s="39"/>
      <c r="G85" s="39"/>
      <c r="H85" s="39"/>
      <c r="I85" s="39"/>
      <c r="J85" s="722"/>
    </row>
    <row r="86" spans="2:10" x14ac:dyDescent="0.2">
      <c r="B86" s="1316" t="s">
        <v>959</v>
      </c>
      <c r="C86" s="1317"/>
      <c r="D86" s="755">
        <f>D85*D80</f>
        <v>7085.875500000001</v>
      </c>
      <c r="E86" s="39" t="s">
        <v>896</v>
      </c>
      <c r="F86" s="39"/>
      <c r="G86" s="39"/>
      <c r="H86" s="39"/>
      <c r="I86" s="39"/>
      <c r="J86" s="722"/>
    </row>
    <row r="87" spans="2:10" x14ac:dyDescent="0.2">
      <c r="B87" s="1316" t="s">
        <v>894</v>
      </c>
      <c r="C87" s="1327"/>
      <c r="D87" s="805">
        <f>'PPI Calculation'!D135</f>
        <v>1.0550990812530561</v>
      </c>
      <c r="E87" s="39"/>
      <c r="F87" s="39"/>
      <c r="G87" s="39"/>
      <c r="H87" s="39"/>
      <c r="I87" s="39"/>
      <c r="J87" s="722"/>
    </row>
    <row r="88" spans="2:10" x14ac:dyDescent="0.2">
      <c r="B88" s="1316" t="s">
        <v>895</v>
      </c>
      <c r="C88" s="1327"/>
      <c r="D88" s="806">
        <f>D86*D87</f>
        <v>7476.3007299235405</v>
      </c>
      <c r="E88" s="39" t="s">
        <v>896</v>
      </c>
      <c r="F88" s="39"/>
      <c r="G88" s="39"/>
      <c r="H88" s="39"/>
      <c r="I88" s="39"/>
      <c r="J88" s="722"/>
    </row>
    <row r="89" spans="2:10" ht="13.5" thickBot="1" x14ac:dyDescent="0.25">
      <c r="B89" s="747"/>
      <c r="C89" s="748"/>
      <c r="D89" s="749"/>
      <c r="E89" s="732"/>
      <c r="F89" s="732"/>
      <c r="G89" s="732"/>
      <c r="H89" s="732"/>
      <c r="I89" s="732"/>
      <c r="J89" s="733"/>
    </row>
    <row r="90" spans="2:10" ht="13.5" thickTop="1" x14ac:dyDescent="0.2">
      <c r="B90" s="717" t="s">
        <v>908</v>
      </c>
      <c r="C90" s="737"/>
      <c r="D90" s="737"/>
      <c r="E90" s="738"/>
      <c r="F90" s="738"/>
      <c r="G90" s="738"/>
      <c r="H90" s="738"/>
      <c r="I90" s="738"/>
      <c r="J90" s="739"/>
    </row>
    <row r="91" spans="2:10" x14ac:dyDescent="0.2">
      <c r="B91" s="723"/>
      <c r="C91" s="275"/>
      <c r="D91" s="275"/>
      <c r="E91" s="39"/>
      <c r="F91" s="39"/>
      <c r="G91" s="39"/>
      <c r="H91" s="39"/>
      <c r="I91" s="39"/>
      <c r="J91" s="722"/>
    </row>
    <row r="92" spans="2:10" x14ac:dyDescent="0.2">
      <c r="B92" s="1270" t="str">
        <f>'Low Speed Shaft'!B59</f>
        <v>Outside Diameter (m)</v>
      </c>
      <c r="C92" s="1271"/>
      <c r="D92" s="1004">
        <f>((32/PI())*D96*3.25*((D113*3/371000000)^2+(D97/71070000)^2)^(1/2))^(1/3)</f>
        <v>0.72401367881113943</v>
      </c>
      <c r="E92" s="39"/>
      <c r="F92" s="39"/>
      <c r="G92" s="39"/>
      <c r="H92" s="39"/>
      <c r="I92" s="39"/>
      <c r="J92" s="722"/>
    </row>
    <row r="93" spans="2:10" x14ac:dyDescent="0.2">
      <c r="B93" s="1270" t="str">
        <f>'Low Speed Shaft'!B60</f>
        <v>Inner Diameter (m)</v>
      </c>
      <c r="C93" s="1271"/>
      <c r="D93" s="1004">
        <f>D92/10</f>
        <v>7.240136788111394E-2</v>
      </c>
      <c r="E93" s="278" t="s">
        <v>1331</v>
      </c>
      <c r="F93" s="39"/>
      <c r="G93" s="39"/>
      <c r="H93" s="39"/>
      <c r="I93" s="39"/>
      <c r="J93" s="722"/>
    </row>
    <row r="94" spans="2:10" x14ac:dyDescent="0.2">
      <c r="B94" s="1270" t="str">
        <f>'Low Speed Shaft'!B61</f>
        <v>Length of Shaft (m)</v>
      </c>
      <c r="C94" s="1271"/>
      <c r="D94" s="1003">
        <f>0.03*D6</f>
        <v>2.907</v>
      </c>
      <c r="E94" s="278" t="s">
        <v>1330</v>
      </c>
      <c r="F94" s="39"/>
      <c r="G94" s="39"/>
      <c r="H94" s="39"/>
      <c r="I94" s="39"/>
      <c r="J94" s="722"/>
    </row>
    <row r="95" spans="2:10" x14ac:dyDescent="0.2">
      <c r="B95" s="1270" t="str">
        <f>'Low Speed Shaft'!B62</f>
        <v>Mass of Shaft (kg)</v>
      </c>
      <c r="C95" s="1271"/>
      <c r="D95" s="1009">
        <f>1.25*(PI()/4)*(D92^2-D93^2)*D94*7860</f>
        <v>11641.158693094339</v>
      </c>
      <c r="E95" s="278" t="s">
        <v>1337</v>
      </c>
      <c r="F95" s="39"/>
      <c r="G95" s="39"/>
      <c r="H95" s="39"/>
      <c r="I95" s="39"/>
      <c r="J95" s="722"/>
    </row>
    <row r="96" spans="2:10" x14ac:dyDescent="0.2">
      <c r="B96" s="1270" t="s">
        <v>1363</v>
      </c>
      <c r="C96" s="1271"/>
      <c r="D96" s="1004">
        <f>1/(1-(0.1)^4)</f>
        <v>1.000100010001</v>
      </c>
      <c r="E96" s="394" t="s">
        <v>1336</v>
      </c>
      <c r="F96" s="39"/>
      <c r="G96" s="39"/>
      <c r="H96" s="39"/>
      <c r="I96" s="39"/>
      <c r="J96" s="722"/>
    </row>
    <row r="97" spans="2:10" x14ac:dyDescent="0.2">
      <c r="B97" s="1270" t="str">
        <f>'Low Speed Shaft'!B64</f>
        <v>Bending Moment</v>
      </c>
      <c r="C97" s="1271"/>
      <c r="D97" s="1009">
        <f>D98*D99</f>
        <v>347629.50025215623</v>
      </c>
      <c r="E97" s="1010" t="s">
        <v>1332</v>
      </c>
      <c r="F97" s="39"/>
      <c r="G97" s="39"/>
      <c r="H97" s="39"/>
      <c r="I97" s="39"/>
      <c r="J97" s="722"/>
    </row>
    <row r="98" spans="2:10" x14ac:dyDescent="0.2">
      <c r="B98" s="1270" t="str">
        <f>'Low Speed Shaft'!B65</f>
        <v>Bending Load</v>
      </c>
      <c r="C98" s="1271"/>
      <c r="D98" s="1009">
        <f>1.25*9.81*D112</f>
        <v>597917.95709005196</v>
      </c>
      <c r="E98" s="1010" t="s">
        <v>1333</v>
      </c>
      <c r="F98" s="39"/>
      <c r="G98" s="39"/>
      <c r="H98" s="39"/>
      <c r="I98" s="39"/>
      <c r="J98" s="722"/>
    </row>
    <row r="99" spans="2:10" x14ac:dyDescent="0.2">
      <c r="B99" s="1270" t="str">
        <f>'Low Speed Shaft'!B66</f>
        <v>Moment arm</v>
      </c>
      <c r="C99" s="1271"/>
      <c r="D99" s="1005">
        <f>D94/5</f>
        <v>0.58140000000000003</v>
      </c>
      <c r="E99" s="1010" t="s">
        <v>1334</v>
      </c>
      <c r="F99" s="39"/>
      <c r="G99" s="39"/>
      <c r="H99" s="39"/>
      <c r="I99" s="39"/>
      <c r="J99" s="722"/>
    </row>
    <row r="100" spans="2:10" x14ac:dyDescent="0.2">
      <c r="B100" s="1270"/>
      <c r="C100" s="1271"/>
      <c r="D100" s="1005"/>
      <c r="E100" s="39"/>
      <c r="F100" s="39"/>
      <c r="G100" s="39"/>
      <c r="H100" s="39"/>
      <c r="I100" s="39"/>
      <c r="J100" s="722"/>
    </row>
    <row r="101" spans="2:10" x14ac:dyDescent="0.2">
      <c r="B101" s="723"/>
      <c r="C101" s="714"/>
      <c r="D101" s="60"/>
      <c r="E101" s="39"/>
      <c r="F101" s="39"/>
      <c r="G101" s="39"/>
      <c r="H101" s="39"/>
      <c r="I101" s="39"/>
      <c r="J101" s="722"/>
    </row>
    <row r="102" spans="2:10" x14ac:dyDescent="0.2">
      <c r="B102" s="723"/>
      <c r="C102" s="714"/>
      <c r="D102" s="60"/>
      <c r="E102" s="39"/>
      <c r="F102" s="39"/>
      <c r="G102" s="39"/>
      <c r="H102" s="39"/>
      <c r="I102" s="39"/>
      <c r="J102" s="722"/>
    </row>
    <row r="103" spans="2:10" x14ac:dyDescent="0.2">
      <c r="B103" s="723" t="s">
        <v>1335</v>
      </c>
      <c r="C103" s="714"/>
      <c r="D103" s="60"/>
      <c r="E103" s="39"/>
      <c r="F103" s="39"/>
      <c r="G103" s="39"/>
      <c r="H103" s="39"/>
      <c r="I103" s="39"/>
      <c r="J103" s="722"/>
    </row>
    <row r="104" spans="2:10" x14ac:dyDescent="0.2">
      <c r="B104" s="723"/>
      <c r="C104" s="714"/>
      <c r="D104" s="60"/>
      <c r="E104" s="39"/>
      <c r="F104" s="39"/>
      <c r="G104" s="39"/>
      <c r="H104" s="39"/>
      <c r="I104" s="39"/>
      <c r="J104" s="722"/>
    </row>
    <row r="105" spans="2:10" x14ac:dyDescent="0.2">
      <c r="B105" s="723"/>
      <c r="C105" s="714"/>
      <c r="D105" s="60"/>
      <c r="E105" s="39"/>
      <c r="F105" s="39"/>
      <c r="G105" s="39"/>
      <c r="H105" s="39"/>
      <c r="I105" s="39"/>
      <c r="J105" s="722"/>
    </row>
    <row r="106" spans="2:10" x14ac:dyDescent="0.2">
      <c r="B106" s="1270" t="s">
        <v>913</v>
      </c>
      <c r="C106" s="1271"/>
      <c r="D106" s="137">
        <f>'Low Speed Shaft'!B21</f>
        <v>9.98E-2</v>
      </c>
      <c r="E106" s="39"/>
      <c r="F106" s="39"/>
      <c r="G106" s="39"/>
      <c r="H106" s="39"/>
      <c r="I106" s="39"/>
      <c r="J106" s="722"/>
    </row>
    <row r="107" spans="2:10" x14ac:dyDescent="0.2">
      <c r="B107" s="1270" t="s">
        <v>914</v>
      </c>
      <c r="C107" s="1271"/>
      <c r="D107" s="137">
        <f>'Low Speed Shaft'!B22</f>
        <v>2.8873000000000002</v>
      </c>
      <c r="E107" s="39"/>
      <c r="F107" s="39"/>
      <c r="G107" s="39"/>
      <c r="H107" s="39"/>
      <c r="I107" s="39"/>
      <c r="J107" s="722"/>
    </row>
    <row r="108" spans="2:10" x14ac:dyDescent="0.2">
      <c r="B108" s="723"/>
      <c r="C108" s="275"/>
      <c r="D108" s="275"/>
      <c r="E108" s="39"/>
      <c r="F108" s="39"/>
      <c r="G108" s="39"/>
      <c r="H108" s="39"/>
      <c r="I108" s="39"/>
      <c r="J108" s="722"/>
    </row>
    <row r="109" spans="2:10" x14ac:dyDescent="0.2">
      <c r="B109" s="723" t="s">
        <v>915</v>
      </c>
      <c r="C109" s="275"/>
      <c r="D109" s="275"/>
      <c r="E109" s="39"/>
      <c r="F109" s="39"/>
      <c r="G109" s="39"/>
      <c r="H109" s="39"/>
      <c r="I109" s="39"/>
      <c r="J109" s="722"/>
    </row>
    <row r="110" spans="2:10" x14ac:dyDescent="0.2">
      <c r="B110" s="723"/>
      <c r="C110" s="275"/>
      <c r="D110" s="275"/>
      <c r="E110" s="39"/>
      <c r="F110" s="39"/>
      <c r="G110" s="39"/>
      <c r="H110" s="39"/>
      <c r="I110" s="39"/>
      <c r="J110" s="722"/>
    </row>
    <row r="111" spans="2:10" x14ac:dyDescent="0.2">
      <c r="B111" s="1318" t="str">
        <f>'Low Speed Shaft'!B56</f>
        <v>Rotor Speed (rpm)</v>
      </c>
      <c r="C111" s="1319"/>
      <c r="D111" s="1007">
        <f>(I6)/((D6/2)*(PI()/30))</f>
        <v>15.767672380621212</v>
      </c>
      <c r="E111" s="39"/>
      <c r="F111" s="39"/>
      <c r="G111" s="39"/>
      <c r="H111" s="39"/>
      <c r="I111" s="39"/>
      <c r="J111" s="722"/>
    </row>
    <row r="112" spans="2:10" x14ac:dyDescent="0.2">
      <c r="B112" s="1318" t="str">
        <f>'Low Speed Shaft'!B57</f>
        <v>Rotor Weight (kg)</v>
      </c>
      <c r="C112" s="1319"/>
      <c r="D112" s="1008">
        <f>'Cost &amp; Mass Functions'!D28*3+'Cost &amp; Mass Functions'!D43+'Cost &amp; Mass Functions'!D61+'Cost &amp; Mass Functions'!D85</f>
        <v>48759.874176558769</v>
      </c>
      <c r="E112" s="39"/>
      <c r="F112" s="39"/>
      <c r="G112" s="39"/>
      <c r="H112" s="39"/>
      <c r="I112" s="39"/>
      <c r="J112" s="722"/>
    </row>
    <row r="113" spans="2:10" x14ac:dyDescent="0.2">
      <c r="B113" s="1318" t="str">
        <f>'Low Speed Shaft'!B58</f>
        <v>Rotor Torque (Nm)</v>
      </c>
      <c r="C113" s="1319"/>
      <c r="D113" s="1008">
        <f>C6/(D111*(PI()/30))*1000</f>
        <v>1282108.125</v>
      </c>
      <c r="E113" s="39"/>
      <c r="F113" s="39"/>
      <c r="G113" s="39"/>
      <c r="H113" s="39"/>
      <c r="I113" s="39"/>
      <c r="J113" s="722"/>
    </row>
    <row r="114" spans="2:10" x14ac:dyDescent="0.2">
      <c r="B114" s="1272" t="s">
        <v>916</v>
      </c>
      <c r="C114" s="1273"/>
      <c r="D114" s="1006">
        <f>1.25*(PI()/4)*(D92^2-D93^2)*D94*7860</f>
        <v>11641.158693094339</v>
      </c>
      <c r="E114" s="39" t="s">
        <v>407</v>
      </c>
      <c r="F114" s="39"/>
      <c r="G114" s="39"/>
      <c r="H114" s="39"/>
      <c r="I114" s="39"/>
      <c r="J114" s="722"/>
    </row>
    <row r="115" spans="2:10" x14ac:dyDescent="0.2">
      <c r="B115" s="1272" t="s">
        <v>893</v>
      </c>
      <c r="C115" s="1273"/>
      <c r="D115" s="755">
        <f>D106*D6^D107</f>
        <v>54230.446825081759</v>
      </c>
      <c r="E115" s="39"/>
      <c r="F115" s="39"/>
      <c r="G115" s="39"/>
      <c r="H115" s="39"/>
      <c r="I115" s="39"/>
      <c r="J115" s="722"/>
    </row>
    <row r="116" spans="2:10" x14ac:dyDescent="0.2">
      <c r="B116" s="1272" t="s">
        <v>901</v>
      </c>
      <c r="C116" s="1273"/>
      <c r="D116" s="807">
        <f>'PPI Calculation'!D58</f>
        <v>1.5619314205738277</v>
      </c>
      <c r="E116" s="39"/>
      <c r="F116" s="39"/>
      <c r="G116" s="39"/>
      <c r="H116" s="39"/>
      <c r="I116" s="39"/>
      <c r="J116" s="722"/>
    </row>
    <row r="117" spans="2:10" x14ac:dyDescent="0.2">
      <c r="B117" s="1272" t="s">
        <v>917</v>
      </c>
      <c r="C117" s="1273"/>
      <c r="D117" s="755">
        <f>D115*D116</f>
        <v>84704.238847853383</v>
      </c>
      <c r="E117" s="39"/>
      <c r="F117" s="39"/>
      <c r="G117" s="39"/>
      <c r="H117" s="39"/>
      <c r="I117" s="39"/>
      <c r="J117" s="722"/>
    </row>
    <row r="118" spans="2:10" ht="13.5" thickBot="1" x14ac:dyDescent="0.25">
      <c r="B118" s="729"/>
      <c r="C118" s="730"/>
      <c r="D118" s="730"/>
      <c r="E118" s="732"/>
      <c r="F118" s="732"/>
      <c r="G118" s="732"/>
      <c r="H118" s="732"/>
      <c r="I118" s="732"/>
      <c r="J118" s="733"/>
    </row>
    <row r="119" spans="2:10" ht="13.5" thickTop="1" x14ac:dyDescent="0.2">
      <c r="B119" s="717" t="s">
        <v>931</v>
      </c>
      <c r="C119" s="737"/>
      <c r="D119" s="737"/>
      <c r="E119" s="738"/>
      <c r="F119" s="738"/>
      <c r="G119" s="738"/>
      <c r="H119" s="738"/>
      <c r="I119" s="738"/>
      <c r="J119" s="739"/>
    </row>
    <row r="120" spans="2:10" x14ac:dyDescent="0.2">
      <c r="B120" s="721"/>
      <c r="C120" s="275"/>
      <c r="D120" s="275"/>
      <c r="E120" s="39"/>
      <c r="F120" s="39"/>
      <c r="G120" s="39"/>
      <c r="H120" s="39"/>
      <c r="I120" s="39"/>
      <c r="J120" s="722"/>
    </row>
    <row r="121" spans="2:10" x14ac:dyDescent="0.2">
      <c r="B121" s="1270" t="s">
        <v>961</v>
      </c>
      <c r="C121" s="1313"/>
      <c r="D121" s="801">
        <f>Bearings!B18</f>
        <v>1.2266666666666668E-4</v>
      </c>
      <c r="E121" s="39"/>
      <c r="F121" s="39"/>
      <c r="G121" s="39"/>
      <c r="H121" s="39"/>
      <c r="I121" s="39"/>
      <c r="J121" s="722"/>
    </row>
    <row r="122" spans="2:10" x14ac:dyDescent="0.2">
      <c r="B122" s="1270" t="s">
        <v>962</v>
      </c>
      <c r="C122" s="1313"/>
      <c r="D122" s="801">
        <f>Bearings!B19</f>
        <v>-3.0360000000000001E-4</v>
      </c>
      <c r="E122" s="39"/>
      <c r="F122" s="39"/>
      <c r="G122" s="39"/>
      <c r="H122" s="39"/>
      <c r="I122" s="39"/>
      <c r="J122" s="722"/>
    </row>
    <row r="123" spans="2:10" x14ac:dyDescent="0.2">
      <c r="B123" s="1270" t="s">
        <v>966</v>
      </c>
      <c r="C123" s="1313"/>
      <c r="D123" s="791">
        <f>Bearings!B20</f>
        <v>17.600000000000001</v>
      </c>
      <c r="E123" t="s">
        <v>967</v>
      </c>
      <c r="F123" s="39"/>
      <c r="G123" s="39"/>
      <c r="H123" s="39"/>
      <c r="I123" s="39"/>
      <c r="J123" s="722"/>
    </row>
    <row r="124" spans="2:10" x14ac:dyDescent="0.2">
      <c r="B124" s="721"/>
      <c r="C124" s="275"/>
      <c r="D124" s="275"/>
      <c r="E124" s="39"/>
      <c r="F124" s="39"/>
      <c r="G124" s="39"/>
      <c r="H124" s="39"/>
      <c r="I124" s="39"/>
      <c r="J124" s="722"/>
    </row>
    <row r="125" spans="2:10" x14ac:dyDescent="0.2">
      <c r="B125" s="723" t="s">
        <v>499</v>
      </c>
      <c r="C125" s="275"/>
      <c r="D125" s="275"/>
      <c r="E125" s="39"/>
      <c r="F125" s="39"/>
      <c r="G125" s="39"/>
      <c r="H125" s="39"/>
      <c r="I125" s="39"/>
      <c r="J125" s="722"/>
    </row>
    <row r="126" spans="2:10" x14ac:dyDescent="0.2">
      <c r="B126" s="723" t="s">
        <v>963</v>
      </c>
      <c r="C126" s="275"/>
      <c r="D126" s="275"/>
      <c r="E126" s="39"/>
      <c r="F126" s="39"/>
      <c r="G126" s="39"/>
      <c r="H126" s="39"/>
      <c r="I126" s="39"/>
      <c r="J126" s="722"/>
    </row>
    <row r="127" spans="2:10" x14ac:dyDescent="0.2">
      <c r="B127" s="723" t="s">
        <v>964</v>
      </c>
      <c r="C127" s="275"/>
      <c r="D127" s="275"/>
      <c r="E127" s="39"/>
      <c r="F127" s="39"/>
      <c r="G127" s="39"/>
      <c r="H127" s="39"/>
      <c r="I127" s="39"/>
      <c r="J127" s="722"/>
    </row>
    <row r="128" spans="2:10" x14ac:dyDescent="0.2">
      <c r="B128" s="723" t="s">
        <v>965</v>
      </c>
      <c r="C128" s="275"/>
      <c r="D128" s="275"/>
      <c r="E128" s="39"/>
      <c r="F128" s="39"/>
      <c r="G128" s="39"/>
      <c r="H128" s="39"/>
      <c r="I128" s="39"/>
      <c r="J128" s="722"/>
    </row>
    <row r="129" spans="2:17" x14ac:dyDescent="0.2">
      <c r="B129" s="723"/>
      <c r="C129" s="275"/>
      <c r="D129" s="275"/>
      <c r="E129" s="39"/>
      <c r="F129" s="39"/>
      <c r="G129" s="39"/>
      <c r="H129" s="39"/>
      <c r="I129" s="39"/>
      <c r="J129" s="722"/>
    </row>
    <row r="130" spans="2:17" x14ac:dyDescent="0.2">
      <c r="B130" s="1289" t="s">
        <v>960</v>
      </c>
      <c r="C130" s="1281"/>
      <c r="D130" s="761">
        <f>D121*D6^3.5+D122*D6^2.5</f>
        <v>1070.5895503714687</v>
      </c>
      <c r="E130" s="39" t="s">
        <v>407</v>
      </c>
      <c r="F130" s="39"/>
      <c r="G130" s="39"/>
      <c r="H130" s="39"/>
      <c r="I130" s="39"/>
      <c r="J130" s="722"/>
    </row>
    <row r="131" spans="2:17" x14ac:dyDescent="0.2">
      <c r="B131" s="1289" t="s">
        <v>932</v>
      </c>
      <c r="C131" s="1281"/>
      <c r="D131" s="761">
        <f>D130</f>
        <v>1070.5895503714687</v>
      </c>
      <c r="E131" s="39" t="s">
        <v>935</v>
      </c>
      <c r="F131" s="39"/>
      <c r="G131" s="39"/>
      <c r="H131" s="39"/>
      <c r="I131" s="39"/>
      <c r="J131" s="722"/>
    </row>
    <row r="132" spans="2:17" x14ac:dyDescent="0.2">
      <c r="B132" s="1289" t="s">
        <v>933</v>
      </c>
      <c r="C132" s="1281"/>
      <c r="D132" s="761">
        <f>D130+D131</f>
        <v>2141.1791007429374</v>
      </c>
      <c r="E132" s="39" t="s">
        <v>407</v>
      </c>
      <c r="F132" s="39"/>
      <c r="G132" s="39"/>
      <c r="H132" s="39"/>
      <c r="I132" s="39"/>
      <c r="J132" s="722"/>
    </row>
    <row r="133" spans="2:17" x14ac:dyDescent="0.2">
      <c r="B133" s="1289" t="s">
        <v>1012</v>
      </c>
      <c r="C133" s="1281"/>
      <c r="D133" s="755">
        <f>D130*D123</f>
        <v>18842.37608653785</v>
      </c>
      <c r="E133" s="39"/>
      <c r="F133" s="39"/>
      <c r="G133" s="39"/>
      <c r="H133" s="39"/>
      <c r="I133" s="39"/>
      <c r="J133" s="722"/>
    </row>
    <row r="134" spans="2:17" x14ac:dyDescent="0.2">
      <c r="B134" s="1289" t="s">
        <v>1013</v>
      </c>
      <c r="C134" s="1281"/>
      <c r="D134" s="755">
        <f>D131*D123</f>
        <v>18842.37608653785</v>
      </c>
      <c r="E134" s="39"/>
      <c r="F134" s="39"/>
      <c r="G134" s="39"/>
      <c r="H134" s="39"/>
      <c r="I134" s="39"/>
      <c r="J134" s="722"/>
    </row>
    <row r="135" spans="2:17" x14ac:dyDescent="0.2">
      <c r="B135" s="1289" t="s">
        <v>1014</v>
      </c>
      <c r="C135" s="1281"/>
      <c r="D135" s="755">
        <f>D133+D134</f>
        <v>37684.7521730757</v>
      </c>
      <c r="E135" s="395"/>
      <c r="F135" s="39"/>
      <c r="G135" s="39"/>
      <c r="H135" s="39"/>
      <c r="I135" s="39"/>
      <c r="J135" s="722"/>
    </row>
    <row r="136" spans="2:17" x14ac:dyDescent="0.2">
      <c r="B136" s="1289" t="s">
        <v>894</v>
      </c>
      <c r="C136" s="1281"/>
      <c r="D136" s="807">
        <f>'PPI Calculation'!D64</f>
        <v>1.3421985815602837</v>
      </c>
      <c r="E136" s="395"/>
      <c r="F136" s="39"/>
      <c r="G136" s="39"/>
      <c r="H136" s="39"/>
      <c r="I136" s="39"/>
      <c r="J136" s="722"/>
    </row>
    <row r="137" spans="2:17" x14ac:dyDescent="0.2">
      <c r="B137" s="1289" t="s">
        <v>1015</v>
      </c>
      <c r="C137" s="1281"/>
      <c r="D137" s="755">
        <f>D136*D135</f>
        <v>50580.420913153022</v>
      </c>
      <c r="E137" s="734"/>
      <c r="F137" s="39"/>
      <c r="G137" s="39"/>
      <c r="H137" s="39"/>
      <c r="I137" s="39"/>
      <c r="J137" s="722"/>
    </row>
    <row r="138" spans="2:17" ht="13.5" thickBot="1" x14ac:dyDescent="0.25">
      <c r="B138" s="729"/>
      <c r="C138" s="730"/>
      <c r="D138" s="730"/>
      <c r="E138" s="732"/>
      <c r="F138" s="732"/>
      <c r="G138" s="732"/>
      <c r="H138" s="732"/>
      <c r="I138" s="732"/>
      <c r="J138" s="733"/>
    </row>
    <row r="139" spans="2:17" ht="13.5" thickTop="1" x14ac:dyDescent="0.2">
      <c r="B139" s="1060" t="s">
        <v>936</v>
      </c>
      <c r="C139" s="737"/>
      <c r="D139" s="737"/>
      <c r="E139" s="738"/>
      <c r="F139" s="738"/>
      <c r="G139" s="738"/>
      <c r="H139" s="738"/>
      <c r="I139" s="738"/>
      <c r="J139" s="739"/>
      <c r="K139" s="1060" t="s">
        <v>1445</v>
      </c>
      <c r="L139" s="738"/>
      <c r="M139" s="738"/>
      <c r="N139" s="738"/>
      <c r="O139" s="738"/>
      <c r="P139" s="738"/>
      <c r="Q139" s="739"/>
    </row>
    <row r="140" spans="2:17" x14ac:dyDescent="0.2">
      <c r="B140" s="721"/>
      <c r="C140" s="275"/>
      <c r="D140" s="275"/>
      <c r="E140" s="39"/>
      <c r="F140" s="39"/>
      <c r="G140" s="39"/>
      <c r="H140" s="39"/>
      <c r="I140" s="39"/>
      <c r="J140" s="722"/>
      <c r="K140" s="724"/>
      <c r="L140" s="39"/>
      <c r="M140" s="6"/>
      <c r="N140" s="6"/>
      <c r="O140" s="6"/>
      <c r="P140" s="6"/>
      <c r="Q140" s="722"/>
    </row>
    <row r="141" spans="2:17" x14ac:dyDescent="0.2">
      <c r="B141" s="751" t="s">
        <v>457</v>
      </c>
      <c r="C141" s="275"/>
      <c r="D141" s="275"/>
      <c r="E141" s="39"/>
      <c r="F141" s="39"/>
      <c r="G141" s="39"/>
      <c r="H141" s="39"/>
      <c r="I141" s="39"/>
      <c r="J141" s="722"/>
      <c r="K141" s="724"/>
      <c r="L141" s="1005" t="s">
        <v>251</v>
      </c>
      <c r="M141" s="1061">
        <v>1</v>
      </c>
      <c r="N141" s="1061">
        <v>2</v>
      </c>
      <c r="O141" s="1061">
        <v>3</v>
      </c>
      <c r="P141" s="1061">
        <v>4</v>
      </c>
      <c r="Q141" s="722"/>
    </row>
    <row r="142" spans="2:17" x14ac:dyDescent="0.2">
      <c r="B142" s="1280" t="s">
        <v>251</v>
      </c>
      <c r="C142" s="1292"/>
      <c r="D142" s="137">
        <v>1</v>
      </c>
      <c r="E142" s="1005">
        <v>2</v>
      </c>
      <c r="F142" s="137">
        <v>3</v>
      </c>
      <c r="G142" s="137">
        <v>4</v>
      </c>
      <c r="H142" s="39"/>
      <c r="I142" s="39"/>
      <c r="J142" s="722"/>
      <c r="K142" s="724"/>
      <c r="L142" s="1005" t="s">
        <v>813</v>
      </c>
      <c r="M142" s="1062">
        <f>'Drive Train Efficiency'!C4</f>
        <v>1.2894274449875391E-2</v>
      </c>
      <c r="N142" s="1062">
        <f>'Drive Train Efficiency'!D4</f>
        <v>1.3307334562839045E-2</v>
      </c>
      <c r="O142" s="1062">
        <f>'Drive Train Efficiency'!E4</f>
        <v>1.5473717106191873E-2</v>
      </c>
      <c r="P142" s="1062">
        <f>'Drive Train Efficiency'!F4</f>
        <v>1.0071854519359659E-2</v>
      </c>
      <c r="Q142" s="722"/>
    </row>
    <row r="143" spans="2:17" x14ac:dyDescent="0.2">
      <c r="B143" s="1280" t="s">
        <v>909</v>
      </c>
      <c r="C143" s="1292"/>
      <c r="D143" s="137">
        <f>Gearbox!B28</f>
        <v>65.600999999999999</v>
      </c>
      <c r="E143" s="137">
        <f>Gearbox!C28</f>
        <v>81.639673347138512</v>
      </c>
      <c r="F143" s="137">
        <f>Gearbox!D28</f>
        <v>129.17029242999348</v>
      </c>
      <c r="G143" s="137">
        <v>0</v>
      </c>
      <c r="H143" s="39"/>
      <c r="I143" s="39"/>
      <c r="J143" s="722"/>
      <c r="K143" s="724"/>
      <c r="L143" s="1005" t="s">
        <v>814</v>
      </c>
      <c r="M143" s="1062">
        <f>'Drive Train Efficiency'!C5</f>
        <v>8.5095282535470773E-2</v>
      </c>
      <c r="N143" s="1062">
        <f>'Drive Train Efficiency'!D5</f>
        <v>3.6547061795117138E-2</v>
      </c>
      <c r="O143" s="1062">
        <f>'Drive Train Efficiency'!E5</f>
        <v>4.4630774343240642E-2</v>
      </c>
      <c r="P143" s="1062">
        <f>'Drive Train Efficiency'!F5</f>
        <v>1.9995434426715326E-2</v>
      </c>
      <c r="Q143" s="722"/>
    </row>
    <row r="144" spans="2:17" x14ac:dyDescent="0.2">
      <c r="B144" s="1280" t="s">
        <v>390</v>
      </c>
      <c r="C144" s="1292"/>
      <c r="D144" s="137">
        <f>Gearbox!B29</f>
        <v>0.75900000000000001</v>
      </c>
      <c r="E144" s="137">
        <f>Gearbox!C29</f>
        <v>0.77380000000000004</v>
      </c>
      <c r="F144" s="137">
        <f>Gearbox!D29</f>
        <v>0.77380000000000004</v>
      </c>
      <c r="G144" s="137">
        <v>0</v>
      </c>
      <c r="H144" s="39"/>
      <c r="I144" s="39"/>
      <c r="J144" s="722"/>
      <c r="K144" s="724"/>
      <c r="L144" s="1005" t="s">
        <v>815</v>
      </c>
      <c r="M144" s="1062">
        <f>'Drive Train Efficiency'!C6</f>
        <v>0</v>
      </c>
      <c r="N144" s="1062">
        <f>'Drive Train Efficiency'!D6</f>
        <v>6.1066654501923376E-2</v>
      </c>
      <c r="O144" s="1062">
        <f>'Drive Train Efficiency'!E6</f>
        <v>5.7897639505788738E-2</v>
      </c>
      <c r="P144" s="1062">
        <f>'Drive Train Efficiency'!F6</f>
        <v>6.8990325587775916E-2</v>
      </c>
      <c r="Q144" s="722"/>
    </row>
    <row r="145" spans="2:17" x14ac:dyDescent="0.2">
      <c r="B145" s="721"/>
      <c r="C145" s="275"/>
      <c r="D145" s="275"/>
      <c r="E145" s="39"/>
      <c r="F145" s="39"/>
      <c r="G145" s="39"/>
      <c r="H145" s="39"/>
      <c r="I145" s="39"/>
      <c r="J145" s="722"/>
      <c r="K145" s="724"/>
      <c r="L145" s="39"/>
      <c r="M145" s="39"/>
      <c r="N145" s="39"/>
      <c r="O145" s="39"/>
      <c r="P145" s="39"/>
      <c r="Q145" s="722"/>
    </row>
    <row r="146" spans="2:17" ht="13.5" thickBot="1" x14ac:dyDescent="0.25">
      <c r="B146" s="751" t="s">
        <v>456</v>
      </c>
      <c r="C146" s="39"/>
      <c r="D146" s="39"/>
      <c r="E146" s="39"/>
      <c r="F146" s="39"/>
      <c r="G146" s="39"/>
      <c r="H146" s="39"/>
      <c r="I146" s="39"/>
      <c r="J146" s="722"/>
      <c r="K146" s="1059"/>
      <c r="L146" s="732"/>
      <c r="M146" s="732"/>
      <c r="N146" s="732"/>
      <c r="O146" s="732"/>
      <c r="P146" s="732"/>
      <c r="Q146" s="733"/>
    </row>
    <row r="147" spans="2:17" ht="13.5" thickTop="1" x14ac:dyDescent="0.2">
      <c r="B147" s="1280" t="s">
        <v>251</v>
      </c>
      <c r="C147" s="1320"/>
      <c r="D147" s="137">
        <v>1</v>
      </c>
      <c r="E147" s="137">
        <v>2</v>
      </c>
      <c r="F147" s="137">
        <v>3</v>
      </c>
      <c r="G147" s="137">
        <v>4</v>
      </c>
      <c r="H147" s="39"/>
      <c r="I147" s="39"/>
      <c r="J147" s="722"/>
    </row>
    <row r="148" spans="2:17" x14ac:dyDescent="0.2">
      <c r="B148" s="1290" t="s">
        <v>909</v>
      </c>
      <c r="C148" s="1291"/>
      <c r="D148" s="137">
        <f>16.45</f>
        <v>16.45</v>
      </c>
      <c r="E148" s="137">
        <v>74.100999999999999</v>
      </c>
      <c r="F148" s="137">
        <f>Gearbox!D23</f>
        <v>15.256970145754455</v>
      </c>
      <c r="G148" s="137">
        <v>0</v>
      </c>
      <c r="H148" s="39"/>
      <c r="I148" s="39"/>
      <c r="J148" s="722"/>
    </row>
    <row r="149" spans="2:17" x14ac:dyDescent="0.2">
      <c r="B149" s="1280" t="s">
        <v>390</v>
      </c>
      <c r="C149" s="1281"/>
      <c r="D149" s="137">
        <v>1.2491000000000001</v>
      </c>
      <c r="E149" s="137">
        <v>1.002</v>
      </c>
      <c r="F149" s="137">
        <v>1.2491000000000001</v>
      </c>
      <c r="G149" s="137">
        <v>0</v>
      </c>
      <c r="H149" s="39"/>
      <c r="I149" s="39"/>
      <c r="J149" s="722"/>
    </row>
    <row r="150" spans="2:17" x14ac:dyDescent="0.2">
      <c r="B150" s="725"/>
      <c r="C150" s="374"/>
      <c r="D150" s="60"/>
      <c r="E150" s="60"/>
      <c r="F150" s="60"/>
      <c r="G150" s="60"/>
      <c r="H150" s="39"/>
      <c r="I150" s="39"/>
      <c r="J150" s="722"/>
    </row>
    <row r="151" spans="2:17" x14ac:dyDescent="0.2">
      <c r="B151" s="725" t="s">
        <v>937</v>
      </c>
      <c r="C151" s="374"/>
      <c r="D151" s="60"/>
      <c r="E151" s="60"/>
      <c r="F151" s="60"/>
      <c r="G151" s="60"/>
      <c r="H151" s="39"/>
      <c r="I151" s="39"/>
      <c r="J151" s="722"/>
    </row>
    <row r="152" spans="2:17" x14ac:dyDescent="0.2">
      <c r="B152" s="725" t="s">
        <v>1021</v>
      </c>
      <c r="C152" s="374"/>
      <c r="D152" s="60"/>
      <c r="E152" s="60"/>
      <c r="F152" s="60"/>
      <c r="G152" s="60"/>
      <c r="H152" s="39"/>
      <c r="I152" s="39"/>
      <c r="J152" s="722"/>
    </row>
    <row r="153" spans="2:17" x14ac:dyDescent="0.2">
      <c r="B153" s="725"/>
      <c r="C153" s="374"/>
      <c r="D153" s="60"/>
      <c r="E153" s="60"/>
      <c r="F153" s="60"/>
      <c r="G153" s="60"/>
      <c r="H153" s="39"/>
      <c r="I153" s="39"/>
      <c r="J153" s="722"/>
    </row>
    <row r="154" spans="2:17" x14ac:dyDescent="0.2">
      <c r="B154" s="1272" t="s">
        <v>1016</v>
      </c>
      <c r="C154" s="1284"/>
      <c r="D154" s="808">
        <f>(I6)/((D6/2)*(PI()/30))</f>
        <v>15.767672380621212</v>
      </c>
      <c r="E154" s="60"/>
      <c r="F154" s="60"/>
      <c r="G154" s="60"/>
      <c r="H154" s="39"/>
      <c r="I154" s="39"/>
      <c r="J154" s="722"/>
    </row>
    <row r="155" spans="2:17" x14ac:dyDescent="0.2">
      <c r="B155" s="1272" t="s">
        <v>1017</v>
      </c>
      <c r="C155" s="1284"/>
      <c r="D155" s="809">
        <f>C6/(D154*(PI()/30))</f>
        <v>1282.108125</v>
      </c>
      <c r="E155" s="39"/>
      <c r="F155" s="39"/>
      <c r="G155" s="39"/>
      <c r="H155" s="39"/>
      <c r="I155" s="39"/>
      <c r="J155" s="722"/>
    </row>
    <row r="156" spans="2:17" x14ac:dyDescent="0.2">
      <c r="B156" s="1282" t="s">
        <v>1018</v>
      </c>
      <c r="C156" s="1283"/>
      <c r="D156" s="810">
        <f>HLOOKUP(H6,D142:G144,2)*D155^HLOOKUP(H6,D142:G144,3)</f>
        <v>14990.815905586207</v>
      </c>
      <c r="E156" s="39" t="s">
        <v>407</v>
      </c>
      <c r="F156" s="39"/>
      <c r="G156" s="39"/>
      <c r="H156" s="39"/>
      <c r="I156" s="39"/>
      <c r="J156" s="722"/>
    </row>
    <row r="157" spans="2:17" x14ac:dyDescent="0.2">
      <c r="B157" s="1289" t="s">
        <v>1019</v>
      </c>
      <c r="C157" s="1295"/>
      <c r="D157" s="755">
        <f>HLOOKUP(H6,D147:G149,2)*B6^HLOOKUP(H6,D147:G149,3)</f>
        <v>206302.59048079237</v>
      </c>
      <c r="E157" s="39"/>
      <c r="F157" s="39"/>
      <c r="G157" s="39"/>
      <c r="H157" s="39"/>
      <c r="I157" s="39"/>
      <c r="J157" s="722"/>
    </row>
    <row r="158" spans="2:17" x14ac:dyDescent="0.2">
      <c r="B158" s="1289" t="s">
        <v>894</v>
      </c>
      <c r="C158" s="1295"/>
      <c r="D158" s="757">
        <f>'PPI Calculation'!D70</f>
        <v>1.3456416464891043</v>
      </c>
      <c r="E158" s="39"/>
      <c r="F158" s="39"/>
      <c r="G158" s="39"/>
      <c r="H158" s="39"/>
      <c r="I158" s="39"/>
      <c r="J158" s="722"/>
    </row>
    <row r="159" spans="2:17" x14ac:dyDescent="0.2">
      <c r="B159" s="1289" t="s">
        <v>1020</v>
      </c>
      <c r="C159" s="1295"/>
      <c r="D159" s="755">
        <f>D157*D158</f>
        <v>277609.35752954084</v>
      </c>
      <c r="E159" s="39"/>
      <c r="F159" s="39"/>
      <c r="G159" s="39"/>
      <c r="H159" s="39"/>
      <c r="I159" s="39"/>
      <c r="J159" s="722"/>
    </row>
    <row r="160" spans="2:17" ht="13.5" thickBot="1" x14ac:dyDescent="0.25">
      <c r="B160" s="729"/>
      <c r="C160" s="730"/>
      <c r="D160" s="730"/>
      <c r="E160" s="732"/>
      <c r="F160" s="732"/>
      <c r="G160" s="732"/>
      <c r="H160" s="732"/>
      <c r="I160" s="732"/>
      <c r="J160" s="733"/>
    </row>
    <row r="161" spans="2:10" ht="13.5" thickTop="1" x14ac:dyDescent="0.2">
      <c r="B161" s="717" t="s">
        <v>1022</v>
      </c>
      <c r="C161" s="737"/>
      <c r="D161" s="737"/>
      <c r="E161" s="738"/>
      <c r="F161" s="738"/>
      <c r="G161" s="738"/>
      <c r="H161" s="738"/>
      <c r="I161" s="738"/>
      <c r="J161" s="739"/>
    </row>
    <row r="162" spans="2:10" x14ac:dyDescent="0.2">
      <c r="B162" s="723"/>
      <c r="C162" s="275"/>
      <c r="D162" s="275"/>
      <c r="E162" s="39"/>
      <c r="F162" s="39"/>
      <c r="G162" s="39"/>
      <c r="H162" s="39"/>
      <c r="I162" s="39"/>
      <c r="J162" s="722"/>
    </row>
    <row r="163" spans="2:10" x14ac:dyDescent="0.2">
      <c r="B163" s="1293" t="s">
        <v>1024</v>
      </c>
      <c r="C163" s="1294"/>
      <c r="D163" s="137">
        <v>1.9894000000000001</v>
      </c>
      <c r="E163" s="39"/>
      <c r="F163" s="39"/>
      <c r="G163" s="39"/>
      <c r="H163" s="39"/>
      <c r="I163" s="39"/>
      <c r="J163" s="722"/>
    </row>
    <row r="164" spans="2:10" x14ac:dyDescent="0.2">
      <c r="B164" s="1293" t="s">
        <v>1025</v>
      </c>
      <c r="C164" s="1294"/>
      <c r="D164" s="137">
        <v>-0.11409999999999999</v>
      </c>
      <c r="E164" s="39"/>
      <c r="F164" s="39"/>
      <c r="G164" s="39"/>
      <c r="H164" s="39"/>
      <c r="I164" s="39"/>
      <c r="J164" s="722"/>
    </row>
    <row r="165" spans="2:10" x14ac:dyDescent="0.2">
      <c r="B165" s="723"/>
      <c r="C165" s="275"/>
      <c r="D165" s="275"/>
      <c r="E165" s="39"/>
      <c r="F165" s="39"/>
      <c r="G165" s="39"/>
      <c r="H165" s="39"/>
      <c r="I165" s="39"/>
      <c r="J165" s="722"/>
    </row>
    <row r="166" spans="2:10" x14ac:dyDescent="0.2">
      <c r="B166" s="723" t="s">
        <v>1026</v>
      </c>
      <c r="C166" s="275"/>
      <c r="D166" s="275"/>
      <c r="E166" s="39"/>
      <c r="F166" s="39"/>
      <c r="G166" s="39"/>
      <c r="H166" s="39"/>
      <c r="I166" s="39"/>
      <c r="J166" s="722"/>
    </row>
    <row r="167" spans="2:10" x14ac:dyDescent="0.2">
      <c r="B167" s="723"/>
      <c r="C167" s="275"/>
      <c r="D167" s="275"/>
      <c r="E167" s="39"/>
      <c r="F167" s="39"/>
      <c r="G167" s="39"/>
      <c r="H167" s="39"/>
      <c r="I167" s="39"/>
      <c r="J167" s="722"/>
    </row>
    <row r="168" spans="2:10" x14ac:dyDescent="0.2">
      <c r="B168" s="723" t="s">
        <v>1027</v>
      </c>
      <c r="C168" s="275"/>
      <c r="D168" s="275"/>
      <c r="E168" s="39"/>
      <c r="F168" s="39"/>
      <c r="G168" s="39"/>
      <c r="H168" s="39"/>
      <c r="I168" s="39"/>
      <c r="J168" s="722"/>
    </row>
    <row r="169" spans="2:10" x14ac:dyDescent="0.2">
      <c r="B169" s="723"/>
      <c r="C169" s="275"/>
      <c r="D169" s="275"/>
      <c r="E169" s="39"/>
      <c r="F169" s="39"/>
      <c r="G169" s="39"/>
      <c r="H169" s="39"/>
      <c r="I169" s="39"/>
      <c r="J169" s="722"/>
    </row>
    <row r="170" spans="2:10" x14ac:dyDescent="0.2">
      <c r="B170" s="1272" t="s">
        <v>1028</v>
      </c>
      <c r="C170" s="1273"/>
      <c r="D170" s="755">
        <f>D163*B6+D164</f>
        <v>3799.6399000000001</v>
      </c>
      <c r="E170" s="39"/>
      <c r="F170" s="39"/>
      <c r="G170" s="39"/>
      <c r="H170" s="39"/>
      <c r="I170" s="39"/>
      <c r="J170" s="722"/>
    </row>
    <row r="171" spans="2:10" x14ac:dyDescent="0.2">
      <c r="B171" s="415" t="s">
        <v>894</v>
      </c>
      <c r="C171" s="756"/>
      <c r="D171" s="757">
        <f>'PPI Calculation'!D76</f>
        <v>1.0262417994376758</v>
      </c>
      <c r="E171" s="39"/>
      <c r="F171" s="39"/>
      <c r="G171" s="39"/>
      <c r="H171" s="39"/>
      <c r="I171" s="39"/>
      <c r="J171" s="722"/>
    </row>
    <row r="172" spans="2:10" x14ac:dyDescent="0.2">
      <c r="B172" s="1272" t="s">
        <v>1029</v>
      </c>
      <c r="C172" s="1273"/>
      <c r="D172" s="755">
        <f>D170*D171</f>
        <v>3899.3492881911907</v>
      </c>
      <c r="E172" s="39"/>
      <c r="F172" s="39"/>
      <c r="G172" s="39"/>
      <c r="H172" s="39"/>
      <c r="I172" s="39"/>
      <c r="J172" s="722"/>
    </row>
    <row r="173" spans="2:10" x14ac:dyDescent="0.2">
      <c r="B173" s="1272" t="s">
        <v>1030</v>
      </c>
      <c r="C173" s="1273"/>
      <c r="D173" s="416">
        <f>D170/10</f>
        <v>379.96399000000002</v>
      </c>
      <c r="E173" s="39" t="s">
        <v>407</v>
      </c>
      <c r="F173" s="39"/>
      <c r="G173" s="39"/>
      <c r="H173" s="39"/>
      <c r="I173" s="39"/>
      <c r="J173" s="722"/>
    </row>
    <row r="174" spans="2:10" ht="13.5" thickBot="1" x14ac:dyDescent="0.25">
      <c r="B174" s="729"/>
      <c r="C174" s="730"/>
      <c r="D174" s="730"/>
      <c r="E174" s="732"/>
      <c r="F174" s="732"/>
      <c r="G174" s="732"/>
      <c r="H174" s="732"/>
      <c r="I174" s="732"/>
      <c r="J174" s="733"/>
    </row>
    <row r="175" spans="2:10" ht="13.5" thickTop="1" x14ac:dyDescent="0.2">
      <c r="B175" s="717" t="s">
        <v>1034</v>
      </c>
      <c r="C175" s="737"/>
      <c r="D175" s="737"/>
      <c r="E175" s="738"/>
      <c r="F175" s="738"/>
      <c r="G175" s="738"/>
      <c r="H175" s="738"/>
      <c r="I175" s="738"/>
      <c r="J175" s="739"/>
    </row>
    <row r="176" spans="2:10" x14ac:dyDescent="0.2">
      <c r="B176" s="723"/>
      <c r="C176" s="275"/>
      <c r="D176" s="275"/>
      <c r="E176" s="39"/>
      <c r="F176" s="39"/>
      <c r="G176" s="39"/>
      <c r="H176" s="39"/>
      <c r="I176" s="39"/>
      <c r="J176" s="722"/>
    </row>
    <row r="177" spans="2:10" x14ac:dyDescent="0.2">
      <c r="B177" s="751" t="s">
        <v>1032</v>
      </c>
      <c r="C177" s="39"/>
      <c r="D177" s="39"/>
      <c r="E177" s="39"/>
      <c r="F177" s="39"/>
      <c r="G177" s="39"/>
      <c r="H177" s="39"/>
      <c r="I177" s="39"/>
      <c r="J177" s="722"/>
    </row>
    <row r="178" spans="2:10" x14ac:dyDescent="0.2">
      <c r="B178" s="1280" t="s">
        <v>251</v>
      </c>
      <c r="C178" s="1281"/>
      <c r="D178" s="137">
        <v>1</v>
      </c>
      <c r="E178" s="137">
        <v>2</v>
      </c>
      <c r="F178" s="137">
        <v>3</v>
      </c>
      <c r="G178" s="137">
        <v>4</v>
      </c>
      <c r="H178" s="39"/>
      <c r="I178" s="39"/>
      <c r="J178" s="722"/>
    </row>
    <row r="179" spans="2:10" x14ac:dyDescent="0.2">
      <c r="B179" s="1280" t="s">
        <v>909</v>
      </c>
      <c r="C179" s="1281"/>
      <c r="D179" s="532">
        <v>6.4737</v>
      </c>
      <c r="E179" s="532">
        <f>Generators!D27</f>
        <v>10.509719405470749</v>
      </c>
      <c r="F179" s="532">
        <f>Generators!E27</f>
        <v>5.3429022884795074</v>
      </c>
      <c r="G179" s="532">
        <f>Generators!F27</f>
        <v>37.683999999999997</v>
      </c>
      <c r="H179" s="39"/>
      <c r="I179" s="39"/>
      <c r="J179" s="722"/>
    </row>
    <row r="180" spans="2:10" x14ac:dyDescent="0.2">
      <c r="B180" s="1280" t="s">
        <v>390</v>
      </c>
      <c r="C180" s="1281"/>
      <c r="D180" s="137">
        <v>0.92230000000000001</v>
      </c>
      <c r="E180" s="137">
        <v>0.92230000000000001</v>
      </c>
      <c r="F180" s="137">
        <v>0.92230000000000001</v>
      </c>
      <c r="G180" s="137">
        <f>Generators!F28</f>
        <v>1</v>
      </c>
      <c r="H180" s="39"/>
      <c r="I180" s="39"/>
      <c r="J180" s="722"/>
    </row>
    <row r="181" spans="2:10" x14ac:dyDescent="0.2">
      <c r="B181" s="723"/>
      <c r="C181" s="275"/>
      <c r="D181" s="275"/>
      <c r="E181" s="39"/>
      <c r="F181" s="39"/>
      <c r="G181" s="39"/>
      <c r="H181" s="39"/>
      <c r="I181" s="39"/>
      <c r="J181" s="722"/>
    </row>
    <row r="182" spans="2:10" x14ac:dyDescent="0.2">
      <c r="B182" s="751" t="s">
        <v>1031</v>
      </c>
      <c r="C182" s="275"/>
      <c r="D182" s="275"/>
      <c r="E182" s="39"/>
      <c r="F182" s="39"/>
      <c r="G182" s="39"/>
      <c r="H182" s="39"/>
      <c r="I182" s="39"/>
      <c r="J182" s="722"/>
    </row>
    <row r="183" spans="2:10" x14ac:dyDescent="0.2">
      <c r="B183" s="1270" t="s">
        <v>251</v>
      </c>
      <c r="C183" s="1287"/>
      <c r="D183" s="137">
        <v>1</v>
      </c>
      <c r="E183" s="137">
        <v>2</v>
      </c>
      <c r="F183" s="137">
        <v>3</v>
      </c>
      <c r="G183" s="137">
        <v>4</v>
      </c>
      <c r="H183" s="39"/>
      <c r="I183" s="39"/>
      <c r="J183" s="722"/>
    </row>
    <row r="184" spans="2:10" x14ac:dyDescent="0.2">
      <c r="B184" s="1270" t="s">
        <v>1033</v>
      </c>
      <c r="C184" s="1287"/>
      <c r="D184" s="137">
        <f>65</f>
        <v>65</v>
      </c>
      <c r="E184" s="532">
        <f>Generators!D23</f>
        <v>54.725333333333332</v>
      </c>
      <c r="F184" s="532">
        <f>Generators!E23</f>
        <v>48.029629629629632</v>
      </c>
      <c r="G184" s="532">
        <f>Generators!F23</f>
        <v>219.33333333333334</v>
      </c>
      <c r="H184" s="39"/>
      <c r="I184" s="39"/>
      <c r="J184" s="722"/>
    </row>
    <row r="185" spans="2:10" x14ac:dyDescent="0.2">
      <c r="B185" s="723"/>
      <c r="C185" s="275"/>
      <c r="D185" s="275"/>
      <c r="E185" s="39"/>
      <c r="F185" s="39"/>
      <c r="G185" s="39"/>
      <c r="H185" s="39"/>
      <c r="I185" s="39"/>
      <c r="J185" s="722"/>
    </row>
    <row r="186" spans="2:10" x14ac:dyDescent="0.2">
      <c r="B186" s="723" t="s">
        <v>1039</v>
      </c>
      <c r="C186" s="275"/>
      <c r="D186" s="275"/>
      <c r="E186" s="39"/>
      <c r="F186" s="39"/>
      <c r="G186" s="39"/>
      <c r="H186" s="39"/>
      <c r="I186" s="39"/>
      <c r="J186" s="722"/>
    </row>
    <row r="187" spans="2:10" x14ac:dyDescent="0.2">
      <c r="B187" s="723"/>
      <c r="C187" s="275"/>
      <c r="D187" s="275"/>
      <c r="E187" s="39"/>
      <c r="F187" s="39"/>
      <c r="G187" s="39"/>
      <c r="H187" s="39"/>
      <c r="I187" s="39"/>
      <c r="J187" s="722"/>
    </row>
    <row r="188" spans="2:10" x14ac:dyDescent="0.2">
      <c r="B188" s="723" t="s">
        <v>1040</v>
      </c>
      <c r="C188" s="275"/>
      <c r="D188" s="275"/>
      <c r="E188" s="39"/>
      <c r="F188" s="39"/>
      <c r="G188" s="39"/>
      <c r="H188" s="39"/>
      <c r="I188" s="39"/>
      <c r="J188" s="722"/>
    </row>
    <row r="189" spans="2:10" x14ac:dyDescent="0.2">
      <c r="B189" s="723"/>
      <c r="C189" s="275"/>
      <c r="D189" s="275"/>
      <c r="E189" s="39"/>
      <c r="F189" s="39"/>
      <c r="G189" s="39"/>
      <c r="H189" s="39"/>
      <c r="I189" s="39"/>
      <c r="J189" s="722"/>
    </row>
    <row r="190" spans="2:10" x14ac:dyDescent="0.2">
      <c r="B190" s="723" t="s">
        <v>1035</v>
      </c>
      <c r="C190" s="275"/>
      <c r="D190" s="275"/>
      <c r="E190" s="39"/>
      <c r="F190" s="39"/>
      <c r="G190" s="39"/>
      <c r="H190" s="39"/>
      <c r="I190" s="39"/>
      <c r="J190" s="722"/>
    </row>
    <row r="191" spans="2:10" x14ac:dyDescent="0.2">
      <c r="B191" s="723"/>
      <c r="C191" s="275"/>
      <c r="D191" s="275"/>
      <c r="E191" s="39"/>
      <c r="F191" s="39"/>
      <c r="G191" s="39"/>
      <c r="H191" s="39"/>
      <c r="I191" s="39"/>
      <c r="J191" s="722"/>
    </row>
    <row r="192" spans="2:10" x14ac:dyDescent="0.2">
      <c r="B192" s="1272" t="s">
        <v>1016</v>
      </c>
      <c r="C192" s="1288"/>
      <c r="D192" s="808">
        <f>(I6)/((D6/2)*(PI()/30))</f>
        <v>15.767672380621212</v>
      </c>
      <c r="E192" s="39"/>
      <c r="F192" s="39"/>
      <c r="G192" s="39"/>
      <c r="H192" s="39"/>
      <c r="I192" s="39"/>
      <c r="J192" s="722"/>
    </row>
    <row r="193" spans="2:10" x14ac:dyDescent="0.2">
      <c r="B193" s="1272" t="s">
        <v>1017</v>
      </c>
      <c r="C193" s="1288"/>
      <c r="D193" s="809">
        <f>C6/(D192*(PI()/30))</f>
        <v>1282.108125</v>
      </c>
      <c r="E193" s="39"/>
      <c r="F193" s="39"/>
      <c r="G193" s="39"/>
      <c r="H193" s="39"/>
      <c r="I193" s="39"/>
      <c r="J193" s="722"/>
    </row>
    <row r="194" spans="2:10" x14ac:dyDescent="0.2">
      <c r="B194" s="1272" t="s">
        <v>1038</v>
      </c>
      <c r="C194" s="1288"/>
      <c r="D194" s="416">
        <f>IF(H6=4,(HLOOKUP(H6,D178:G180,2)*D193^HLOOKUP(H6,D178:G180,3)),(HLOOKUP(H6,D178:G180,2)*B6^HLOOKUP(H6,D178:G180,3)))</f>
        <v>6874.634992897807</v>
      </c>
      <c r="E194" s="39" t="s">
        <v>407</v>
      </c>
      <c r="F194" s="39"/>
      <c r="G194" s="39"/>
      <c r="H194" s="39"/>
      <c r="I194" s="39"/>
      <c r="J194" s="722"/>
    </row>
    <row r="195" spans="2:10" x14ac:dyDescent="0.2">
      <c r="B195" s="1272" t="s">
        <v>1037</v>
      </c>
      <c r="C195" s="1288"/>
      <c r="D195" s="755">
        <f>(HLOOKUP(H6,D183:G184,2)*B6)</f>
        <v>124150</v>
      </c>
      <c r="E195" s="39"/>
      <c r="F195" s="39"/>
      <c r="G195" s="39"/>
      <c r="H195" s="39"/>
      <c r="I195" s="39"/>
      <c r="J195" s="722"/>
    </row>
    <row r="196" spans="2:10" x14ac:dyDescent="0.2">
      <c r="B196" s="415" t="s">
        <v>901</v>
      </c>
      <c r="C196" s="756"/>
      <c r="D196" s="757">
        <f>'PPI Calculation'!D82</f>
        <v>1.3123659756969264</v>
      </c>
      <c r="E196" s="39"/>
      <c r="F196" s="39"/>
      <c r="G196" s="39"/>
      <c r="H196" s="39"/>
      <c r="I196" s="39"/>
      <c r="J196" s="722"/>
    </row>
    <row r="197" spans="2:10" x14ac:dyDescent="0.2">
      <c r="B197" s="415" t="s">
        <v>1036</v>
      </c>
      <c r="C197" s="756"/>
      <c r="D197" s="755">
        <f>D195*D196</f>
        <v>162930.23588277341</v>
      </c>
      <c r="E197" s="39"/>
      <c r="F197" s="39"/>
      <c r="G197" s="39"/>
      <c r="H197" s="39"/>
      <c r="I197" s="39"/>
      <c r="J197" s="722"/>
    </row>
    <row r="198" spans="2:10" ht="13.5" thickBot="1" x14ac:dyDescent="0.25">
      <c r="B198" s="729"/>
      <c r="C198" s="730"/>
      <c r="D198" s="730"/>
      <c r="E198" s="732"/>
      <c r="F198" s="732"/>
      <c r="G198" s="732"/>
      <c r="H198" s="732"/>
      <c r="I198" s="732"/>
      <c r="J198" s="733"/>
    </row>
    <row r="199" spans="2:10" ht="13.5" thickTop="1" x14ac:dyDescent="0.2">
      <c r="B199" s="717" t="s">
        <v>1041</v>
      </c>
      <c r="C199" s="737"/>
      <c r="D199" s="737"/>
      <c r="E199" s="738"/>
      <c r="F199" s="738"/>
      <c r="G199" s="738"/>
      <c r="H199" s="738"/>
      <c r="I199" s="738"/>
      <c r="J199" s="739"/>
    </row>
    <row r="200" spans="2:10" x14ac:dyDescent="0.2">
      <c r="B200" s="723"/>
      <c r="C200" s="275"/>
      <c r="D200" s="275"/>
      <c r="E200" s="39"/>
      <c r="F200" s="39"/>
      <c r="G200" s="39"/>
      <c r="H200" s="39"/>
      <c r="I200" s="39"/>
      <c r="J200" s="722"/>
    </row>
    <row r="201" spans="2:10" x14ac:dyDescent="0.2">
      <c r="B201" s="1270" t="s">
        <v>517</v>
      </c>
      <c r="C201" s="1284"/>
      <c r="D201" s="762">
        <v>79.319999999999993</v>
      </c>
      <c r="E201" s="39"/>
      <c r="F201" s="39"/>
      <c r="G201" s="39"/>
      <c r="H201" s="39"/>
      <c r="I201" s="39"/>
      <c r="J201" s="722"/>
    </row>
    <row r="202" spans="2:10" x14ac:dyDescent="0.2">
      <c r="B202" s="723"/>
      <c r="C202" s="275"/>
      <c r="D202" s="275"/>
      <c r="E202" s="39"/>
      <c r="F202" s="39"/>
      <c r="G202" s="39"/>
      <c r="H202" s="39"/>
      <c r="I202" s="39"/>
      <c r="J202" s="722"/>
    </row>
    <row r="203" spans="2:10" x14ac:dyDescent="0.2">
      <c r="B203" s="723" t="s">
        <v>1042</v>
      </c>
      <c r="C203" s="275"/>
      <c r="D203" s="275"/>
      <c r="E203" s="39"/>
      <c r="F203" s="39"/>
      <c r="G203" s="39"/>
      <c r="H203" s="39"/>
      <c r="I203" s="39"/>
      <c r="J203" s="722"/>
    </row>
    <row r="204" spans="2:10" x14ac:dyDescent="0.2">
      <c r="B204" s="723"/>
      <c r="C204" s="275"/>
      <c r="D204" s="275"/>
      <c r="E204" s="39"/>
      <c r="F204" s="39"/>
      <c r="G204" s="39"/>
      <c r="H204" s="39"/>
      <c r="I204" s="39"/>
      <c r="J204" s="722"/>
    </row>
    <row r="205" spans="2:10" x14ac:dyDescent="0.2">
      <c r="B205" s="1272" t="s">
        <v>1043</v>
      </c>
      <c r="C205" s="1273"/>
      <c r="D205" s="755">
        <f>B6*D201</f>
        <v>151501.19999999998</v>
      </c>
      <c r="E205" s="39"/>
      <c r="F205" s="39"/>
      <c r="G205" s="39"/>
      <c r="H205" s="39"/>
      <c r="I205" s="39"/>
      <c r="J205" s="722"/>
    </row>
    <row r="206" spans="2:10" x14ac:dyDescent="0.2">
      <c r="B206" s="1272" t="s">
        <v>894</v>
      </c>
      <c r="C206" s="1273"/>
      <c r="D206" s="757">
        <f>'PPI Calculation'!D88</f>
        <v>1.3181818181818181</v>
      </c>
      <c r="E206" s="39"/>
      <c r="F206" s="39"/>
      <c r="G206" s="39"/>
      <c r="H206" s="39"/>
      <c r="I206" s="39"/>
      <c r="J206" s="722"/>
    </row>
    <row r="207" spans="2:10" x14ac:dyDescent="0.2">
      <c r="B207" s="1272" t="s">
        <v>1044</v>
      </c>
      <c r="C207" s="1273"/>
      <c r="D207" s="755">
        <f>D205*D206</f>
        <v>199706.12727272723</v>
      </c>
      <c r="E207" s="39"/>
      <c r="F207" s="39"/>
      <c r="G207" s="39"/>
      <c r="H207" s="39"/>
      <c r="I207" s="39"/>
      <c r="J207" s="722"/>
    </row>
    <row r="208" spans="2:10" ht="13.5" thickBot="1" x14ac:dyDescent="0.25">
      <c r="B208" s="729"/>
      <c r="C208" s="730"/>
      <c r="D208" s="730"/>
      <c r="E208" s="732"/>
      <c r="F208" s="732"/>
      <c r="G208" s="732"/>
      <c r="H208" s="732"/>
      <c r="I208" s="732"/>
      <c r="J208" s="733"/>
    </row>
    <row r="209" spans="2:10" ht="13.5" thickTop="1" x14ac:dyDescent="0.2">
      <c r="B209" s="717" t="s">
        <v>1045</v>
      </c>
      <c r="C209" s="737"/>
      <c r="D209" s="737"/>
      <c r="E209" s="738"/>
      <c r="F209" s="738"/>
      <c r="G209" s="738"/>
      <c r="H209" s="738"/>
      <c r="I209" s="738"/>
      <c r="J209" s="739"/>
    </row>
    <row r="210" spans="2:10" x14ac:dyDescent="0.2">
      <c r="B210" s="723"/>
      <c r="C210" s="275"/>
      <c r="D210" s="275"/>
      <c r="E210" s="39"/>
      <c r="F210" s="39"/>
      <c r="G210" s="39"/>
      <c r="H210" s="39"/>
      <c r="I210" s="39"/>
      <c r="J210" s="722"/>
    </row>
    <row r="211" spans="2:10" x14ac:dyDescent="0.2">
      <c r="B211" s="1270" t="s">
        <v>1046</v>
      </c>
      <c r="C211" s="1271"/>
      <c r="D211" s="137">
        <f>'Yaw Drive &amp; Bearing'!B15</f>
        <v>8.9999999999999998E-4</v>
      </c>
      <c r="E211" s="39"/>
      <c r="F211" s="39"/>
      <c r="G211" s="39"/>
      <c r="H211" s="39"/>
      <c r="I211" s="39"/>
      <c r="J211" s="722"/>
    </row>
    <row r="212" spans="2:10" x14ac:dyDescent="0.2">
      <c r="B212" s="1270" t="s">
        <v>1047</v>
      </c>
      <c r="C212" s="1271"/>
      <c r="D212" s="137">
        <f>'Yaw Drive &amp; Bearing'!B16</f>
        <v>3.3140000000000001</v>
      </c>
      <c r="E212" s="39"/>
      <c r="F212" s="39"/>
      <c r="G212" s="39"/>
      <c r="H212" s="39"/>
      <c r="I212" s="39"/>
      <c r="J212" s="722"/>
    </row>
    <row r="213" spans="2:10" x14ac:dyDescent="0.2">
      <c r="B213" s="723"/>
      <c r="C213" s="275"/>
      <c r="D213" s="275"/>
      <c r="E213" s="39"/>
      <c r="F213" s="39"/>
      <c r="G213" s="39"/>
      <c r="H213" s="39"/>
      <c r="I213" s="39"/>
      <c r="J213" s="722"/>
    </row>
    <row r="214" spans="2:10" x14ac:dyDescent="0.2">
      <c r="B214" s="1270" t="s">
        <v>1048</v>
      </c>
      <c r="C214" s="1271"/>
      <c r="D214" s="137">
        <f>'Yaw Drive &amp; Bearing'!B18</f>
        <v>3.39E-2</v>
      </c>
      <c r="E214" s="39"/>
      <c r="F214" s="39"/>
      <c r="G214" s="39"/>
      <c r="H214" s="39"/>
      <c r="I214" s="39"/>
      <c r="J214" s="722"/>
    </row>
    <row r="215" spans="2:10" x14ac:dyDescent="0.2">
      <c r="B215" s="1270" t="s">
        <v>1049</v>
      </c>
      <c r="C215" s="1271"/>
      <c r="D215" s="137">
        <f>'Yaw Drive &amp; Bearing'!B19</f>
        <v>2.9636999999999998</v>
      </c>
      <c r="E215" s="39"/>
      <c r="F215" s="39"/>
      <c r="G215" s="39"/>
      <c r="H215" s="39"/>
      <c r="I215" s="39"/>
      <c r="J215" s="722"/>
    </row>
    <row r="216" spans="2:10" x14ac:dyDescent="0.2">
      <c r="B216" s="723"/>
      <c r="C216" s="275"/>
      <c r="D216" s="275"/>
      <c r="E216" s="39"/>
      <c r="F216" s="39"/>
      <c r="G216" s="39"/>
      <c r="H216" s="39"/>
      <c r="I216" s="39"/>
      <c r="J216" s="722"/>
    </row>
    <row r="217" spans="2:10" x14ac:dyDescent="0.2">
      <c r="B217" s="723" t="s">
        <v>1050</v>
      </c>
      <c r="C217" s="275"/>
      <c r="D217" s="275"/>
      <c r="E217" s="39"/>
      <c r="F217" s="39"/>
      <c r="G217" s="39"/>
      <c r="H217" s="39"/>
      <c r="I217" s="39"/>
      <c r="J217" s="722"/>
    </row>
    <row r="218" spans="2:10" x14ac:dyDescent="0.2">
      <c r="B218" s="723"/>
      <c r="C218" s="275"/>
      <c r="D218" s="275"/>
      <c r="E218" s="39"/>
      <c r="F218" s="39"/>
      <c r="G218" s="39"/>
      <c r="H218" s="39"/>
      <c r="I218" s="39"/>
      <c r="J218" s="722"/>
    </row>
    <row r="219" spans="2:10" x14ac:dyDescent="0.2">
      <c r="B219" s="723" t="s">
        <v>1051</v>
      </c>
      <c r="C219" s="275"/>
      <c r="D219" s="275"/>
      <c r="E219" s="39"/>
      <c r="F219" s="39"/>
      <c r="G219" s="39"/>
      <c r="H219" s="39"/>
      <c r="I219" s="39"/>
      <c r="J219" s="722"/>
    </row>
    <row r="220" spans="2:10" x14ac:dyDescent="0.2">
      <c r="B220" s="723"/>
      <c r="C220" s="275"/>
      <c r="D220" s="275"/>
      <c r="E220" s="39"/>
      <c r="F220" s="39"/>
      <c r="G220" s="39"/>
      <c r="H220" s="39"/>
      <c r="I220" s="39"/>
      <c r="J220" s="722"/>
    </row>
    <row r="221" spans="2:10" x14ac:dyDescent="0.2">
      <c r="B221" s="1272" t="s">
        <v>1053</v>
      </c>
      <c r="C221" s="1273"/>
      <c r="D221" s="761">
        <f xml:space="preserve"> 1.6*(D211*D6^D212)</f>
        <v>5508.5778216046474</v>
      </c>
      <c r="E221" s="39" t="s">
        <v>407</v>
      </c>
      <c r="F221" s="39"/>
      <c r="G221" s="39"/>
      <c r="H221" s="39"/>
      <c r="I221" s="39"/>
      <c r="J221" s="722"/>
    </row>
    <row r="222" spans="2:10" x14ac:dyDescent="0.2">
      <c r="B222" s="1272" t="s">
        <v>1052</v>
      </c>
      <c r="C222" s="1273"/>
      <c r="D222" s="755">
        <f>2*(D214*D6^D215)</f>
        <v>52251.344738528052</v>
      </c>
      <c r="E222" s="39"/>
      <c r="F222" s="39"/>
      <c r="G222" s="39"/>
      <c r="H222" s="39"/>
      <c r="I222" s="39"/>
      <c r="J222" s="722"/>
    </row>
    <row r="223" spans="2:10" x14ac:dyDescent="0.2">
      <c r="B223" s="1272" t="s">
        <v>894</v>
      </c>
      <c r="C223" s="1273"/>
      <c r="D223" s="757">
        <f>'PPI Calculation'!D97</f>
        <v>1.3936928736678422</v>
      </c>
      <c r="E223" s="39"/>
      <c r="F223" s="39"/>
      <c r="G223" s="39"/>
      <c r="H223" s="39"/>
      <c r="I223" s="39"/>
      <c r="J223" s="722"/>
    </row>
    <row r="224" spans="2:10" x14ac:dyDescent="0.2">
      <c r="B224" s="1272" t="s">
        <v>1054</v>
      </c>
      <c r="C224" s="1273"/>
      <c r="D224" s="755">
        <f>D222*D223</f>
        <v>72822.326801648247</v>
      </c>
      <c r="E224" s="39"/>
      <c r="F224" s="39"/>
      <c r="G224" s="39"/>
      <c r="H224" s="39"/>
      <c r="I224" s="39"/>
      <c r="J224" s="722"/>
    </row>
    <row r="225" spans="2:10" ht="13.5" thickBot="1" x14ac:dyDescent="0.25">
      <c r="B225" s="729"/>
      <c r="C225" s="730"/>
      <c r="D225" s="730"/>
      <c r="E225" s="732"/>
      <c r="F225" s="732"/>
      <c r="G225" s="732"/>
      <c r="H225" s="732"/>
      <c r="I225" s="732"/>
      <c r="J225" s="733"/>
    </row>
    <row r="226" spans="2:10" ht="13.5" thickTop="1" x14ac:dyDescent="0.2">
      <c r="B226" s="717" t="s">
        <v>1070</v>
      </c>
      <c r="C226" s="737"/>
      <c r="D226" s="737"/>
      <c r="E226" s="738"/>
      <c r="F226" s="738"/>
      <c r="G226" s="738"/>
      <c r="H226" s="738"/>
      <c r="I226" s="738"/>
      <c r="J226" s="739"/>
    </row>
    <row r="227" spans="2:10" x14ac:dyDescent="0.2">
      <c r="B227" s="723"/>
      <c r="C227" s="275"/>
      <c r="D227" s="275"/>
      <c r="E227" s="39"/>
      <c r="F227" s="39"/>
      <c r="G227" s="39"/>
      <c r="H227" s="39"/>
      <c r="I227" s="39"/>
      <c r="J227" s="722"/>
    </row>
    <row r="228" spans="2:10" x14ac:dyDescent="0.2">
      <c r="B228" s="1321" t="s">
        <v>1349</v>
      </c>
      <c r="C228" s="1322"/>
      <c r="D228" s="1322"/>
      <c r="E228" s="39"/>
      <c r="F228" s="39"/>
      <c r="G228" s="39"/>
      <c r="H228" s="39"/>
      <c r="I228" s="39"/>
      <c r="J228" s="722"/>
    </row>
    <row r="229" spans="2:10" x14ac:dyDescent="0.2">
      <c r="B229" s="1285" t="s">
        <v>1327</v>
      </c>
      <c r="C229" s="1286"/>
      <c r="D229" s="1019">
        <f>'AEP Input Output sheet'!B18</f>
        <v>10.16862880696292</v>
      </c>
      <c r="E229" s="39"/>
      <c r="F229" s="39"/>
      <c r="G229" s="39"/>
      <c r="H229" s="39"/>
      <c r="I229" s="39"/>
      <c r="J229" s="722"/>
    </row>
    <row r="230" spans="2:10" x14ac:dyDescent="0.2">
      <c r="B230" s="1285" t="s">
        <v>1339</v>
      </c>
      <c r="C230" s="1286"/>
      <c r="D230" s="1024">
        <f>D235*0.00368*D270</f>
        <v>13493.931594</v>
      </c>
      <c r="E230" s="278" t="s">
        <v>1354</v>
      </c>
      <c r="F230" s="39"/>
      <c r="G230" s="39"/>
      <c r="H230" s="39"/>
      <c r="I230" s="39"/>
      <c r="J230" s="722"/>
    </row>
    <row r="231" spans="2:10" x14ac:dyDescent="0.2">
      <c r="B231" s="1285" t="s">
        <v>1340</v>
      </c>
      <c r="C231" s="1286"/>
      <c r="D231" s="1024">
        <f>0.00158*D235*D239*D236</f>
        <v>3845.7313956690791</v>
      </c>
      <c r="E231" s="278" t="s">
        <v>1355</v>
      </c>
      <c r="F231" s="39"/>
      <c r="G231" s="39"/>
      <c r="H231" s="39"/>
      <c r="I231" s="39"/>
      <c r="J231" s="722"/>
    </row>
    <row r="232" spans="2:10" x14ac:dyDescent="0.2">
      <c r="B232" s="1285" t="s">
        <v>1341</v>
      </c>
      <c r="C232" s="1286"/>
      <c r="D232" s="1024">
        <f>0.015*D235*D269*D236</f>
        <v>8030.2077456857942</v>
      </c>
      <c r="E232" s="278" t="s">
        <v>1356</v>
      </c>
      <c r="F232" s="39"/>
      <c r="G232" s="39"/>
      <c r="H232" s="39"/>
      <c r="I232" s="39"/>
      <c r="J232" s="722"/>
    </row>
    <row r="233" spans="2:10" x14ac:dyDescent="0.2">
      <c r="B233" s="1285" t="s">
        <v>1342</v>
      </c>
      <c r="C233" s="1286"/>
      <c r="D233" s="1024">
        <f>100*D235*D237</f>
        <v>9148.7767664068269</v>
      </c>
      <c r="E233" s="394" t="s">
        <v>1357</v>
      </c>
      <c r="F233" s="39"/>
      <c r="G233" s="39"/>
      <c r="H233" s="39"/>
      <c r="I233" s="39"/>
      <c r="J233" s="722"/>
    </row>
    <row r="234" spans="2:10" x14ac:dyDescent="0.2">
      <c r="B234" s="1285" t="s">
        <v>123</v>
      </c>
      <c r="C234" s="1286"/>
      <c r="D234" s="1024">
        <f>SUM(D230:D233)</f>
        <v>34518.647501761705</v>
      </c>
      <c r="E234" s="394" t="s">
        <v>1358</v>
      </c>
      <c r="F234" s="39"/>
      <c r="G234" s="39"/>
      <c r="H234" s="39"/>
      <c r="I234" s="39"/>
      <c r="J234" s="722"/>
    </row>
    <row r="235" spans="2:10" x14ac:dyDescent="0.2">
      <c r="B235" s="1285" t="s">
        <v>1343</v>
      </c>
      <c r="C235" s="1286"/>
      <c r="D235" s="1019">
        <v>2.86</v>
      </c>
      <c r="E235" s="39"/>
      <c r="F235" s="39"/>
      <c r="G235" s="39"/>
      <c r="H235" s="39"/>
      <c r="I235" s="39"/>
      <c r="J235" s="722"/>
    </row>
    <row r="236" spans="2:10" x14ac:dyDescent="0.2">
      <c r="B236" s="1285" t="s">
        <v>1344</v>
      </c>
      <c r="C236" s="1286"/>
      <c r="D236" s="1011">
        <f>(12.29*D6+2648)/1000</f>
        <v>3.8389009999999999</v>
      </c>
      <c r="E236" s="39"/>
      <c r="F236" s="39"/>
      <c r="G236" s="39"/>
      <c r="H236" s="39"/>
      <c r="I236" s="39"/>
      <c r="J236" s="722"/>
    </row>
    <row r="237" spans="2:10" ht="17.25" x14ac:dyDescent="0.25">
      <c r="B237" s="1285" t="s">
        <v>1353</v>
      </c>
      <c r="C237" s="1286"/>
      <c r="D237" s="1011">
        <f>D238^2/2</f>
        <v>31.988729952471424</v>
      </c>
      <c r="E237" s="394" t="s">
        <v>1359</v>
      </c>
      <c r="F237" s="39"/>
      <c r="G237" s="39"/>
      <c r="H237" s="39"/>
      <c r="I237" s="39"/>
      <c r="J237" s="722"/>
    </row>
    <row r="238" spans="2:10" x14ac:dyDescent="0.2">
      <c r="B238" s="1285" t="s">
        <v>1346</v>
      </c>
      <c r="C238" s="1286"/>
      <c r="D238" s="1011">
        <f>1.5874*0.052*D6</f>
        <v>7.9985911199999995</v>
      </c>
      <c r="E238" s="394" t="s">
        <v>1360</v>
      </c>
      <c r="F238" s="39"/>
      <c r="G238" s="39"/>
      <c r="H238" s="39"/>
      <c r="I238" s="39"/>
      <c r="J238" s="722"/>
    </row>
    <row r="239" spans="2:10" x14ac:dyDescent="0.2">
      <c r="B239" s="1285" t="s">
        <v>1347</v>
      </c>
      <c r="C239" s="1286"/>
      <c r="D239" s="1011">
        <f>K6*D240*PI()*D6^2*(D229^2/8)</f>
        <v>221691.43535719998</v>
      </c>
      <c r="E239" s="39"/>
      <c r="F239" s="39"/>
      <c r="G239" s="39"/>
      <c r="H239" s="39"/>
      <c r="I239" s="39"/>
      <c r="J239" s="722"/>
    </row>
    <row r="240" spans="2:10" ht="14.25" x14ac:dyDescent="0.25">
      <c r="B240" s="1285" t="s">
        <v>1362</v>
      </c>
      <c r="C240" s="1286"/>
      <c r="D240" s="1011">
        <v>0.5</v>
      </c>
      <c r="E240" s="39"/>
      <c r="F240" s="39"/>
      <c r="G240" s="39"/>
      <c r="H240" s="39"/>
      <c r="I240" s="39"/>
      <c r="J240" s="722"/>
    </row>
    <row r="241" spans="2:10" x14ac:dyDescent="0.2">
      <c r="B241" s="723"/>
      <c r="C241" s="275"/>
      <c r="D241" s="275"/>
      <c r="E241" s="39"/>
      <c r="F241" s="39"/>
      <c r="G241" s="39"/>
      <c r="H241" s="39"/>
      <c r="I241" s="39"/>
      <c r="J241" s="722"/>
    </row>
    <row r="242" spans="2:10" x14ac:dyDescent="0.2">
      <c r="B242" s="723"/>
      <c r="C242" s="275"/>
      <c r="D242" s="275"/>
      <c r="E242" s="39"/>
      <c r="F242" s="39"/>
      <c r="G242" s="39"/>
      <c r="H242" s="39"/>
      <c r="I242" s="39"/>
      <c r="J242" s="722"/>
    </row>
    <row r="243" spans="2:10" x14ac:dyDescent="0.2">
      <c r="B243" s="723" t="s">
        <v>1361</v>
      </c>
      <c r="C243" s="275"/>
      <c r="D243" s="275"/>
      <c r="E243" s="39"/>
      <c r="F243" s="39"/>
      <c r="G243" s="39"/>
      <c r="H243" s="39"/>
      <c r="I243" s="39"/>
      <c r="J243" s="722"/>
    </row>
    <row r="244" spans="2:10" x14ac:dyDescent="0.2">
      <c r="B244" s="723"/>
      <c r="C244" s="275"/>
      <c r="D244" s="275"/>
      <c r="E244" s="39"/>
      <c r="F244" s="39"/>
      <c r="G244" s="39"/>
      <c r="H244" s="39"/>
      <c r="I244" s="39"/>
      <c r="J244" s="722"/>
    </row>
    <row r="245" spans="2:10" x14ac:dyDescent="0.2">
      <c r="B245" s="723"/>
      <c r="C245" s="275"/>
      <c r="D245" s="275"/>
      <c r="E245" s="39"/>
      <c r="F245" s="39"/>
      <c r="G245" s="39"/>
      <c r="H245" s="39"/>
      <c r="I245" s="39"/>
      <c r="J245" s="722"/>
    </row>
    <row r="246" spans="2:10" x14ac:dyDescent="0.2">
      <c r="B246" s="751" t="s">
        <v>730</v>
      </c>
      <c r="C246" s="275"/>
      <c r="D246" s="275"/>
      <c r="E246" s="39"/>
      <c r="F246" s="39"/>
      <c r="G246" s="39"/>
      <c r="H246" s="39"/>
      <c r="I246" s="39"/>
      <c r="J246" s="722"/>
    </row>
    <row r="247" spans="2:10" x14ac:dyDescent="0.2">
      <c r="B247" s="1270" t="s">
        <v>251</v>
      </c>
      <c r="C247" s="1287"/>
      <c r="D247" s="137">
        <v>1</v>
      </c>
      <c r="E247" s="137">
        <v>2</v>
      </c>
      <c r="F247" s="137">
        <v>3</v>
      </c>
      <c r="G247" s="137">
        <v>4</v>
      </c>
      <c r="H247" s="39"/>
      <c r="I247" s="39"/>
      <c r="J247" s="722"/>
    </row>
    <row r="248" spans="2:10" x14ac:dyDescent="0.2">
      <c r="B248" s="1270" t="s">
        <v>911</v>
      </c>
      <c r="C248" s="1287"/>
      <c r="D248" s="796">
        <f>D234</f>
        <v>34518.647501761705</v>
      </c>
      <c r="E248" s="535">
        <f>Mainframe!C34</f>
        <v>1.2948999999999999</v>
      </c>
      <c r="F248" s="535">
        <f>Mainframe!D34</f>
        <v>1.7208041621170276</v>
      </c>
      <c r="G248" s="796">
        <f>D234*0.55</f>
        <v>18985.256125968939</v>
      </c>
      <c r="H248" s="39"/>
      <c r="I248" s="39"/>
      <c r="J248" s="722"/>
    </row>
    <row r="249" spans="2:10" x14ac:dyDescent="0.2">
      <c r="B249" s="1270" t="s">
        <v>912</v>
      </c>
      <c r="C249" s="1287"/>
      <c r="D249" s="137">
        <v>0</v>
      </c>
      <c r="E249" s="137">
        <f>Mainframe!C35</f>
        <v>1.9524999999999999</v>
      </c>
      <c r="F249" s="137">
        <f>Mainframe!D35</f>
        <v>1.9524999999999999</v>
      </c>
      <c r="G249" s="137">
        <v>0</v>
      </c>
      <c r="H249" s="39"/>
      <c r="I249" s="39"/>
      <c r="J249" s="722"/>
    </row>
    <row r="250" spans="2:10" x14ac:dyDescent="0.2">
      <c r="B250" s="723"/>
      <c r="C250" s="275"/>
      <c r="D250" s="275"/>
      <c r="E250" s="39"/>
      <c r="F250" s="39"/>
      <c r="G250" s="39"/>
      <c r="H250" s="39"/>
      <c r="I250" s="39"/>
      <c r="J250" s="722"/>
    </row>
    <row r="251" spans="2:10" x14ac:dyDescent="0.2">
      <c r="B251" s="723" t="s">
        <v>521</v>
      </c>
      <c r="C251" s="275"/>
      <c r="D251" s="275"/>
      <c r="E251" s="39"/>
      <c r="F251" s="39"/>
      <c r="G251" s="39"/>
      <c r="H251" s="39"/>
      <c r="I251" s="39"/>
      <c r="J251" s="722"/>
    </row>
    <row r="252" spans="2:10" x14ac:dyDescent="0.2">
      <c r="B252" s="1270" t="s">
        <v>251</v>
      </c>
      <c r="C252" s="1313"/>
      <c r="D252" s="137">
        <v>1</v>
      </c>
      <c r="E252" s="137">
        <v>2</v>
      </c>
      <c r="F252" s="137">
        <v>3</v>
      </c>
      <c r="G252" s="137">
        <v>4</v>
      </c>
      <c r="H252" s="39"/>
      <c r="I252" s="39"/>
      <c r="J252" s="722"/>
    </row>
    <row r="253" spans="2:10" x14ac:dyDescent="0.2">
      <c r="B253" s="1270" t="s">
        <v>82</v>
      </c>
      <c r="C253" s="1313"/>
      <c r="D253" s="535">
        <f>Mainframe!B29</f>
        <v>9.4885000000000002</v>
      </c>
      <c r="E253" s="535">
        <f>Mainframe!C29</f>
        <v>303.95999999999998</v>
      </c>
      <c r="F253" s="535">
        <f>Mainframe!D29</f>
        <v>17.922999999999998</v>
      </c>
      <c r="G253" s="535">
        <f>Mainframe!E29</f>
        <v>627.28</v>
      </c>
      <c r="H253" s="39"/>
      <c r="I253" s="39"/>
      <c r="J253" s="722"/>
    </row>
    <row r="254" spans="2:10" x14ac:dyDescent="0.2">
      <c r="B254" s="1270" t="s">
        <v>255</v>
      </c>
      <c r="C254" s="1313"/>
      <c r="D254" s="137">
        <f>Mainframe!B30</f>
        <v>1.9524999999999999</v>
      </c>
      <c r="E254" s="137">
        <f>Mainframe!C30</f>
        <v>1.0669</v>
      </c>
      <c r="F254" s="137">
        <f>Mainframe!D30</f>
        <v>1.6716</v>
      </c>
      <c r="G254" s="137">
        <f>Mainframe!E30</f>
        <v>0.85</v>
      </c>
      <c r="H254" s="39"/>
      <c r="I254" s="39"/>
      <c r="J254" s="722"/>
    </row>
    <row r="255" spans="2:10" x14ac:dyDescent="0.2">
      <c r="B255" s="723"/>
      <c r="C255" s="275"/>
      <c r="D255" s="275"/>
      <c r="E255" s="39"/>
      <c r="F255" s="39"/>
      <c r="G255" s="39"/>
      <c r="H255" s="39"/>
      <c r="I255" s="39"/>
      <c r="J255" s="722"/>
    </row>
    <row r="256" spans="2:10" x14ac:dyDescent="0.2">
      <c r="B256" s="723" t="s">
        <v>1352</v>
      </c>
      <c r="C256" s="275"/>
      <c r="D256" s="275"/>
      <c r="E256" s="39"/>
      <c r="F256" s="39"/>
      <c r="G256" s="39"/>
      <c r="H256" s="39"/>
      <c r="I256" s="39"/>
      <c r="J256" s="722"/>
    </row>
    <row r="257" spans="2:10" x14ac:dyDescent="0.2">
      <c r="B257" s="723"/>
      <c r="C257" s="275"/>
      <c r="D257" s="275"/>
      <c r="E257" s="39"/>
      <c r="F257" s="39"/>
      <c r="G257" s="39"/>
      <c r="H257" s="39"/>
      <c r="I257" s="39"/>
      <c r="J257" s="722"/>
    </row>
    <row r="258" spans="2:10" x14ac:dyDescent="0.2">
      <c r="B258" s="723" t="s">
        <v>1055</v>
      </c>
      <c r="C258" s="275"/>
      <c r="D258" s="275"/>
      <c r="E258" s="39"/>
      <c r="F258" s="39"/>
      <c r="G258" s="39"/>
      <c r="H258" s="39"/>
      <c r="I258" s="39"/>
      <c r="J258" s="722"/>
    </row>
    <row r="259" spans="2:10" x14ac:dyDescent="0.2">
      <c r="B259" s="723"/>
      <c r="C259" s="275"/>
      <c r="D259" s="275"/>
      <c r="E259" s="39"/>
      <c r="F259" s="39"/>
      <c r="G259" s="39"/>
      <c r="H259" s="39"/>
      <c r="I259" s="39"/>
      <c r="J259" s="722"/>
    </row>
    <row r="260" spans="2:10" x14ac:dyDescent="0.2">
      <c r="B260" s="723" t="s">
        <v>1056</v>
      </c>
      <c r="C260" s="275"/>
      <c r="D260" s="275"/>
      <c r="E260" s="39"/>
      <c r="F260" s="39"/>
      <c r="G260" s="39"/>
      <c r="H260" s="39"/>
      <c r="I260" s="39"/>
      <c r="J260" s="722"/>
    </row>
    <row r="261" spans="2:10" x14ac:dyDescent="0.2">
      <c r="B261" s="723"/>
      <c r="C261" s="275"/>
      <c r="D261" s="275"/>
      <c r="E261" s="39"/>
      <c r="F261" s="39"/>
      <c r="G261" s="39"/>
      <c r="H261" s="39"/>
      <c r="I261" s="39"/>
      <c r="J261" s="722"/>
    </row>
    <row r="262" spans="2:10" x14ac:dyDescent="0.2">
      <c r="B262" s="723" t="s">
        <v>1057</v>
      </c>
      <c r="C262" s="275"/>
      <c r="D262" s="275"/>
      <c r="E262" s="39"/>
      <c r="F262" s="39"/>
      <c r="G262" s="39"/>
      <c r="H262" s="39"/>
      <c r="I262" s="39"/>
      <c r="J262" s="722"/>
    </row>
    <row r="263" spans="2:10" x14ac:dyDescent="0.2">
      <c r="B263" s="723"/>
      <c r="C263" s="275"/>
      <c r="D263" s="275"/>
      <c r="E263" s="39"/>
      <c r="F263" s="39"/>
      <c r="G263" s="39"/>
      <c r="H263" s="39"/>
      <c r="I263" s="39"/>
      <c r="J263" s="722"/>
    </row>
    <row r="264" spans="2:10" x14ac:dyDescent="0.2">
      <c r="B264" s="723" t="s">
        <v>1069</v>
      </c>
      <c r="C264" s="275"/>
      <c r="D264" s="275"/>
      <c r="E264" s="39"/>
      <c r="F264" s="39"/>
      <c r="G264" s="39"/>
      <c r="H264" s="39"/>
      <c r="I264" s="39"/>
      <c r="J264" s="722"/>
    </row>
    <row r="265" spans="2:10" x14ac:dyDescent="0.2">
      <c r="B265" s="723"/>
      <c r="C265" s="275"/>
      <c r="D265" s="275"/>
      <c r="E265" s="39"/>
      <c r="F265" s="39"/>
      <c r="G265" s="39"/>
      <c r="H265" s="39"/>
      <c r="I265" s="39"/>
      <c r="J265" s="722"/>
    </row>
    <row r="266" spans="2:10" x14ac:dyDescent="0.2">
      <c r="B266" s="723" t="s">
        <v>1058</v>
      </c>
      <c r="C266" s="275"/>
      <c r="D266" s="275"/>
      <c r="E266" s="39"/>
      <c r="F266" s="39"/>
      <c r="G266" s="39"/>
      <c r="H266" s="39"/>
      <c r="I266" s="39"/>
      <c r="J266" s="722"/>
    </row>
    <row r="267" spans="2:10" x14ac:dyDescent="0.2">
      <c r="B267" s="723"/>
      <c r="C267" s="275"/>
      <c r="D267" s="275"/>
      <c r="E267" s="39"/>
      <c r="F267" s="39"/>
      <c r="G267" s="39"/>
      <c r="H267" s="39"/>
      <c r="I267" s="39"/>
      <c r="J267" s="722"/>
    </row>
    <row r="268" spans="2:10" x14ac:dyDescent="0.2">
      <c r="B268" s="1325" t="s">
        <v>1328</v>
      </c>
      <c r="C268" s="1326"/>
      <c r="D268" s="1007">
        <f>(I6)/((D6/2)*(PI()/30))</f>
        <v>15.767672380621212</v>
      </c>
      <c r="E268" s="39"/>
      <c r="F268" s="39"/>
      <c r="G268" s="39"/>
      <c r="H268" s="39"/>
      <c r="I268" s="39"/>
      <c r="J268" s="722"/>
    </row>
    <row r="269" spans="2:10" x14ac:dyDescent="0.2">
      <c r="B269" s="1325" t="s">
        <v>1315</v>
      </c>
      <c r="C269" s="1326"/>
      <c r="D269" s="1006">
        <f>'Cost &amp; Mass Functions'!D28*3+'Cost &amp; Mass Functions'!D43+'Cost &amp; Mass Functions'!D61+'Cost &amp; Mass Functions'!D85</f>
        <v>48759.874176558769</v>
      </c>
      <c r="E269" s="39"/>
      <c r="F269" s="39"/>
      <c r="G269" s="39"/>
      <c r="H269" s="39"/>
      <c r="I269" s="39"/>
      <c r="J269" s="722"/>
    </row>
    <row r="270" spans="2:10" x14ac:dyDescent="0.2">
      <c r="B270" s="1325" t="s">
        <v>1316</v>
      </c>
      <c r="C270" s="1326"/>
      <c r="D270" s="1006">
        <f>C6/(D268*(PI()/30))*1000</f>
        <v>1282108.125</v>
      </c>
      <c r="E270" s="39"/>
      <c r="F270" s="39"/>
      <c r="G270" s="39"/>
      <c r="H270" s="39"/>
      <c r="I270" s="39"/>
      <c r="J270" s="722"/>
    </row>
    <row r="271" spans="2:10" x14ac:dyDescent="0.2">
      <c r="B271" s="1323" t="s">
        <v>1065</v>
      </c>
      <c r="C271" s="1324"/>
      <c r="D271" s="774">
        <f>HLOOKUP(H6,D247:G249,2)*D6^(HLOOKUP(H6,D247:G249,3))</f>
        <v>34518.647501761705</v>
      </c>
      <c r="E271" s="39" t="s">
        <v>1075</v>
      </c>
      <c r="F271" s="39"/>
      <c r="G271" s="39"/>
      <c r="H271" s="39"/>
      <c r="I271" s="39"/>
      <c r="J271" s="722"/>
    </row>
    <row r="272" spans="2:10" x14ac:dyDescent="0.2">
      <c r="B272" s="1272" t="s">
        <v>1066</v>
      </c>
      <c r="C272" s="1273"/>
      <c r="D272" s="761">
        <f>0.125 *D271</f>
        <v>4314.8309377202131</v>
      </c>
      <c r="E272" s="39" t="s">
        <v>1075</v>
      </c>
      <c r="F272" s="39"/>
      <c r="G272" s="39"/>
      <c r="H272" s="39"/>
      <c r="I272" s="39"/>
      <c r="J272" s="722"/>
    </row>
    <row r="273" spans="2:10" x14ac:dyDescent="0.2">
      <c r="B273" s="1272" t="s">
        <v>1067</v>
      </c>
      <c r="C273" s="1273"/>
      <c r="D273" s="774">
        <f>IF(J6=1,3000,)</f>
        <v>3000</v>
      </c>
      <c r="E273" s="39" t="s">
        <v>1075</v>
      </c>
      <c r="F273" s="39"/>
      <c r="G273" s="39"/>
      <c r="H273" s="39"/>
      <c r="I273" s="39"/>
      <c r="J273" s="722"/>
    </row>
    <row r="274" spans="2:10" x14ac:dyDescent="0.2">
      <c r="B274" s="1272" t="s">
        <v>1068</v>
      </c>
      <c r="C274" s="1273"/>
      <c r="D274" s="416">
        <f>SUM(D271:D273)</f>
        <v>41833.478439481914</v>
      </c>
      <c r="E274" s="39" t="s">
        <v>1075</v>
      </c>
      <c r="F274" s="39"/>
      <c r="G274" s="39"/>
      <c r="H274" s="39"/>
      <c r="I274" s="39"/>
      <c r="J274" s="722"/>
    </row>
    <row r="275" spans="2:10" x14ac:dyDescent="0.2">
      <c r="B275" s="1272" t="s">
        <v>1059</v>
      </c>
      <c r="C275" s="1273"/>
      <c r="D275" s="775">
        <f>HLOOKUP(H6,D252:G254,2)*D6^(HLOOKUP(H6,D252:G254,3))</f>
        <v>71695.968642457708</v>
      </c>
      <c r="E275" s="39"/>
      <c r="F275" s="39"/>
      <c r="G275" s="39"/>
      <c r="H275" s="39"/>
      <c r="I275" s="39"/>
      <c r="J275" s="722"/>
    </row>
    <row r="276" spans="2:10" x14ac:dyDescent="0.2">
      <c r="B276" s="1298" t="s">
        <v>1064</v>
      </c>
      <c r="C276" s="1273"/>
      <c r="D276" s="755">
        <f>D272*8.7</f>
        <v>37539.029158165853</v>
      </c>
      <c r="E276" s="39"/>
      <c r="F276" s="39"/>
      <c r="G276" s="39"/>
      <c r="H276" s="39"/>
      <c r="I276" s="39"/>
      <c r="J276" s="722"/>
    </row>
    <row r="277" spans="2:10" x14ac:dyDescent="0.2">
      <c r="B277" s="1272" t="s">
        <v>1063</v>
      </c>
      <c r="C277" s="1273"/>
      <c r="D277" s="775">
        <f>IF(J6=1,12000,)</f>
        <v>12000</v>
      </c>
      <c r="E277" s="39"/>
      <c r="F277" s="39"/>
      <c r="G277" s="39"/>
      <c r="H277" s="39"/>
      <c r="I277" s="39"/>
      <c r="J277" s="722"/>
    </row>
    <row r="278" spans="2:10" x14ac:dyDescent="0.2">
      <c r="B278" s="1272" t="s">
        <v>1062</v>
      </c>
      <c r="C278" s="1273"/>
      <c r="D278" s="755">
        <f>0.7*D275</f>
        <v>50187.178049720394</v>
      </c>
      <c r="E278" s="39"/>
      <c r="F278" s="39"/>
      <c r="G278" s="39"/>
      <c r="H278" s="39"/>
      <c r="I278" s="39"/>
      <c r="J278" s="722"/>
    </row>
    <row r="279" spans="2:10" x14ac:dyDescent="0.2">
      <c r="B279" s="1272" t="s">
        <v>1061</v>
      </c>
      <c r="C279" s="1273"/>
      <c r="D279" s="755">
        <f>SUM(D275:D278)</f>
        <v>171422.17585034395</v>
      </c>
      <c r="E279" s="39"/>
      <c r="F279" s="39"/>
      <c r="G279" s="39"/>
      <c r="H279" s="39"/>
      <c r="I279" s="39"/>
      <c r="J279" s="722"/>
    </row>
    <row r="280" spans="2:10" x14ac:dyDescent="0.2">
      <c r="B280" s="1272" t="s">
        <v>901</v>
      </c>
      <c r="C280" s="1273"/>
      <c r="D280" s="757">
        <f>'PPI Calculation'!D103</f>
        <v>1.3925729442970822</v>
      </c>
      <c r="E280" s="39"/>
      <c r="F280" s="39"/>
      <c r="G280" s="39"/>
      <c r="H280" s="39"/>
      <c r="I280" s="39"/>
      <c r="J280" s="722"/>
    </row>
    <row r="281" spans="2:10" x14ac:dyDescent="0.2">
      <c r="B281" s="1272" t="s">
        <v>1060</v>
      </c>
      <c r="C281" s="1273"/>
      <c r="D281" s="755">
        <f>+D279*D280</f>
        <v>238717.88414172566</v>
      </c>
      <c r="E281" s="39"/>
      <c r="F281" s="39"/>
      <c r="G281" s="39"/>
      <c r="H281" s="39"/>
      <c r="I281" s="39"/>
      <c r="J281" s="722"/>
    </row>
    <row r="282" spans="2:10" ht="13.5" thickBot="1" x14ac:dyDescent="0.25">
      <c r="B282" s="729"/>
      <c r="C282" s="730"/>
      <c r="D282" s="730"/>
      <c r="E282" s="732"/>
      <c r="F282" s="732"/>
      <c r="G282" s="732"/>
      <c r="H282" s="732"/>
      <c r="I282" s="732"/>
      <c r="J282" s="733"/>
    </row>
    <row r="283" spans="2:10" ht="13.5" thickTop="1" x14ac:dyDescent="0.2">
      <c r="B283" s="717" t="s">
        <v>1077</v>
      </c>
      <c r="C283" s="737"/>
      <c r="D283" s="737"/>
      <c r="E283" s="738"/>
      <c r="F283" s="738"/>
      <c r="G283" s="738"/>
      <c r="H283" s="738"/>
      <c r="I283" s="738"/>
      <c r="J283" s="739"/>
    </row>
    <row r="284" spans="2:10" x14ac:dyDescent="0.2">
      <c r="B284" s="723"/>
      <c r="C284" s="275"/>
      <c r="D284" s="275"/>
      <c r="E284" s="39"/>
      <c r="F284" s="39"/>
      <c r="G284" s="39"/>
      <c r="H284" s="39"/>
      <c r="I284" s="39"/>
      <c r="J284" s="722"/>
    </row>
    <row r="285" spans="2:10" x14ac:dyDescent="0.2">
      <c r="B285" s="1270" t="s">
        <v>1074</v>
      </c>
      <c r="C285" s="1271"/>
      <c r="D285" s="762">
        <f>'Electrical Connections'!B14</f>
        <v>40</v>
      </c>
      <c r="E285" s="39" t="s">
        <v>1076</v>
      </c>
      <c r="F285" s="39"/>
      <c r="G285" s="39"/>
      <c r="H285" s="39"/>
      <c r="I285" s="39"/>
      <c r="J285" s="722"/>
    </row>
    <row r="286" spans="2:10" x14ac:dyDescent="0.2">
      <c r="B286" s="723"/>
      <c r="C286" s="275"/>
      <c r="D286" s="275"/>
      <c r="E286" s="39"/>
      <c r="F286" s="39"/>
      <c r="G286" s="39"/>
      <c r="H286" s="39"/>
      <c r="I286" s="39"/>
      <c r="J286" s="722"/>
    </row>
    <row r="287" spans="2:10" x14ac:dyDescent="0.2">
      <c r="B287" s="723" t="s">
        <v>1072</v>
      </c>
      <c r="C287" s="275"/>
      <c r="D287" s="275"/>
      <c r="E287" s="39"/>
      <c r="F287" s="39"/>
      <c r="G287" s="39"/>
      <c r="H287" s="39"/>
      <c r="I287" s="39"/>
      <c r="J287" s="722"/>
    </row>
    <row r="288" spans="2:10" x14ac:dyDescent="0.2">
      <c r="B288" s="723"/>
      <c r="C288" s="275"/>
      <c r="D288" s="275"/>
      <c r="E288" s="39"/>
      <c r="F288" s="39"/>
      <c r="G288" s="39"/>
      <c r="H288" s="39"/>
      <c r="I288" s="39"/>
      <c r="J288" s="722"/>
    </row>
    <row r="289" spans="2:10" x14ac:dyDescent="0.2">
      <c r="B289" s="1272" t="s">
        <v>1073</v>
      </c>
      <c r="C289" s="1273"/>
      <c r="D289" s="755">
        <f>D285*B6</f>
        <v>76400</v>
      </c>
      <c r="E289" s="39"/>
      <c r="F289" s="39"/>
      <c r="G289" s="39"/>
      <c r="H289" s="39"/>
      <c r="I289" s="39"/>
      <c r="J289" s="722"/>
    </row>
    <row r="290" spans="2:10" x14ac:dyDescent="0.2">
      <c r="B290" s="1272" t="s">
        <v>894</v>
      </c>
      <c r="C290" s="1273"/>
      <c r="D290" s="757">
        <f>'PPI Calculation'!D116</f>
        <v>1.7516053465102137</v>
      </c>
      <c r="E290" s="39"/>
      <c r="F290" s="39"/>
      <c r="G290" s="39"/>
      <c r="H290" s="39"/>
      <c r="I290" s="39"/>
      <c r="J290" s="722"/>
    </row>
    <row r="291" spans="2:10" x14ac:dyDescent="0.2">
      <c r="B291" s="1272" t="s">
        <v>1060</v>
      </c>
      <c r="C291" s="1273"/>
      <c r="D291" s="755">
        <f>D290*D289</f>
        <v>133822.64847338034</v>
      </c>
      <c r="E291" s="39"/>
      <c r="F291" s="39"/>
      <c r="G291" s="39"/>
      <c r="H291" s="39"/>
      <c r="I291" s="39"/>
      <c r="J291" s="722"/>
    </row>
    <row r="292" spans="2:10" ht="13.5" thickBot="1" x14ac:dyDescent="0.25">
      <c r="B292" s="729"/>
      <c r="C292" s="730"/>
      <c r="D292" s="730"/>
      <c r="E292" s="732"/>
      <c r="F292" s="732"/>
      <c r="G292" s="732"/>
      <c r="H292" s="732"/>
      <c r="I292" s="732"/>
      <c r="J292" s="733"/>
    </row>
    <row r="293" spans="2:10" ht="13.5" thickTop="1" x14ac:dyDescent="0.2">
      <c r="B293" s="717" t="s">
        <v>1085</v>
      </c>
      <c r="C293" s="737"/>
      <c r="D293" s="737"/>
      <c r="E293" s="738"/>
      <c r="F293" s="738"/>
      <c r="G293" s="738"/>
      <c r="H293" s="738"/>
      <c r="I293" s="738"/>
      <c r="J293" s="739"/>
    </row>
    <row r="294" spans="2:10" x14ac:dyDescent="0.2">
      <c r="B294" s="723"/>
      <c r="C294" s="275"/>
      <c r="D294" s="275"/>
      <c r="E294" s="39"/>
      <c r="F294" s="39"/>
      <c r="G294" s="39"/>
      <c r="H294" s="39"/>
      <c r="I294" s="39"/>
      <c r="J294" s="722"/>
    </row>
    <row r="295" spans="2:10" x14ac:dyDescent="0.2">
      <c r="B295" s="1270" t="s">
        <v>1078</v>
      </c>
      <c r="C295" s="1271"/>
      <c r="D295" s="767">
        <f>'Hydraulic, Cooling System'!C15</f>
        <v>0.08</v>
      </c>
      <c r="E295" s="39" t="s">
        <v>1084</v>
      </c>
      <c r="F295" s="39"/>
      <c r="G295" s="39"/>
      <c r="H295" s="39"/>
      <c r="I295" s="39"/>
      <c r="J295" s="722"/>
    </row>
    <row r="296" spans="2:10" x14ac:dyDescent="0.2">
      <c r="B296" s="723"/>
      <c r="C296" s="275"/>
      <c r="D296" s="275"/>
      <c r="E296" s="39"/>
      <c r="F296" s="39"/>
      <c r="G296" s="39"/>
      <c r="H296" s="39"/>
      <c r="I296" s="39"/>
      <c r="J296" s="722"/>
    </row>
    <row r="297" spans="2:10" x14ac:dyDescent="0.2">
      <c r="B297" s="1270" t="s">
        <v>1079</v>
      </c>
      <c r="C297" s="1271"/>
      <c r="D297" s="762">
        <f>'Hydraulic, Cooling System'!C17</f>
        <v>12</v>
      </c>
      <c r="E297" s="39" t="s">
        <v>1076</v>
      </c>
      <c r="F297" s="39"/>
      <c r="G297" s="39"/>
      <c r="H297" s="39"/>
      <c r="I297" s="39"/>
      <c r="J297" s="722"/>
    </row>
    <row r="298" spans="2:10" x14ac:dyDescent="0.2">
      <c r="B298" s="723"/>
      <c r="C298" s="275"/>
      <c r="D298" s="275"/>
      <c r="E298" s="39"/>
      <c r="F298" s="39"/>
      <c r="G298" s="39"/>
      <c r="H298" s="39"/>
      <c r="I298" s="39"/>
      <c r="J298" s="722"/>
    </row>
    <row r="299" spans="2:10" x14ac:dyDescent="0.2">
      <c r="B299" s="723" t="s">
        <v>1080</v>
      </c>
      <c r="C299" s="275"/>
      <c r="D299" s="275"/>
      <c r="E299" s="39"/>
      <c r="F299" s="39"/>
      <c r="G299" s="39"/>
      <c r="H299" s="39"/>
      <c r="I299" s="39"/>
      <c r="J299" s="722"/>
    </row>
    <row r="300" spans="2:10" x14ac:dyDescent="0.2">
      <c r="B300" s="723"/>
      <c r="C300" s="275"/>
      <c r="D300" s="275"/>
      <c r="E300" s="39"/>
      <c r="F300" s="39"/>
      <c r="G300" s="39"/>
      <c r="H300" s="39"/>
      <c r="I300" s="39"/>
      <c r="J300" s="722"/>
    </row>
    <row r="301" spans="2:10" x14ac:dyDescent="0.2">
      <c r="B301" s="723" t="s">
        <v>1081</v>
      </c>
      <c r="C301" s="275"/>
      <c r="D301" s="275"/>
      <c r="E301" s="39"/>
      <c r="F301" s="39"/>
      <c r="G301" s="39"/>
      <c r="H301" s="39"/>
      <c r="I301" s="39"/>
      <c r="J301" s="722"/>
    </row>
    <row r="302" spans="2:10" x14ac:dyDescent="0.2">
      <c r="B302" s="723"/>
      <c r="C302" s="275"/>
      <c r="D302" s="275"/>
      <c r="E302" s="39"/>
      <c r="F302" s="39"/>
      <c r="G302" s="39"/>
      <c r="H302" s="39"/>
      <c r="I302" s="39"/>
      <c r="J302" s="722"/>
    </row>
    <row r="303" spans="2:10" x14ac:dyDescent="0.2">
      <c r="B303" s="1272" t="s">
        <v>1083</v>
      </c>
      <c r="C303" s="1273"/>
      <c r="D303" s="416">
        <f>D295*B6</f>
        <v>152.80000000000001</v>
      </c>
      <c r="E303" s="39" t="s">
        <v>407</v>
      </c>
      <c r="F303" s="39"/>
      <c r="G303" s="39"/>
      <c r="H303" s="39"/>
      <c r="I303" s="39"/>
      <c r="J303" s="722"/>
    </row>
    <row r="304" spans="2:10" x14ac:dyDescent="0.2">
      <c r="B304" s="1272" t="s">
        <v>1082</v>
      </c>
      <c r="C304" s="1273"/>
      <c r="D304" s="755">
        <f>D297*B6</f>
        <v>22920</v>
      </c>
      <c r="E304" s="39"/>
      <c r="F304" s="39"/>
      <c r="G304" s="39"/>
      <c r="H304" s="39"/>
      <c r="I304" s="39"/>
      <c r="J304" s="722"/>
    </row>
    <row r="305" spans="2:10" x14ac:dyDescent="0.2">
      <c r="B305" s="1272" t="s">
        <v>894</v>
      </c>
      <c r="C305" s="1273"/>
      <c r="D305" s="757">
        <f>'PPI Calculation'!D122</f>
        <v>1.3578431372549018</v>
      </c>
      <c r="E305" s="39"/>
      <c r="F305" s="39"/>
      <c r="G305" s="39"/>
      <c r="H305" s="39"/>
      <c r="I305" s="39"/>
      <c r="J305" s="722"/>
    </row>
    <row r="306" spans="2:10" x14ac:dyDescent="0.2">
      <c r="B306" s="1272" t="s">
        <v>1060</v>
      </c>
      <c r="C306" s="1273"/>
      <c r="D306" s="755">
        <f>D305*D304</f>
        <v>31121.76470588235</v>
      </c>
      <c r="E306" s="39"/>
      <c r="F306" s="39"/>
      <c r="G306" s="39"/>
      <c r="H306" s="39"/>
      <c r="I306" s="39"/>
      <c r="J306" s="722"/>
    </row>
    <row r="307" spans="2:10" ht="13.5" thickBot="1" x14ac:dyDescent="0.25">
      <c r="B307" s="729"/>
      <c r="C307" s="730"/>
      <c r="D307" s="730"/>
      <c r="E307" s="732"/>
      <c r="F307" s="732"/>
      <c r="G307" s="732"/>
      <c r="H307" s="732"/>
      <c r="I307" s="732"/>
      <c r="J307" s="733"/>
    </row>
    <row r="308" spans="2:10" ht="13.5" thickTop="1" x14ac:dyDescent="0.2">
      <c r="B308" s="717" t="s">
        <v>1088</v>
      </c>
      <c r="C308" s="737"/>
      <c r="D308" s="737"/>
      <c r="E308" s="738"/>
      <c r="F308" s="738"/>
      <c r="G308" s="738"/>
      <c r="H308" s="738"/>
      <c r="I308" s="738"/>
      <c r="J308" s="739"/>
    </row>
    <row r="309" spans="2:10" x14ac:dyDescent="0.2">
      <c r="B309" s="723"/>
      <c r="C309" s="275"/>
      <c r="D309" s="275"/>
      <c r="E309" s="39"/>
      <c r="F309" s="39"/>
      <c r="G309" s="39"/>
      <c r="H309" s="39"/>
      <c r="I309" s="39"/>
      <c r="J309" s="722"/>
    </row>
    <row r="310" spans="2:10" x14ac:dyDescent="0.2">
      <c r="B310" s="1280" t="s">
        <v>1089</v>
      </c>
      <c r="C310" s="1292"/>
      <c r="D310" s="137">
        <f>'Nacelle Cover'!B14</f>
        <v>11.537000000000001</v>
      </c>
      <c r="E310" s="39"/>
      <c r="F310" s="39"/>
      <c r="G310" s="39"/>
      <c r="H310" s="39"/>
      <c r="I310" s="39"/>
      <c r="J310" s="722"/>
    </row>
    <row r="311" spans="2:10" x14ac:dyDescent="0.2">
      <c r="B311" s="1280" t="s">
        <v>1090</v>
      </c>
      <c r="C311" s="1292"/>
      <c r="D311" s="137">
        <f>'Nacelle Cover'!B15</f>
        <v>3849.7</v>
      </c>
      <c r="E311" s="39"/>
      <c r="F311" s="39"/>
      <c r="G311" s="39"/>
      <c r="H311" s="39"/>
      <c r="I311" s="39"/>
      <c r="J311" s="722"/>
    </row>
    <row r="312" spans="2:10" x14ac:dyDescent="0.2">
      <c r="B312" s="740"/>
      <c r="C312" s="769"/>
      <c r="D312" s="275"/>
      <c r="E312" s="39"/>
      <c r="F312" s="39"/>
      <c r="G312" s="39"/>
      <c r="H312" s="39"/>
      <c r="I312" s="39"/>
      <c r="J312" s="722"/>
    </row>
    <row r="313" spans="2:10" x14ac:dyDescent="0.2">
      <c r="B313" s="1280" t="s">
        <v>1091</v>
      </c>
      <c r="C313" s="1292"/>
      <c r="D313" s="768">
        <f>'Nacelle Cover'!B17</f>
        <v>0.1111111111111111</v>
      </c>
      <c r="E313" s="39" t="s">
        <v>1087</v>
      </c>
      <c r="F313" s="39"/>
      <c r="G313" s="39"/>
      <c r="H313" s="39"/>
      <c r="I313" s="39"/>
      <c r="J313" s="722"/>
    </row>
    <row r="314" spans="2:10" x14ac:dyDescent="0.2">
      <c r="B314" s="723"/>
      <c r="C314" s="275"/>
      <c r="D314" s="275"/>
      <c r="E314" s="39"/>
      <c r="F314" s="39"/>
      <c r="G314" s="39"/>
      <c r="H314" s="39"/>
      <c r="I314" s="39"/>
      <c r="J314" s="722"/>
    </row>
    <row r="315" spans="2:10" x14ac:dyDescent="0.2">
      <c r="B315" s="723" t="s">
        <v>1094</v>
      </c>
      <c r="C315" s="275"/>
      <c r="D315" s="275"/>
      <c r="E315" s="39"/>
      <c r="F315" s="39"/>
      <c r="G315" s="39"/>
      <c r="H315" s="39"/>
      <c r="I315" s="39"/>
      <c r="J315" s="722"/>
    </row>
    <row r="316" spans="2:10" x14ac:dyDescent="0.2">
      <c r="B316" s="723"/>
      <c r="C316" s="275"/>
      <c r="D316" s="275"/>
      <c r="E316" s="39"/>
      <c r="F316" s="39"/>
      <c r="G316" s="39"/>
      <c r="H316" s="39"/>
      <c r="I316" s="39"/>
      <c r="J316" s="722"/>
    </row>
    <row r="317" spans="2:10" x14ac:dyDescent="0.2">
      <c r="B317" s="723" t="s">
        <v>1095</v>
      </c>
      <c r="C317" s="275"/>
      <c r="D317" s="275"/>
      <c r="E317" s="39"/>
      <c r="F317" s="39"/>
      <c r="G317" s="39"/>
      <c r="H317" s="39"/>
      <c r="I317" s="39"/>
      <c r="J317" s="722"/>
    </row>
    <row r="318" spans="2:10" x14ac:dyDescent="0.2">
      <c r="B318" s="723"/>
      <c r="C318" s="275"/>
      <c r="D318" s="275"/>
      <c r="E318" s="39"/>
      <c r="F318" s="39"/>
      <c r="G318" s="39"/>
      <c r="H318" s="39"/>
      <c r="I318" s="39"/>
      <c r="J318" s="722"/>
    </row>
    <row r="319" spans="2:10" x14ac:dyDescent="0.2">
      <c r="B319" s="1272" t="s">
        <v>1096</v>
      </c>
      <c r="C319" s="1273"/>
      <c r="D319" s="416">
        <f>D320*D313</f>
        <v>2876.1522222222225</v>
      </c>
      <c r="E319" s="39" t="s">
        <v>407</v>
      </c>
      <c r="F319" s="39"/>
      <c r="G319" s="39"/>
      <c r="H319" s="39"/>
      <c r="I319" s="39"/>
      <c r="J319" s="722"/>
    </row>
    <row r="320" spans="2:10" x14ac:dyDescent="0.2">
      <c r="B320" s="1272" t="s">
        <v>1097</v>
      </c>
      <c r="C320" s="1273"/>
      <c r="D320" s="755">
        <f>D310*B6+D311</f>
        <v>25885.370000000003</v>
      </c>
      <c r="E320" s="39"/>
      <c r="F320" s="39"/>
      <c r="G320" s="39"/>
      <c r="H320" s="39"/>
      <c r="I320" s="39"/>
      <c r="J320" s="722"/>
    </row>
    <row r="321" spans="2:10" x14ac:dyDescent="0.2">
      <c r="B321" s="1272" t="s">
        <v>894</v>
      </c>
      <c r="C321" s="1273"/>
      <c r="D321" s="757">
        <f>'PPI Calculation'!D135</f>
        <v>1.0550990812530561</v>
      </c>
      <c r="E321" s="39"/>
      <c r="F321" s="39"/>
      <c r="G321" s="39"/>
      <c r="H321" s="39"/>
      <c r="I321" s="39"/>
      <c r="J321" s="722"/>
    </row>
    <row r="322" spans="2:10" x14ac:dyDescent="0.2">
      <c r="B322" s="1272" t="s">
        <v>1060</v>
      </c>
      <c r="C322" s="1273"/>
      <c r="D322" s="755">
        <f>D321*D320</f>
        <v>27311.630104895423</v>
      </c>
      <c r="E322" s="39"/>
      <c r="F322" s="39"/>
      <c r="G322" s="39"/>
      <c r="H322" s="39"/>
      <c r="I322" s="39"/>
      <c r="J322" s="722"/>
    </row>
    <row r="323" spans="2:10" ht="13.5" thickBot="1" x14ac:dyDescent="0.25">
      <c r="B323" s="729"/>
      <c r="C323" s="730"/>
      <c r="D323" s="730"/>
      <c r="E323" s="732"/>
      <c r="F323" s="732"/>
      <c r="G323" s="732"/>
      <c r="H323" s="732"/>
      <c r="I323" s="732"/>
      <c r="J323" s="733"/>
    </row>
    <row r="324" spans="2:10" ht="13.5" thickTop="1" x14ac:dyDescent="0.2">
      <c r="B324" s="717" t="s">
        <v>1098</v>
      </c>
      <c r="C324" s="737"/>
      <c r="D324" s="737"/>
      <c r="E324" s="738"/>
      <c r="F324" s="738"/>
      <c r="G324" s="738"/>
      <c r="H324" s="738"/>
      <c r="I324" s="738"/>
      <c r="J324" s="739"/>
    </row>
    <row r="325" spans="2:10" x14ac:dyDescent="0.2">
      <c r="B325" s="723"/>
      <c r="C325" s="275"/>
      <c r="D325" s="275"/>
      <c r="E325" s="39"/>
      <c r="F325" s="39"/>
      <c r="G325" s="39"/>
      <c r="H325" s="39"/>
      <c r="I325" s="39"/>
      <c r="J325" s="722"/>
    </row>
    <row r="326" spans="2:10" x14ac:dyDescent="0.2">
      <c r="B326" s="1276" t="s">
        <v>1172</v>
      </c>
      <c r="C326" s="1277"/>
      <c r="D326" s="1274">
        <f>'L-B Control, Safety System'!C11</f>
        <v>35000</v>
      </c>
      <c r="E326" s="39"/>
      <c r="F326" s="39"/>
      <c r="G326" s="39"/>
      <c r="H326" s="39"/>
      <c r="I326" s="39"/>
      <c r="J326" s="722"/>
    </row>
    <row r="327" spans="2:10" x14ac:dyDescent="0.2">
      <c r="B327" s="1278"/>
      <c r="C327" s="1279"/>
      <c r="D327" s="1275"/>
      <c r="E327" s="39"/>
      <c r="F327" s="39"/>
      <c r="G327" s="39"/>
      <c r="H327" s="39"/>
      <c r="I327" s="39"/>
      <c r="J327" s="722"/>
    </row>
    <row r="328" spans="2:10" x14ac:dyDescent="0.2">
      <c r="B328" s="723"/>
      <c r="C328" s="275"/>
      <c r="D328" s="275"/>
      <c r="E328" s="39"/>
      <c r="F328" s="39"/>
      <c r="G328" s="39"/>
      <c r="H328" s="39"/>
      <c r="I328" s="39"/>
      <c r="J328" s="722"/>
    </row>
    <row r="329" spans="2:10" x14ac:dyDescent="0.2">
      <c r="B329" s="1272" t="s">
        <v>8</v>
      </c>
      <c r="C329" s="1273"/>
      <c r="D329" s="755">
        <f>D326</f>
        <v>35000</v>
      </c>
      <c r="E329" s="39"/>
      <c r="F329" s="39"/>
      <c r="G329" s="39"/>
      <c r="H329" s="39"/>
      <c r="I329" s="39"/>
      <c r="J329" s="722"/>
    </row>
    <row r="330" spans="2:10" x14ac:dyDescent="0.2">
      <c r="B330" s="1272" t="s">
        <v>894</v>
      </c>
      <c r="C330" s="1273"/>
      <c r="D330" s="757">
        <f>'PPI Calculation'!D141</f>
        <v>1.2348822406110758</v>
      </c>
      <c r="E330" s="39"/>
      <c r="F330" s="39"/>
      <c r="G330" s="39"/>
      <c r="H330" s="39"/>
      <c r="I330" s="39"/>
      <c r="J330" s="722"/>
    </row>
    <row r="331" spans="2:10" x14ac:dyDescent="0.2">
      <c r="B331" s="1272" t="s">
        <v>1060</v>
      </c>
      <c r="C331" s="1273"/>
      <c r="D331" s="755">
        <f>D330*D329</f>
        <v>43220.87842138765</v>
      </c>
      <c r="E331" s="39"/>
      <c r="F331" s="39"/>
      <c r="G331" s="39"/>
      <c r="H331" s="39"/>
      <c r="I331" s="39"/>
      <c r="J331" s="722"/>
    </row>
    <row r="332" spans="2:10" ht="13.5" thickBot="1" x14ac:dyDescent="0.25">
      <c r="B332" s="729"/>
      <c r="C332" s="730"/>
      <c r="D332" s="730"/>
      <c r="E332" s="732"/>
      <c r="F332" s="732"/>
      <c r="G332" s="732"/>
      <c r="H332" s="732"/>
      <c r="I332" s="732"/>
      <c r="J332" s="733"/>
    </row>
    <row r="333" spans="2:10" ht="13.5" thickTop="1" x14ac:dyDescent="0.2">
      <c r="B333" s="717" t="s">
        <v>4</v>
      </c>
      <c r="C333" s="737"/>
      <c r="D333" s="737"/>
      <c r="E333" s="39"/>
      <c r="F333" s="39"/>
      <c r="G333" s="39"/>
      <c r="H333" s="39"/>
      <c r="I333" s="39"/>
      <c r="J333" s="722"/>
    </row>
    <row r="334" spans="2:10" x14ac:dyDescent="0.2">
      <c r="B334" s="723"/>
      <c r="C334" s="275"/>
      <c r="D334" s="275"/>
      <c r="E334" s="39"/>
      <c r="F334" s="39"/>
      <c r="G334" s="39"/>
      <c r="H334" s="39"/>
      <c r="I334" s="39"/>
      <c r="J334" s="722"/>
    </row>
    <row r="335" spans="2:10" x14ac:dyDescent="0.2">
      <c r="B335" s="1276" t="s">
        <v>7</v>
      </c>
      <c r="C335" s="1277"/>
      <c r="D335" s="1274">
        <f>'OS Control, Safety System'!B10</f>
        <v>55900</v>
      </c>
      <c r="E335" s="39"/>
      <c r="F335" s="39"/>
      <c r="G335" s="39"/>
      <c r="H335" s="39"/>
      <c r="I335" s="39"/>
      <c r="J335" s="722"/>
    </row>
    <row r="336" spans="2:10" x14ac:dyDescent="0.2">
      <c r="B336" s="1278"/>
      <c r="C336" s="1279"/>
      <c r="D336" s="1275"/>
      <c r="E336" s="39"/>
      <c r="F336" s="39"/>
      <c r="G336" s="39"/>
      <c r="H336" s="39"/>
      <c r="I336" s="39"/>
      <c r="J336" s="722"/>
    </row>
    <row r="337" spans="2:10" x14ac:dyDescent="0.2">
      <c r="B337" s="723"/>
      <c r="C337" s="275"/>
      <c r="D337" s="275"/>
      <c r="E337" s="39"/>
      <c r="F337" s="39"/>
      <c r="G337" s="39"/>
      <c r="H337" s="39"/>
      <c r="I337" s="39"/>
      <c r="J337" s="722"/>
    </row>
    <row r="338" spans="2:10" x14ac:dyDescent="0.2">
      <c r="B338" s="1272" t="s">
        <v>8</v>
      </c>
      <c r="C338" s="1273"/>
      <c r="D338" s="755">
        <f>D335</f>
        <v>55900</v>
      </c>
      <c r="E338" s="39"/>
      <c r="F338" s="39"/>
      <c r="G338" s="39"/>
      <c r="H338" s="39"/>
      <c r="I338" s="39"/>
      <c r="J338" s="722"/>
    </row>
    <row r="339" spans="2:10" x14ac:dyDescent="0.2">
      <c r="B339" s="1272" t="s">
        <v>894</v>
      </c>
      <c r="C339" s="1273"/>
      <c r="D339" s="757">
        <f>'PPI Calculation'!D141</f>
        <v>1.2348822406110758</v>
      </c>
      <c r="E339" s="39"/>
      <c r="F339" s="39"/>
      <c r="G339" s="39"/>
      <c r="H339" s="39"/>
      <c r="I339" s="39"/>
      <c r="J339" s="722"/>
    </row>
    <row r="340" spans="2:10" x14ac:dyDescent="0.2">
      <c r="B340" s="1272" t="s">
        <v>1060</v>
      </c>
      <c r="C340" s="1273"/>
      <c r="D340" s="755">
        <f>D339*D338</f>
        <v>69029.917250159138</v>
      </c>
      <c r="E340" s="39"/>
      <c r="F340" s="39"/>
      <c r="G340" s="39"/>
      <c r="H340" s="39"/>
      <c r="I340" s="39"/>
      <c r="J340" s="722"/>
    </row>
    <row r="341" spans="2:10" ht="13.5" thickBot="1" x14ac:dyDescent="0.25">
      <c r="B341" s="729"/>
      <c r="C341" s="730"/>
      <c r="D341" s="730"/>
      <c r="E341" s="39"/>
      <c r="F341" s="39"/>
      <c r="G341" s="39"/>
      <c r="H341" s="39"/>
      <c r="I341" s="39"/>
      <c r="J341" s="722"/>
    </row>
    <row r="342" spans="2:10" ht="13.5" thickTop="1" x14ac:dyDescent="0.2">
      <c r="B342" s="717" t="s">
        <v>3</v>
      </c>
      <c r="C342" s="737"/>
      <c r="D342" s="737"/>
      <c r="E342" s="738"/>
      <c r="F342" s="738"/>
      <c r="G342" s="738"/>
      <c r="H342" s="738"/>
      <c r="I342" s="738"/>
      <c r="J342" s="739"/>
    </row>
    <row r="343" spans="2:10" x14ac:dyDescent="0.2">
      <c r="B343" s="723"/>
      <c r="C343" s="275"/>
      <c r="D343" s="275"/>
      <c r="E343" s="39"/>
      <c r="F343" s="39"/>
      <c r="G343" s="39"/>
      <c r="H343" s="39"/>
      <c r="I343" s="39"/>
      <c r="J343" s="722"/>
    </row>
    <row r="344" spans="2:10" x14ac:dyDescent="0.2">
      <c r="B344" s="776" t="s">
        <v>169</v>
      </c>
      <c r="C344" s="275"/>
      <c r="D344" s="275"/>
      <c r="E344" s="39"/>
      <c r="F344" s="39"/>
      <c r="G344" s="39"/>
      <c r="H344" s="39"/>
      <c r="I344" s="39"/>
      <c r="J344" s="722"/>
    </row>
    <row r="345" spans="2:10" x14ac:dyDescent="0.2">
      <c r="B345" s="1270" t="s">
        <v>165</v>
      </c>
      <c r="C345" s="1271"/>
      <c r="D345" s="137">
        <f>Tower!B21</f>
        <v>0.3972511475469247</v>
      </c>
      <c r="E345" s="39"/>
      <c r="F345" s="39"/>
      <c r="G345" s="39"/>
      <c r="H345" s="39"/>
      <c r="I345" s="39"/>
      <c r="J345" s="722"/>
    </row>
    <row r="346" spans="2:10" x14ac:dyDescent="0.2">
      <c r="B346" s="1270" t="s">
        <v>166</v>
      </c>
      <c r="C346" s="1271"/>
      <c r="D346" s="137">
        <f>Tower!B22</f>
        <v>-1414.3818814095575</v>
      </c>
      <c r="E346" s="39"/>
      <c r="F346" s="39"/>
      <c r="G346" s="39"/>
      <c r="H346" s="39"/>
      <c r="I346" s="39"/>
      <c r="J346" s="722"/>
    </row>
    <row r="347" spans="2:10" x14ac:dyDescent="0.2">
      <c r="B347" s="723"/>
      <c r="C347" s="275"/>
      <c r="D347" s="275"/>
      <c r="E347" s="39"/>
      <c r="F347" s="39"/>
      <c r="G347" s="39"/>
      <c r="H347" s="39"/>
      <c r="I347" s="39"/>
      <c r="J347" s="722"/>
    </row>
    <row r="348" spans="2:10" x14ac:dyDescent="0.2">
      <c r="B348" s="776" t="s">
        <v>174</v>
      </c>
      <c r="C348" s="275"/>
      <c r="D348" s="275"/>
      <c r="E348" s="39"/>
      <c r="F348" s="39"/>
      <c r="G348" s="39"/>
      <c r="H348" s="39"/>
      <c r="I348" s="39"/>
      <c r="J348" s="722"/>
    </row>
    <row r="349" spans="2:10" x14ac:dyDescent="0.2">
      <c r="B349" s="1270" t="s">
        <v>165</v>
      </c>
      <c r="C349" s="1271"/>
      <c r="D349" s="137">
        <f>Tower!B25</f>
        <v>0.26938016927873254</v>
      </c>
      <c r="E349" s="39"/>
      <c r="F349" s="39"/>
      <c r="G349" s="39"/>
      <c r="H349" s="39"/>
      <c r="I349" s="39"/>
      <c r="J349" s="722"/>
    </row>
    <row r="350" spans="2:10" x14ac:dyDescent="0.2">
      <c r="B350" s="1270" t="s">
        <v>166</v>
      </c>
      <c r="C350" s="1271"/>
      <c r="D350" s="137">
        <f>Tower!B26</f>
        <v>1779.3281826158054</v>
      </c>
      <c r="E350" s="39"/>
      <c r="F350" s="39"/>
      <c r="G350" s="39"/>
      <c r="H350" s="39"/>
      <c r="I350" s="39"/>
      <c r="J350" s="722"/>
    </row>
    <row r="351" spans="2:10" x14ac:dyDescent="0.2">
      <c r="B351" s="723"/>
      <c r="C351" s="275"/>
      <c r="D351" s="275"/>
      <c r="E351" s="39"/>
      <c r="F351" s="39"/>
      <c r="G351" s="39"/>
      <c r="H351" s="39"/>
      <c r="I351" s="39"/>
      <c r="J351" s="722"/>
    </row>
    <row r="352" spans="2:10" x14ac:dyDescent="0.2">
      <c r="B352" s="1270" t="s">
        <v>1176</v>
      </c>
      <c r="C352" s="1271"/>
      <c r="D352" s="137">
        <f>Tower!B28</f>
        <v>1.5</v>
      </c>
      <c r="E352" s="39" t="s">
        <v>208</v>
      </c>
      <c r="F352" s="39"/>
      <c r="G352" s="39"/>
      <c r="H352" s="39"/>
      <c r="I352" s="39"/>
      <c r="J352" s="722"/>
    </row>
    <row r="353" spans="2:10" x14ac:dyDescent="0.2">
      <c r="B353" s="723"/>
      <c r="C353" s="275"/>
      <c r="D353" s="275"/>
      <c r="E353" s="39"/>
      <c r="F353" s="39"/>
      <c r="G353" s="39"/>
      <c r="H353" s="39"/>
      <c r="I353" s="39"/>
      <c r="J353" s="722"/>
    </row>
    <row r="354" spans="2:10" x14ac:dyDescent="0.2">
      <c r="B354" s="723" t="s">
        <v>1174</v>
      </c>
      <c r="C354" s="275"/>
      <c r="D354" s="275"/>
      <c r="E354" s="39"/>
      <c r="F354" s="39"/>
      <c r="G354" s="39"/>
      <c r="H354" s="39"/>
      <c r="I354" s="39"/>
      <c r="J354" s="722"/>
    </row>
    <row r="355" spans="2:10" x14ac:dyDescent="0.2">
      <c r="B355" s="723"/>
      <c r="C355" s="275"/>
      <c r="D355" s="275"/>
      <c r="E355" s="39"/>
      <c r="F355" s="39"/>
      <c r="G355" s="39"/>
      <c r="H355" s="39"/>
      <c r="I355" s="39"/>
      <c r="J355" s="722"/>
    </row>
    <row r="356" spans="2:10" x14ac:dyDescent="0.2">
      <c r="B356" s="723" t="s">
        <v>1175</v>
      </c>
      <c r="C356" s="275"/>
      <c r="D356" s="275"/>
      <c r="E356" s="39"/>
      <c r="F356" s="39"/>
      <c r="G356" s="39"/>
      <c r="H356" s="39"/>
      <c r="I356" s="39"/>
      <c r="J356" s="722"/>
    </row>
    <row r="357" spans="2:10" x14ac:dyDescent="0.2">
      <c r="B357" s="723"/>
      <c r="C357" s="275"/>
      <c r="D357" s="275"/>
      <c r="E357" s="39"/>
      <c r="F357" s="39"/>
      <c r="G357" s="39"/>
      <c r="H357" s="39"/>
      <c r="I357" s="39"/>
      <c r="J357" s="722"/>
    </row>
    <row r="358" spans="2:10" x14ac:dyDescent="0.2">
      <c r="B358" s="1272" t="s">
        <v>0</v>
      </c>
      <c r="C358" s="1273"/>
      <c r="D358" s="761">
        <f>IF(EXACT(G6,"Baseline"),D345*PI()*(D6/2)^2*E6 + D346,D349*PI()*(D6/2)^2*E6 + D350)</f>
        <v>166068.35858562432</v>
      </c>
      <c r="E358" s="39" t="s">
        <v>407</v>
      </c>
      <c r="F358" s="39"/>
      <c r="G358" s="39"/>
      <c r="H358" s="39"/>
      <c r="I358" s="39"/>
      <c r="J358" s="722"/>
    </row>
    <row r="359" spans="2:10" x14ac:dyDescent="0.2">
      <c r="B359" s="1272" t="s">
        <v>1</v>
      </c>
      <c r="C359" s="1273"/>
      <c r="D359" s="755">
        <f>D358*D352</f>
        <v>249102.53787843647</v>
      </c>
      <c r="E359" s="39"/>
      <c r="F359" s="39"/>
      <c r="G359" s="39"/>
      <c r="H359" s="39"/>
      <c r="I359" s="39"/>
      <c r="J359" s="722"/>
    </row>
    <row r="360" spans="2:10" x14ac:dyDescent="0.2">
      <c r="B360" s="1272" t="s">
        <v>894</v>
      </c>
      <c r="C360" s="1273"/>
      <c r="D360" s="757">
        <f>'PPI Calculation'!D159</f>
        <v>1.5943877551020409</v>
      </c>
      <c r="E360" s="39"/>
      <c r="F360" s="39"/>
      <c r="G360" s="39"/>
      <c r="H360" s="39"/>
      <c r="I360" s="39"/>
      <c r="J360" s="722"/>
    </row>
    <row r="361" spans="2:10" x14ac:dyDescent="0.2">
      <c r="B361" s="1272" t="s">
        <v>1060</v>
      </c>
      <c r="C361" s="1273"/>
      <c r="D361" s="755">
        <f>D360*D359</f>
        <v>397166.03615822142</v>
      </c>
      <c r="E361" s="39"/>
      <c r="F361" s="39"/>
      <c r="G361" s="39"/>
      <c r="H361" s="39"/>
      <c r="I361" s="39"/>
      <c r="J361" s="722"/>
    </row>
    <row r="362" spans="2:10" ht="13.5" thickBot="1" x14ac:dyDescent="0.25">
      <c r="B362" s="729"/>
      <c r="C362" s="730"/>
      <c r="D362" s="730"/>
      <c r="E362" s="732"/>
      <c r="F362" s="732"/>
      <c r="G362" s="732"/>
      <c r="H362" s="732"/>
      <c r="I362" s="732"/>
      <c r="J362" s="733"/>
    </row>
    <row r="363" spans="2:10" ht="13.5" thickTop="1" x14ac:dyDescent="0.2">
      <c r="B363" s="21"/>
      <c r="C363" s="21"/>
      <c r="D363" s="21"/>
    </row>
    <row r="364" spans="2:10" ht="13.5" thickBot="1" x14ac:dyDescent="0.25">
      <c r="B364" s="777" t="s">
        <v>996</v>
      </c>
      <c r="C364" s="730"/>
      <c r="D364" s="732"/>
      <c r="E364" s="732"/>
      <c r="F364" s="732"/>
    </row>
    <row r="365" spans="2:10" ht="14.25" thickTop="1" thickBot="1" x14ac:dyDescent="0.25">
      <c r="B365" s="711"/>
      <c r="C365" s="21"/>
    </row>
    <row r="366" spans="2:10" ht="13.5" thickTop="1" x14ac:dyDescent="0.2">
      <c r="B366" s="717" t="s">
        <v>2</v>
      </c>
      <c r="C366" s="737"/>
      <c r="D366" s="738"/>
      <c r="E366" s="738"/>
      <c r="F366" s="738"/>
      <c r="G366" s="738"/>
      <c r="H366" s="738"/>
      <c r="I366" s="738"/>
      <c r="J366" s="739"/>
    </row>
    <row r="367" spans="2:10" x14ac:dyDescent="0.2">
      <c r="B367" s="745"/>
      <c r="C367" s="275"/>
      <c r="D367" s="39"/>
      <c r="E367" s="39"/>
      <c r="F367" s="39"/>
      <c r="G367" s="39"/>
      <c r="H367" s="39"/>
      <c r="I367" s="39"/>
      <c r="J367" s="722"/>
    </row>
    <row r="368" spans="2:10" x14ac:dyDescent="0.2">
      <c r="B368" s="1270" t="s">
        <v>9</v>
      </c>
      <c r="C368" s="1271"/>
      <c r="D368" s="137">
        <f>'L-B Foundations'!B18</f>
        <v>303.23</v>
      </c>
      <c r="E368" s="39"/>
      <c r="F368" s="39"/>
      <c r="G368" s="39"/>
      <c r="H368" s="39"/>
      <c r="I368" s="39"/>
      <c r="J368" s="722"/>
    </row>
    <row r="369" spans="2:10" x14ac:dyDescent="0.2">
      <c r="B369" s="1270" t="s">
        <v>10</v>
      </c>
      <c r="C369" s="1271"/>
      <c r="D369" s="137">
        <f>'L-B Foundations'!B19</f>
        <v>0.4037</v>
      </c>
      <c r="E369" s="39"/>
      <c r="F369" s="39"/>
      <c r="G369" s="39"/>
      <c r="H369" s="39"/>
      <c r="I369" s="39"/>
      <c r="J369" s="722"/>
    </row>
    <row r="370" spans="2:10" x14ac:dyDescent="0.2">
      <c r="B370" s="745"/>
      <c r="C370" s="275"/>
      <c r="D370" s="39"/>
      <c r="E370" s="39"/>
      <c r="F370" s="39"/>
      <c r="G370" s="39"/>
      <c r="H370" s="39"/>
      <c r="I370" s="39"/>
      <c r="J370" s="722"/>
    </row>
    <row r="371" spans="2:10" x14ac:dyDescent="0.2">
      <c r="B371" s="723" t="s">
        <v>11</v>
      </c>
      <c r="C371" s="275"/>
      <c r="D371" s="39"/>
      <c r="E371" s="39"/>
      <c r="F371" s="39"/>
      <c r="G371" s="39"/>
      <c r="H371" s="39"/>
      <c r="I371" s="39"/>
      <c r="J371" s="722"/>
    </row>
    <row r="372" spans="2:10" x14ac:dyDescent="0.2">
      <c r="B372" s="745"/>
      <c r="C372" s="275"/>
      <c r="D372" s="39"/>
      <c r="E372" s="39"/>
      <c r="F372" s="39"/>
      <c r="G372" s="39"/>
      <c r="H372" s="39"/>
      <c r="I372" s="39"/>
      <c r="J372" s="722"/>
    </row>
    <row r="373" spans="2:10" x14ac:dyDescent="0.2">
      <c r="B373" s="1272" t="s">
        <v>1112</v>
      </c>
      <c r="C373" s="1273"/>
      <c r="D373" s="755">
        <f>D368*(((PI()*D6^2)/4)*(E6))^D369</f>
        <v>65656.048742040264</v>
      </c>
      <c r="E373" s="39"/>
      <c r="F373" s="39"/>
      <c r="G373" s="39"/>
      <c r="H373" s="39"/>
      <c r="I373" s="39"/>
      <c r="J373" s="722"/>
    </row>
    <row r="374" spans="2:10" x14ac:dyDescent="0.2">
      <c r="B374" s="1272" t="s">
        <v>894</v>
      </c>
      <c r="C374" s="1273"/>
      <c r="D374" s="757">
        <f>'PPI Calculation'!D262</f>
        <v>1.4909916727009414</v>
      </c>
      <c r="E374" s="39"/>
      <c r="F374" s="39"/>
      <c r="G374" s="39"/>
      <c r="H374" s="39"/>
      <c r="I374" s="39"/>
      <c r="J374" s="722"/>
    </row>
    <row r="375" spans="2:10" x14ac:dyDescent="0.2">
      <c r="B375" s="1272" t="s">
        <v>1060</v>
      </c>
      <c r="C375" s="1273"/>
      <c r="D375" s="755">
        <f>D374*D373</f>
        <v>97892.621936829149</v>
      </c>
      <c r="E375" s="39"/>
      <c r="F375" s="39"/>
      <c r="G375" s="39"/>
      <c r="H375" s="39"/>
      <c r="I375" s="39"/>
      <c r="J375" s="722"/>
    </row>
    <row r="376" spans="2:10" x14ac:dyDescent="0.2">
      <c r="B376" s="745"/>
      <c r="C376" s="275"/>
      <c r="D376" s="39"/>
      <c r="E376" s="39"/>
      <c r="F376" s="39"/>
      <c r="G376" s="39"/>
      <c r="H376" s="39"/>
      <c r="I376" s="39"/>
      <c r="J376" s="722"/>
    </row>
    <row r="377" spans="2:10" ht="13.5" thickBot="1" x14ac:dyDescent="0.25">
      <c r="B377" s="779"/>
      <c r="C377" s="730"/>
      <c r="D377" s="732"/>
      <c r="E377" s="732"/>
      <c r="F377" s="732"/>
      <c r="G377" s="732"/>
      <c r="H377" s="732"/>
      <c r="I377" s="732"/>
      <c r="J377" s="733"/>
    </row>
    <row r="378" spans="2:10" ht="13.5" thickTop="1" x14ac:dyDescent="0.2">
      <c r="B378" s="717" t="s">
        <v>1099</v>
      </c>
      <c r="C378" s="744"/>
      <c r="D378" s="738"/>
      <c r="E378" s="738"/>
      <c r="F378" s="738"/>
      <c r="G378" s="738"/>
      <c r="H378" s="738"/>
      <c r="I378" s="738"/>
      <c r="J378" s="739"/>
    </row>
    <row r="379" spans="2:10" x14ac:dyDescent="0.2">
      <c r="B379" s="721"/>
      <c r="C379" s="781"/>
      <c r="D379" s="39"/>
      <c r="E379" s="39"/>
      <c r="F379" s="39"/>
      <c r="G379" s="39"/>
      <c r="H379" s="39"/>
      <c r="I379" s="39"/>
      <c r="J379" s="722"/>
    </row>
    <row r="380" spans="2:10" x14ac:dyDescent="0.2">
      <c r="B380" s="1270" t="s">
        <v>1107</v>
      </c>
      <c r="C380" s="1271"/>
      <c r="D380" s="137">
        <f>'L-B Transportation'!B14</f>
        <v>1.5809999999999999E-5</v>
      </c>
      <c r="E380" s="39"/>
      <c r="F380" s="39"/>
      <c r="G380" s="39"/>
      <c r="H380" s="39"/>
      <c r="I380" s="39"/>
      <c r="J380" s="722"/>
    </row>
    <row r="381" spans="2:10" x14ac:dyDescent="0.2">
      <c r="B381" s="1270" t="s">
        <v>1108</v>
      </c>
      <c r="C381" s="1271"/>
      <c r="D381" s="137">
        <f>'L-B Transportation'!B15</f>
        <v>-3.7499999999999999E-2</v>
      </c>
      <c r="E381" s="39"/>
      <c r="F381" s="39"/>
      <c r="G381" s="39"/>
      <c r="H381" s="39"/>
      <c r="I381" s="39"/>
      <c r="J381" s="722"/>
    </row>
    <row r="382" spans="2:10" x14ac:dyDescent="0.2">
      <c r="B382" s="1270" t="s">
        <v>1109</v>
      </c>
      <c r="C382" s="1271"/>
      <c r="D382" s="137">
        <f>'L-B Transportation'!B16</f>
        <v>54.7</v>
      </c>
      <c r="E382" s="39"/>
      <c r="F382" s="39"/>
      <c r="G382" s="39"/>
      <c r="H382" s="39"/>
      <c r="I382" s="39"/>
      <c r="J382" s="722"/>
    </row>
    <row r="383" spans="2:10" x14ac:dyDescent="0.2">
      <c r="B383" s="721"/>
      <c r="C383" s="781"/>
      <c r="D383" s="39"/>
      <c r="E383" s="39"/>
      <c r="F383" s="39"/>
      <c r="G383" s="39"/>
      <c r="H383" s="39"/>
      <c r="I383" s="39"/>
      <c r="J383" s="722"/>
    </row>
    <row r="384" spans="2:10" x14ac:dyDescent="0.2">
      <c r="B384" s="723" t="s">
        <v>1110</v>
      </c>
      <c r="C384" s="781"/>
      <c r="D384" s="39"/>
      <c r="E384" s="39"/>
      <c r="F384" s="39"/>
      <c r="G384" s="39"/>
      <c r="H384" s="39"/>
      <c r="I384" s="39"/>
      <c r="J384" s="722"/>
    </row>
    <row r="385" spans="2:10" x14ac:dyDescent="0.2">
      <c r="B385" s="721"/>
      <c r="C385" s="781"/>
      <c r="D385" s="39"/>
      <c r="E385" s="39"/>
      <c r="F385" s="39"/>
      <c r="G385" s="39"/>
      <c r="H385" s="39"/>
      <c r="I385" s="39"/>
      <c r="J385" s="722"/>
    </row>
    <row r="386" spans="2:10" x14ac:dyDescent="0.2">
      <c r="B386" s="723" t="s">
        <v>1111</v>
      </c>
      <c r="C386" s="781"/>
      <c r="D386" s="39"/>
      <c r="E386" s="39"/>
      <c r="F386" s="39"/>
      <c r="G386" s="39"/>
      <c r="H386" s="39"/>
      <c r="I386" s="39"/>
      <c r="J386" s="722"/>
    </row>
    <row r="387" spans="2:10" x14ac:dyDescent="0.2">
      <c r="B387" s="721"/>
      <c r="C387" s="781"/>
      <c r="D387" s="39"/>
      <c r="E387" s="39"/>
      <c r="F387" s="39"/>
      <c r="G387" s="39"/>
      <c r="H387" s="39"/>
      <c r="I387" s="39"/>
      <c r="J387" s="722"/>
    </row>
    <row r="388" spans="2:10" x14ac:dyDescent="0.2">
      <c r="B388" s="1272" t="s">
        <v>1112</v>
      </c>
      <c r="C388" s="1273"/>
      <c r="D388" s="755">
        <f>(D380*B6^2+D381*B6+D382)*B6</f>
        <v>77835.290509999992</v>
      </c>
      <c r="E388" s="39"/>
      <c r="F388" s="39"/>
      <c r="G388" s="39"/>
      <c r="H388" s="39"/>
      <c r="I388" s="39"/>
      <c r="J388" s="722"/>
    </row>
    <row r="389" spans="2:10" x14ac:dyDescent="0.2">
      <c r="B389" s="1272" t="s">
        <v>894</v>
      </c>
      <c r="C389" s="1273"/>
      <c r="D389" s="757">
        <f>'PPI Calculation'!D171</f>
        <v>1.1665150136487714</v>
      </c>
      <c r="E389" s="39"/>
      <c r="F389" s="39"/>
      <c r="G389" s="39"/>
      <c r="H389" s="39"/>
      <c r="I389" s="39"/>
      <c r="J389" s="722"/>
    </row>
    <row r="390" spans="2:10" x14ac:dyDescent="0.2">
      <c r="B390" s="1272" t="s">
        <v>1060</v>
      </c>
      <c r="C390" s="1273"/>
      <c r="D390" s="755">
        <f>D389*D388</f>
        <v>90796.034971628731</v>
      </c>
      <c r="E390" s="39"/>
      <c r="F390" s="39"/>
      <c r="G390" s="39"/>
      <c r="H390" s="39"/>
      <c r="I390" s="39"/>
      <c r="J390" s="722"/>
    </row>
    <row r="391" spans="2:10" ht="13.5" thickBot="1" x14ac:dyDescent="0.25">
      <c r="B391" s="743"/>
      <c r="C391" s="783"/>
      <c r="D391" s="732"/>
      <c r="E391" s="732"/>
      <c r="F391" s="732"/>
      <c r="G391" s="732"/>
      <c r="H391" s="732"/>
      <c r="I391" s="732"/>
      <c r="J391" s="733"/>
    </row>
    <row r="392" spans="2:10" ht="13.5" thickTop="1" x14ac:dyDescent="0.2">
      <c r="B392" s="717" t="s">
        <v>1100</v>
      </c>
      <c r="C392" s="744"/>
      <c r="D392" s="738"/>
      <c r="E392" s="738"/>
      <c r="F392" s="738"/>
      <c r="G392" s="738"/>
      <c r="H392" s="738"/>
      <c r="I392" s="738"/>
      <c r="J392" s="739"/>
    </row>
    <row r="393" spans="2:10" x14ac:dyDescent="0.2">
      <c r="B393" s="721"/>
      <c r="C393" s="781"/>
      <c r="D393" s="39"/>
      <c r="E393" s="39"/>
      <c r="F393" s="39"/>
      <c r="G393" s="39"/>
      <c r="H393" s="39"/>
      <c r="I393" s="39"/>
      <c r="J393" s="722"/>
    </row>
    <row r="394" spans="2:10" x14ac:dyDescent="0.2">
      <c r="B394" s="1270" t="s">
        <v>1113</v>
      </c>
      <c r="C394" s="1271"/>
      <c r="D394" s="785">
        <f>'L-B Roads, Civil'!B13</f>
        <v>2.17E-6</v>
      </c>
      <c r="E394" s="39"/>
      <c r="F394" s="39"/>
      <c r="G394" s="39"/>
      <c r="H394" s="39"/>
      <c r="I394" s="39"/>
      <c r="J394" s="722"/>
    </row>
    <row r="395" spans="2:10" x14ac:dyDescent="0.2">
      <c r="B395" s="1270" t="s">
        <v>1116</v>
      </c>
      <c r="C395" s="1271"/>
      <c r="D395" s="137">
        <f>'L-B Roads, Civil'!B14</f>
        <v>-1.4500000000000001E-2</v>
      </c>
      <c r="E395" s="39"/>
      <c r="F395" s="39"/>
      <c r="G395" s="39"/>
      <c r="H395" s="39"/>
      <c r="I395" s="39"/>
      <c r="J395" s="722"/>
    </row>
    <row r="396" spans="2:10" x14ac:dyDescent="0.2">
      <c r="B396" s="1270" t="s">
        <v>1114</v>
      </c>
      <c r="C396" s="1271"/>
      <c r="D396" s="137">
        <f>'L-B Roads, Civil'!B15</f>
        <v>69.540000000000006</v>
      </c>
      <c r="E396" s="39"/>
      <c r="F396" s="39"/>
      <c r="G396" s="39"/>
      <c r="H396" s="39"/>
      <c r="I396" s="39"/>
      <c r="J396" s="722"/>
    </row>
    <row r="397" spans="2:10" x14ac:dyDescent="0.2">
      <c r="B397" s="721"/>
      <c r="C397" s="781"/>
      <c r="D397" s="39"/>
      <c r="E397" s="39"/>
      <c r="F397" s="39"/>
      <c r="G397" s="39"/>
      <c r="H397" s="39"/>
      <c r="I397" s="39"/>
      <c r="J397" s="722"/>
    </row>
    <row r="398" spans="2:10" x14ac:dyDescent="0.2">
      <c r="B398" s="723" t="s">
        <v>1117</v>
      </c>
      <c r="C398" s="781"/>
      <c r="D398" s="39"/>
      <c r="E398" s="39"/>
      <c r="F398" s="39"/>
      <c r="G398" s="39"/>
      <c r="H398" s="39"/>
      <c r="I398" s="39"/>
      <c r="J398" s="722"/>
    </row>
    <row r="399" spans="2:10" x14ac:dyDescent="0.2">
      <c r="B399" s="721"/>
      <c r="C399" s="781"/>
      <c r="D399" s="39"/>
      <c r="E399" s="39"/>
      <c r="F399" s="39"/>
      <c r="G399" s="39"/>
      <c r="H399" s="39"/>
      <c r="I399" s="39"/>
      <c r="J399" s="722"/>
    </row>
    <row r="400" spans="2:10" x14ac:dyDescent="0.2">
      <c r="B400" s="723" t="s">
        <v>1115</v>
      </c>
      <c r="C400" s="781"/>
      <c r="D400" s="39"/>
      <c r="E400" s="39"/>
      <c r="F400" s="39"/>
      <c r="G400" s="39"/>
      <c r="H400" s="39"/>
      <c r="I400" s="39"/>
      <c r="J400" s="722"/>
    </row>
    <row r="401" spans="2:10" x14ac:dyDescent="0.2">
      <c r="B401" s="721"/>
      <c r="C401" s="781"/>
      <c r="D401" s="39"/>
      <c r="E401" s="39"/>
      <c r="F401" s="39"/>
      <c r="G401" s="39"/>
      <c r="H401" s="39"/>
      <c r="I401" s="39"/>
      <c r="J401" s="722"/>
    </row>
    <row r="402" spans="2:10" x14ac:dyDescent="0.2">
      <c r="B402" s="1272" t="s">
        <v>1118</v>
      </c>
      <c r="C402" s="1273"/>
      <c r="D402" s="755">
        <f>(D394*B6^2+D395*B6+D396)*B6</f>
        <v>95044.23007000002</v>
      </c>
      <c r="E402" s="39"/>
      <c r="F402" s="39"/>
      <c r="G402" s="39"/>
      <c r="H402" s="39"/>
      <c r="I402" s="39"/>
      <c r="J402" s="722"/>
    </row>
    <row r="403" spans="2:10" x14ac:dyDescent="0.2">
      <c r="B403" s="1272" t="s">
        <v>894</v>
      </c>
      <c r="C403" s="1273"/>
      <c r="D403" s="757">
        <f>'PPI Calculation'!D268</f>
        <v>1.6153810763888889</v>
      </c>
      <c r="E403" s="39"/>
      <c r="F403" s="39"/>
      <c r="G403" s="39"/>
      <c r="H403" s="39"/>
      <c r="I403" s="39"/>
      <c r="J403" s="722"/>
    </row>
    <row r="404" spans="2:10" x14ac:dyDescent="0.2">
      <c r="B404" s="1272" t="s">
        <v>1060</v>
      </c>
      <c r="C404" s="1273"/>
      <c r="D404" s="755">
        <f>D403*D402</f>
        <v>153532.65067502984</v>
      </c>
      <c r="E404" s="39"/>
      <c r="F404" s="39"/>
      <c r="G404" s="39"/>
      <c r="H404" s="39"/>
      <c r="I404" s="39"/>
      <c r="J404" s="722"/>
    </row>
    <row r="405" spans="2:10" ht="13.5" thickBot="1" x14ac:dyDescent="0.25">
      <c r="B405" s="743"/>
      <c r="C405" s="783"/>
      <c r="D405" s="732"/>
      <c r="E405" s="732"/>
      <c r="F405" s="732"/>
      <c r="G405" s="732"/>
      <c r="H405" s="732"/>
      <c r="I405" s="732"/>
      <c r="J405" s="733"/>
    </row>
    <row r="406" spans="2:10" ht="13.5" thickTop="1" x14ac:dyDescent="0.2">
      <c r="B406" s="721" t="s">
        <v>1101</v>
      </c>
      <c r="C406" s="781"/>
      <c r="D406" s="39"/>
      <c r="E406" s="39"/>
      <c r="F406" s="39"/>
      <c r="G406" s="39"/>
      <c r="H406" s="39"/>
      <c r="I406" s="39"/>
      <c r="J406" s="722"/>
    </row>
    <row r="407" spans="2:10" x14ac:dyDescent="0.2">
      <c r="B407" s="721"/>
      <c r="C407" s="781"/>
      <c r="D407" s="39"/>
      <c r="E407" s="39"/>
      <c r="F407" s="39"/>
      <c r="G407" s="39"/>
      <c r="H407" s="39"/>
      <c r="I407" s="39"/>
      <c r="J407" s="722"/>
    </row>
    <row r="408" spans="2:10" x14ac:dyDescent="0.2">
      <c r="B408" s="1270" t="s">
        <v>1119</v>
      </c>
      <c r="C408" s="1271"/>
      <c r="D408" s="137">
        <f>'L-B Assembly, Install'!B15</f>
        <v>1.9650000000000001</v>
      </c>
      <c r="E408" s="39"/>
      <c r="F408" s="39"/>
      <c r="G408" s="39"/>
      <c r="H408" s="39"/>
      <c r="I408" s="39"/>
      <c r="J408" s="722"/>
    </row>
    <row r="409" spans="2:10" x14ac:dyDescent="0.2">
      <c r="B409" s="1270" t="s">
        <v>1120</v>
      </c>
      <c r="C409" s="1271"/>
      <c r="D409" s="137">
        <f>'L-B Assembly, Install'!B16</f>
        <v>1.1736</v>
      </c>
      <c r="E409" s="39"/>
      <c r="F409" s="39"/>
      <c r="G409" s="39"/>
      <c r="H409" s="39"/>
      <c r="I409" s="39"/>
      <c r="J409" s="722"/>
    </row>
    <row r="410" spans="2:10" x14ac:dyDescent="0.2">
      <c r="B410" s="721"/>
      <c r="C410" s="781"/>
      <c r="D410" s="39"/>
      <c r="E410" s="39"/>
      <c r="F410" s="39"/>
      <c r="G410" s="39"/>
      <c r="H410" s="39"/>
      <c r="I410" s="39"/>
      <c r="J410" s="722"/>
    </row>
    <row r="411" spans="2:10" x14ac:dyDescent="0.2">
      <c r="B411" s="723" t="s">
        <v>1121</v>
      </c>
      <c r="C411" s="781"/>
      <c r="D411" s="39"/>
      <c r="E411" s="39"/>
      <c r="F411" s="39"/>
      <c r="G411" s="39"/>
      <c r="H411" s="39"/>
      <c r="I411" s="39"/>
      <c r="J411" s="722"/>
    </row>
    <row r="412" spans="2:10" x14ac:dyDescent="0.2">
      <c r="B412" s="721"/>
      <c r="C412" s="781"/>
      <c r="D412" s="39"/>
      <c r="E412" s="39"/>
      <c r="F412" s="39"/>
      <c r="G412" s="39"/>
      <c r="H412" s="39"/>
      <c r="I412" s="39"/>
      <c r="J412" s="722"/>
    </row>
    <row r="413" spans="2:10" x14ac:dyDescent="0.2">
      <c r="B413" s="1272" t="s">
        <v>1122</v>
      </c>
      <c r="C413" s="1273"/>
      <c r="D413" s="755">
        <f>D408*(E6*D6)^D409</f>
        <v>74971.5699739517</v>
      </c>
      <c r="E413" s="39"/>
      <c r="F413" s="39"/>
      <c r="G413" s="39"/>
      <c r="H413" s="39"/>
      <c r="I413" s="39"/>
      <c r="J413" s="722"/>
    </row>
    <row r="414" spans="2:10" x14ac:dyDescent="0.2">
      <c r="B414" s="1272" t="s">
        <v>894</v>
      </c>
      <c r="C414" s="1273"/>
      <c r="D414" s="757">
        <f>'PPI Calculation'!D183</f>
        <v>1.4909916727009414</v>
      </c>
      <c r="E414" s="39"/>
      <c r="F414" s="39"/>
      <c r="G414" s="39"/>
      <c r="H414" s="39"/>
      <c r="I414" s="39"/>
      <c r="J414" s="722"/>
    </row>
    <row r="415" spans="2:10" x14ac:dyDescent="0.2">
      <c r="B415" s="1272" t="s">
        <v>1060</v>
      </c>
      <c r="C415" s="1273"/>
      <c r="D415" s="755">
        <f>D414*D413</f>
        <v>111781.98652047792</v>
      </c>
      <c r="E415" s="39"/>
      <c r="F415" s="39"/>
      <c r="G415" s="39"/>
      <c r="H415" s="39"/>
      <c r="I415" s="39"/>
      <c r="J415" s="722"/>
    </row>
    <row r="416" spans="2:10" ht="13.5" thickBot="1" x14ac:dyDescent="0.25">
      <c r="B416" s="743"/>
      <c r="C416" s="783"/>
      <c r="D416" s="732"/>
      <c r="E416" s="732"/>
      <c r="F416" s="732"/>
      <c r="G416" s="732"/>
      <c r="H416" s="732"/>
      <c r="I416" s="732"/>
      <c r="J416" s="733"/>
    </row>
    <row r="417" spans="2:10" ht="13.5" thickTop="1" x14ac:dyDescent="0.2">
      <c r="B417" s="717" t="s">
        <v>1102</v>
      </c>
      <c r="C417" s="744"/>
      <c r="D417" s="738"/>
      <c r="E417" s="738"/>
      <c r="F417" s="738"/>
      <c r="G417" s="738"/>
      <c r="H417" s="738"/>
      <c r="I417" s="738"/>
      <c r="J417" s="739"/>
    </row>
    <row r="418" spans="2:10" x14ac:dyDescent="0.2">
      <c r="B418" s="721"/>
      <c r="C418" s="781"/>
      <c r="D418" s="39"/>
      <c r="E418" s="39"/>
      <c r="F418" s="39"/>
      <c r="G418" s="39"/>
      <c r="H418" s="39"/>
      <c r="I418" s="39"/>
      <c r="J418" s="722"/>
    </row>
    <row r="419" spans="2:10" x14ac:dyDescent="0.2">
      <c r="B419" s="1270" t="s">
        <v>1124</v>
      </c>
      <c r="C419" s="1271"/>
      <c r="D419" s="785">
        <f>'L-B Electrical Interconnection'!B13</f>
        <v>3.49E-6</v>
      </c>
      <c r="E419" s="39"/>
      <c r="F419" s="39"/>
      <c r="G419" s="39"/>
      <c r="H419" s="39"/>
      <c r="I419" s="39"/>
      <c r="J419" s="722"/>
    </row>
    <row r="420" spans="2:10" x14ac:dyDescent="0.2">
      <c r="B420" s="1270" t="s">
        <v>1125</v>
      </c>
      <c r="C420" s="1271"/>
      <c r="D420" s="137">
        <f>'L-B Electrical Interconnection'!B14</f>
        <v>-2.2100000000000002E-2</v>
      </c>
      <c r="E420" s="39"/>
      <c r="F420" s="39"/>
      <c r="G420" s="39"/>
      <c r="H420" s="39"/>
      <c r="I420" s="39"/>
      <c r="J420" s="722"/>
    </row>
    <row r="421" spans="2:10" x14ac:dyDescent="0.2">
      <c r="B421" s="1270" t="s">
        <v>1123</v>
      </c>
      <c r="C421" s="1271"/>
      <c r="D421" s="137">
        <f>'L-B Electrical Interconnection'!B15</f>
        <v>109.7</v>
      </c>
      <c r="E421" s="39"/>
      <c r="F421" s="39"/>
      <c r="G421" s="39"/>
      <c r="H421" s="39"/>
      <c r="I421" s="39"/>
      <c r="J421" s="722"/>
    </row>
    <row r="422" spans="2:10" x14ac:dyDescent="0.2">
      <c r="B422" s="721"/>
      <c r="C422" s="781"/>
      <c r="D422" s="39"/>
      <c r="E422" s="39"/>
      <c r="F422" s="39"/>
      <c r="G422" s="39"/>
      <c r="H422" s="39"/>
      <c r="I422" s="39"/>
      <c r="J422" s="722"/>
    </row>
    <row r="423" spans="2:10" x14ac:dyDescent="0.2">
      <c r="B423" s="740" t="s">
        <v>1127</v>
      </c>
      <c r="C423" s="781"/>
      <c r="D423" s="39"/>
      <c r="E423" s="39"/>
      <c r="F423" s="39"/>
      <c r="G423" s="39"/>
      <c r="H423" s="39"/>
      <c r="I423" s="39"/>
      <c r="J423" s="722"/>
    </row>
    <row r="424" spans="2:10" x14ac:dyDescent="0.2">
      <c r="B424" s="721"/>
      <c r="C424" s="781"/>
      <c r="D424" s="39"/>
      <c r="E424" s="39"/>
      <c r="F424" s="39"/>
      <c r="G424" s="39"/>
      <c r="H424" s="39"/>
      <c r="I424" s="39"/>
      <c r="J424" s="722"/>
    </row>
    <row r="425" spans="2:10" x14ac:dyDescent="0.2">
      <c r="B425" s="723" t="s">
        <v>1126</v>
      </c>
      <c r="C425" s="781"/>
      <c r="D425" s="39"/>
      <c r="E425" s="39"/>
      <c r="F425" s="39"/>
      <c r="G425" s="39"/>
      <c r="H425" s="39"/>
      <c r="I425" s="39"/>
      <c r="J425" s="722"/>
    </row>
    <row r="426" spans="2:10" x14ac:dyDescent="0.2">
      <c r="B426" s="721"/>
      <c r="C426" s="781"/>
      <c r="D426" s="39"/>
      <c r="E426" s="39"/>
      <c r="F426" s="39"/>
      <c r="G426" s="39"/>
      <c r="H426" s="39"/>
      <c r="I426" s="39"/>
      <c r="J426" s="722"/>
    </row>
    <row r="427" spans="2:10" x14ac:dyDescent="0.2">
      <c r="B427" s="1272" t="s">
        <v>1128</v>
      </c>
      <c r="C427" s="1273"/>
      <c r="D427" s="755">
        <f>(D419*B6^2+D420*B6+D421)*B6</f>
        <v>153221.85978999999</v>
      </c>
      <c r="E427" s="39"/>
      <c r="F427" s="39"/>
      <c r="G427" s="39"/>
      <c r="H427" s="39"/>
      <c r="I427" s="39"/>
      <c r="J427" s="722"/>
    </row>
    <row r="428" spans="2:10" x14ac:dyDescent="0.2">
      <c r="B428" s="1272" t="s">
        <v>894</v>
      </c>
      <c r="C428" s="1273"/>
      <c r="D428" s="757">
        <f>'PPI Calculation'!D205</f>
        <v>1.8233923612593923</v>
      </c>
      <c r="E428" s="39"/>
      <c r="F428" s="39"/>
      <c r="G428" s="39"/>
      <c r="H428" s="39"/>
      <c r="I428" s="39"/>
      <c r="J428" s="722"/>
    </row>
    <row r="429" spans="2:10" x14ac:dyDescent="0.2">
      <c r="B429" s="1272" t="s">
        <v>1060</v>
      </c>
      <c r="C429" s="1273"/>
      <c r="D429" s="755">
        <f>D428*D427</f>
        <v>279383.56871904363</v>
      </c>
      <c r="E429" s="39"/>
      <c r="F429" s="39"/>
      <c r="G429" s="39"/>
      <c r="H429" s="39"/>
      <c r="I429" s="39"/>
      <c r="J429" s="722"/>
    </row>
    <row r="430" spans="2:10" ht="13.5" thickBot="1" x14ac:dyDescent="0.25">
      <c r="B430" s="743"/>
      <c r="C430" s="783"/>
      <c r="D430" s="732"/>
      <c r="E430" s="732"/>
      <c r="F430" s="732"/>
      <c r="G430" s="732"/>
      <c r="H430" s="732"/>
      <c r="I430" s="732"/>
      <c r="J430" s="733"/>
    </row>
    <row r="431" spans="2:10" ht="13.5" thickTop="1" x14ac:dyDescent="0.2">
      <c r="B431" s="717" t="s">
        <v>1103</v>
      </c>
      <c r="C431" s="744"/>
      <c r="D431" s="738"/>
      <c r="E431" s="738"/>
      <c r="F431" s="738"/>
      <c r="G431" s="738"/>
      <c r="H431" s="738"/>
      <c r="I431" s="738"/>
      <c r="J431" s="739"/>
    </row>
    <row r="432" spans="2:10" x14ac:dyDescent="0.2">
      <c r="B432" s="721"/>
      <c r="C432" s="781"/>
      <c r="D432" s="39"/>
      <c r="E432" s="39"/>
      <c r="F432" s="39"/>
      <c r="G432" s="39"/>
      <c r="H432" s="39"/>
      <c r="I432" s="39"/>
      <c r="J432" s="722"/>
    </row>
    <row r="433" spans="2:10" x14ac:dyDescent="0.2">
      <c r="B433" s="1270" t="s">
        <v>1131</v>
      </c>
      <c r="C433" s="1271"/>
      <c r="D433" s="785">
        <f>'L-B Permits &amp; Eng'!B13</f>
        <v>9.9400000000000009E-4</v>
      </c>
      <c r="E433" s="39"/>
      <c r="F433" s="39"/>
      <c r="G433" s="39"/>
      <c r="H433" s="39"/>
      <c r="I433" s="39"/>
      <c r="J433" s="722"/>
    </row>
    <row r="434" spans="2:10" x14ac:dyDescent="0.2">
      <c r="B434" s="1270" t="s">
        <v>1132</v>
      </c>
      <c r="C434" s="1271"/>
      <c r="D434" s="767">
        <f>'L-B Permits &amp; Eng'!B14</f>
        <v>20.309999999999999</v>
      </c>
      <c r="E434" s="39"/>
      <c r="F434" s="39"/>
      <c r="G434" s="39"/>
      <c r="H434" s="39"/>
      <c r="I434" s="39"/>
      <c r="J434" s="722"/>
    </row>
    <row r="435" spans="2:10" x14ac:dyDescent="0.2">
      <c r="B435" s="721"/>
      <c r="C435" s="781"/>
      <c r="D435" s="39"/>
      <c r="E435" s="39"/>
      <c r="F435" s="39"/>
      <c r="G435" s="39"/>
      <c r="H435" s="39"/>
      <c r="I435" s="39"/>
      <c r="J435" s="722"/>
    </row>
    <row r="436" spans="2:10" x14ac:dyDescent="0.2">
      <c r="B436" s="723" t="s">
        <v>1133</v>
      </c>
      <c r="C436" s="781"/>
      <c r="D436" s="39"/>
      <c r="E436" s="39"/>
      <c r="F436" s="39"/>
      <c r="G436" s="39"/>
      <c r="H436" s="39"/>
      <c r="I436" s="39"/>
      <c r="J436" s="722"/>
    </row>
    <row r="437" spans="2:10" x14ac:dyDescent="0.2">
      <c r="B437" s="721"/>
      <c r="C437" s="781"/>
      <c r="D437" s="39"/>
      <c r="E437" s="39"/>
      <c r="F437" s="39"/>
      <c r="G437" s="39"/>
      <c r="H437" s="39"/>
      <c r="I437" s="39"/>
      <c r="J437" s="722"/>
    </row>
    <row r="438" spans="2:10" x14ac:dyDescent="0.2">
      <c r="B438" s="1272" t="s">
        <v>1134</v>
      </c>
      <c r="C438" s="1273"/>
      <c r="D438" s="755">
        <f>D433*B6^2+D434*B6</f>
        <v>42418.311399999999</v>
      </c>
      <c r="E438" s="39"/>
      <c r="F438" s="39"/>
      <c r="G438" s="39"/>
      <c r="H438" s="39"/>
      <c r="I438" s="39"/>
      <c r="J438" s="722"/>
    </row>
    <row r="439" spans="2:10" x14ac:dyDescent="0.2">
      <c r="B439" s="1272" t="s">
        <v>894</v>
      </c>
      <c r="C439" s="1273"/>
      <c r="D439" s="757">
        <f>'PPI Calculation'!D226</f>
        <v>1.1263362487852282</v>
      </c>
      <c r="E439" s="39"/>
      <c r="F439" s="39"/>
      <c r="G439" s="39"/>
      <c r="H439" s="39"/>
      <c r="I439" s="39"/>
      <c r="J439" s="722"/>
    </row>
    <row r="440" spans="2:10" x14ac:dyDescent="0.2">
      <c r="B440" s="1272" t="s">
        <v>1060</v>
      </c>
      <c r="C440" s="1273"/>
      <c r="D440" s="755">
        <f>D439*D438</f>
        <v>47777.281742079678</v>
      </c>
      <c r="E440" s="39"/>
      <c r="F440" s="39"/>
      <c r="G440" s="39"/>
      <c r="H440" s="39"/>
      <c r="I440" s="39"/>
      <c r="J440" s="722"/>
    </row>
    <row r="441" spans="2:10" ht="13.5" thickBot="1" x14ac:dyDescent="0.25">
      <c r="B441" s="743"/>
      <c r="C441" s="783"/>
      <c r="D441" s="732"/>
      <c r="E441" s="732"/>
      <c r="F441" s="732"/>
      <c r="G441" s="732"/>
      <c r="H441" s="732"/>
      <c r="I441" s="732"/>
      <c r="J441" s="733"/>
    </row>
    <row r="442" spans="2:10" ht="13.5" thickTop="1" x14ac:dyDescent="0.2">
      <c r="B442" s="717" t="s">
        <v>1135</v>
      </c>
      <c r="C442" s="744"/>
      <c r="D442" s="738"/>
      <c r="E442" s="738"/>
      <c r="F442" s="738"/>
      <c r="G442" s="738"/>
      <c r="H442" s="738"/>
      <c r="I442" s="738"/>
      <c r="J442" s="739"/>
    </row>
    <row r="443" spans="2:10" x14ac:dyDescent="0.2">
      <c r="B443" s="721"/>
      <c r="C443" s="781"/>
      <c r="D443" s="39"/>
      <c r="E443" s="39"/>
      <c r="F443" s="39"/>
      <c r="G443" s="39"/>
      <c r="H443" s="39"/>
      <c r="I443" s="39"/>
      <c r="J443" s="722"/>
    </row>
    <row r="444" spans="2:10" x14ac:dyDescent="0.2">
      <c r="B444" s="1270" t="s">
        <v>1137</v>
      </c>
      <c r="C444" s="1271"/>
      <c r="D444" s="532">
        <f>'L-B LRC'!B14</f>
        <v>10.7</v>
      </c>
      <c r="E444" s="39" t="s">
        <v>1139</v>
      </c>
      <c r="F444" s="39"/>
      <c r="G444" s="39"/>
      <c r="H444" s="39"/>
      <c r="I444" s="39"/>
      <c r="J444" s="722"/>
    </row>
    <row r="445" spans="2:10" x14ac:dyDescent="0.2">
      <c r="B445" s="721"/>
      <c r="C445" s="781"/>
      <c r="D445" s="39"/>
      <c r="E445" s="39"/>
      <c r="F445" s="39"/>
      <c r="G445" s="39"/>
      <c r="H445" s="39"/>
      <c r="I445" s="39"/>
      <c r="J445" s="722"/>
    </row>
    <row r="446" spans="2:10" x14ac:dyDescent="0.2">
      <c r="B446" s="723" t="s">
        <v>1138</v>
      </c>
      <c r="C446" s="781"/>
      <c r="D446" s="39"/>
      <c r="E446" s="39"/>
      <c r="F446" s="39"/>
      <c r="G446" s="39"/>
      <c r="H446" s="39"/>
      <c r="I446" s="39"/>
      <c r="J446" s="722"/>
    </row>
    <row r="447" spans="2:10" x14ac:dyDescent="0.2">
      <c r="B447" s="721"/>
      <c r="C447" s="781"/>
      <c r="D447" s="39"/>
      <c r="E447" s="39"/>
      <c r="F447" s="39"/>
      <c r="G447" s="39"/>
      <c r="H447" s="39"/>
      <c r="I447" s="39"/>
      <c r="J447" s="722"/>
    </row>
    <row r="448" spans="2:10" x14ac:dyDescent="0.2">
      <c r="B448" s="1272" t="s">
        <v>1142</v>
      </c>
      <c r="C448" s="1273"/>
      <c r="D448" s="755">
        <f>B6*D444</f>
        <v>20437</v>
      </c>
      <c r="E448" s="39"/>
      <c r="F448" s="39"/>
      <c r="G448" s="39"/>
      <c r="H448" s="39"/>
      <c r="I448" s="39"/>
      <c r="J448" s="722"/>
    </row>
    <row r="449" spans="2:10" x14ac:dyDescent="0.2">
      <c r="B449" s="1272" t="s">
        <v>894</v>
      </c>
      <c r="C449" s="1273"/>
      <c r="D449" s="757">
        <f>'PPI Calculation'!D236</f>
        <v>1.1263362487852282</v>
      </c>
      <c r="E449" s="39"/>
      <c r="F449" s="39"/>
      <c r="G449" s="39"/>
      <c r="H449" s="39"/>
      <c r="I449" s="39"/>
      <c r="J449" s="722"/>
    </row>
    <row r="450" spans="2:10" x14ac:dyDescent="0.2">
      <c r="B450" s="1272" t="s">
        <v>1060</v>
      </c>
      <c r="C450" s="1273"/>
      <c r="D450" s="755">
        <f>D449*D448</f>
        <v>23018.93391642371</v>
      </c>
      <c r="E450" s="39"/>
      <c r="F450" s="39"/>
      <c r="G450" s="39"/>
      <c r="H450" s="39"/>
      <c r="I450" s="39"/>
      <c r="J450" s="722"/>
    </row>
    <row r="451" spans="2:10" ht="13.5" thickBot="1" x14ac:dyDescent="0.25">
      <c r="B451" s="743"/>
      <c r="C451" s="783"/>
      <c r="D451" s="732"/>
      <c r="E451" s="732"/>
      <c r="F451" s="732"/>
      <c r="G451" s="732"/>
      <c r="H451" s="732"/>
      <c r="I451" s="732"/>
      <c r="J451" s="733"/>
    </row>
    <row r="452" spans="2:10" ht="13.5" thickTop="1" x14ac:dyDescent="0.2">
      <c r="B452" s="717" t="s">
        <v>1104</v>
      </c>
      <c r="C452" s="744"/>
      <c r="D452" s="738"/>
      <c r="E452" s="738"/>
      <c r="F452" s="738"/>
      <c r="G452" s="738"/>
      <c r="H452" s="738"/>
      <c r="I452" s="738"/>
      <c r="J452" s="739"/>
    </row>
    <row r="453" spans="2:10" x14ac:dyDescent="0.2">
      <c r="B453" s="721"/>
      <c r="C453" s="781"/>
      <c r="D453" s="39"/>
      <c r="E453" s="39"/>
      <c r="F453" s="39"/>
      <c r="G453" s="39"/>
      <c r="H453" s="39"/>
      <c r="I453" s="39"/>
      <c r="J453" s="722"/>
    </row>
    <row r="454" spans="2:10" x14ac:dyDescent="0.2">
      <c r="B454" s="1270" t="s">
        <v>1140</v>
      </c>
      <c r="C454" s="1271"/>
      <c r="D454" s="789">
        <f>'L-B O&amp;M'!B14</f>
        <v>7.0000000000000001E-3</v>
      </c>
      <c r="E454" s="39" t="s">
        <v>1136</v>
      </c>
      <c r="F454" s="39"/>
      <c r="G454" s="39"/>
      <c r="H454" s="39"/>
      <c r="I454" s="39"/>
      <c r="J454" s="722"/>
    </row>
    <row r="455" spans="2:10" x14ac:dyDescent="0.2">
      <c r="B455" s="721"/>
      <c r="C455" s="781"/>
      <c r="D455" s="39"/>
      <c r="E455" s="39"/>
      <c r="F455" s="39"/>
      <c r="G455" s="39"/>
      <c r="H455" s="39"/>
      <c r="I455" s="39"/>
      <c r="J455" s="722"/>
    </row>
    <row r="456" spans="2:10" x14ac:dyDescent="0.2">
      <c r="B456" s="723" t="s">
        <v>1141</v>
      </c>
      <c r="C456" s="781"/>
      <c r="D456" s="39"/>
      <c r="E456" s="39"/>
      <c r="F456" s="39"/>
      <c r="G456" s="39"/>
      <c r="H456" s="39"/>
      <c r="I456" s="39"/>
      <c r="J456" s="722"/>
    </row>
    <row r="457" spans="2:10" x14ac:dyDescent="0.2">
      <c r="B457" s="721"/>
      <c r="C457" s="781"/>
      <c r="D457" s="39"/>
      <c r="E457" s="39"/>
      <c r="F457" s="39"/>
      <c r="G457" s="39"/>
      <c r="H457" s="39"/>
      <c r="I457" s="39"/>
      <c r="J457" s="722"/>
    </row>
    <row r="458" spans="2:10" x14ac:dyDescent="0.2">
      <c r="B458" s="1272" t="s">
        <v>1145</v>
      </c>
      <c r="C458" s="1273"/>
      <c r="D458" s="755">
        <f>D454*'Cost Summary'!B65*1000</f>
        <v>54736.316752627637</v>
      </c>
      <c r="E458" s="39"/>
      <c r="F458" s="39"/>
      <c r="G458" s="39"/>
      <c r="H458" s="39"/>
      <c r="I458" s="39"/>
      <c r="J458" s="722"/>
    </row>
    <row r="459" spans="2:10" x14ac:dyDescent="0.2">
      <c r="B459" s="1272" t="s">
        <v>894</v>
      </c>
      <c r="C459" s="1273"/>
      <c r="D459" s="757">
        <f>'PPI Calculation'!D246</f>
        <v>1.1263362487852282</v>
      </c>
      <c r="E459" s="39"/>
      <c r="F459" s="39"/>
      <c r="G459" s="39"/>
      <c r="H459" s="39"/>
      <c r="I459" s="39"/>
      <c r="J459" s="722"/>
    </row>
    <row r="460" spans="2:10" x14ac:dyDescent="0.2">
      <c r="B460" s="1272" t="s">
        <v>1060</v>
      </c>
      <c r="C460" s="1273"/>
      <c r="D460" s="755">
        <f>D459*D458</f>
        <v>61651.497683474656</v>
      </c>
      <c r="E460" s="39"/>
      <c r="F460" s="39"/>
      <c r="G460" s="39"/>
      <c r="H460" s="39"/>
      <c r="I460" s="39"/>
      <c r="J460" s="722"/>
    </row>
    <row r="461" spans="2:10" ht="13.5" thickBot="1" x14ac:dyDescent="0.25">
      <c r="B461" s="743"/>
      <c r="C461" s="783"/>
      <c r="D461" s="732"/>
      <c r="E461" s="732"/>
      <c r="F461" s="732"/>
      <c r="G461" s="732"/>
      <c r="H461" s="732"/>
      <c r="I461" s="732"/>
      <c r="J461" s="733"/>
    </row>
    <row r="462" spans="2:10" ht="13.5" thickTop="1" x14ac:dyDescent="0.2">
      <c r="B462" s="717" t="s">
        <v>1105</v>
      </c>
      <c r="C462" s="744"/>
      <c r="D462" s="738"/>
      <c r="E462" s="738"/>
      <c r="F462" s="738"/>
      <c r="G462" s="738"/>
      <c r="H462" s="738"/>
      <c r="I462" s="738"/>
      <c r="J462" s="739"/>
    </row>
    <row r="463" spans="2:10" x14ac:dyDescent="0.2">
      <c r="B463" s="721"/>
      <c r="C463" s="781"/>
      <c r="D463" s="39"/>
      <c r="E463" s="39"/>
      <c r="F463" s="39"/>
      <c r="G463" s="39"/>
      <c r="H463" s="39"/>
      <c r="I463" s="39"/>
      <c r="J463" s="722"/>
    </row>
    <row r="464" spans="2:10" x14ac:dyDescent="0.2">
      <c r="B464" s="1270" t="s">
        <v>1143</v>
      </c>
      <c r="C464" s="1271"/>
      <c r="D464" s="790">
        <f>'L-B Lease Cost'!B14</f>
        <v>1.08E-3</v>
      </c>
      <c r="E464" s="39" t="s">
        <v>1136</v>
      </c>
      <c r="F464" s="39"/>
      <c r="G464" s="39"/>
      <c r="H464" s="39"/>
      <c r="I464" s="39"/>
      <c r="J464" s="722"/>
    </row>
    <row r="465" spans="2:10" x14ac:dyDescent="0.2">
      <c r="B465" s="721"/>
      <c r="C465" s="781"/>
      <c r="D465" s="39"/>
      <c r="E465" s="39"/>
      <c r="F465" s="39"/>
      <c r="G465" s="39"/>
      <c r="H465" s="39"/>
      <c r="I465" s="39"/>
      <c r="J465" s="722"/>
    </row>
    <row r="466" spans="2:10" x14ac:dyDescent="0.2">
      <c r="B466" s="723" t="s">
        <v>1144</v>
      </c>
      <c r="C466" s="781"/>
      <c r="D466" s="39"/>
      <c r="E466" s="39"/>
      <c r="F466" s="39"/>
      <c r="G466" s="39"/>
      <c r="H466" s="39"/>
      <c r="I466" s="39"/>
      <c r="J466" s="722"/>
    </row>
    <row r="467" spans="2:10" x14ac:dyDescent="0.2">
      <c r="B467" s="721"/>
      <c r="C467" s="781"/>
      <c r="D467" s="39"/>
      <c r="E467" s="39"/>
      <c r="F467" s="39"/>
      <c r="G467" s="39"/>
      <c r="H467" s="39"/>
      <c r="I467" s="39"/>
      <c r="J467" s="722"/>
    </row>
    <row r="468" spans="2:10" x14ac:dyDescent="0.2">
      <c r="B468" s="1272" t="s">
        <v>1146</v>
      </c>
      <c r="C468" s="1273"/>
      <c r="D468" s="755">
        <f>D464*'Cost Summary'!B65*1000</f>
        <v>8445.031727548263</v>
      </c>
      <c r="E468" s="39"/>
      <c r="F468" s="39"/>
      <c r="G468" s="39"/>
      <c r="H468" s="39"/>
      <c r="I468" s="39"/>
      <c r="J468" s="722"/>
    </row>
    <row r="469" spans="2:10" x14ac:dyDescent="0.2">
      <c r="B469" s="1272" t="s">
        <v>894</v>
      </c>
      <c r="C469" s="1273"/>
      <c r="D469" s="757">
        <f>'PPI Calculation'!D256</f>
        <v>1.1263362487852282</v>
      </c>
      <c r="E469" s="39"/>
      <c r="F469" s="39"/>
      <c r="G469" s="39"/>
      <c r="H469" s="39"/>
      <c r="I469" s="39"/>
      <c r="J469" s="722"/>
    </row>
    <row r="470" spans="2:10" x14ac:dyDescent="0.2">
      <c r="B470" s="1272" t="s">
        <v>1060</v>
      </c>
      <c r="C470" s="1273"/>
      <c r="D470" s="755">
        <f>D469*D468</f>
        <v>9511.9453568789449</v>
      </c>
      <c r="E470" s="39"/>
      <c r="F470" s="39"/>
      <c r="G470" s="39"/>
      <c r="H470" s="39"/>
      <c r="I470" s="39"/>
      <c r="J470" s="722"/>
    </row>
    <row r="471" spans="2:10" ht="13.5" thickBot="1" x14ac:dyDescent="0.25">
      <c r="B471" s="779"/>
      <c r="C471" s="730"/>
      <c r="D471" s="732"/>
      <c r="E471" s="732"/>
      <c r="F471" s="732"/>
      <c r="G471" s="732"/>
      <c r="H471" s="732"/>
      <c r="I471" s="732"/>
      <c r="J471" s="733"/>
    </row>
    <row r="472" spans="2:10" ht="13.5" thickTop="1" x14ac:dyDescent="0.2">
      <c r="B472" s="780"/>
      <c r="C472" s="275"/>
      <c r="D472" s="39"/>
      <c r="E472" s="39"/>
      <c r="F472" s="39"/>
      <c r="G472" s="39"/>
      <c r="H472" s="39"/>
      <c r="I472" s="39"/>
      <c r="J472" s="39"/>
    </row>
    <row r="473" spans="2:10" ht="13.5" thickBot="1" x14ac:dyDescent="0.25">
      <c r="B473" s="777" t="s">
        <v>995</v>
      </c>
      <c r="C473" s="730"/>
      <c r="D473" s="732"/>
      <c r="E473" s="732"/>
      <c r="F473" s="732"/>
    </row>
    <row r="474" spans="2:10" ht="14.25" thickTop="1" thickBot="1" x14ac:dyDescent="0.25">
      <c r="B474" s="780"/>
      <c r="C474" s="275"/>
      <c r="D474" s="39"/>
      <c r="E474" s="39"/>
      <c r="F474" s="39"/>
    </row>
    <row r="475" spans="2:10" ht="13.5" thickTop="1" x14ac:dyDescent="0.2">
      <c r="B475" s="717" t="s">
        <v>1147</v>
      </c>
      <c r="C475" s="737"/>
      <c r="D475" s="738"/>
      <c r="E475" s="738"/>
      <c r="F475" s="738"/>
      <c r="G475" s="738"/>
      <c r="H475" s="738"/>
      <c r="I475" s="738"/>
      <c r="J475" s="739"/>
    </row>
    <row r="476" spans="2:10" x14ac:dyDescent="0.2">
      <c r="B476" s="745"/>
      <c r="C476" s="275"/>
      <c r="D476" s="39"/>
      <c r="E476" s="39"/>
      <c r="F476" s="39"/>
      <c r="G476" s="39"/>
      <c r="H476" s="39"/>
      <c r="I476" s="39"/>
      <c r="J476" s="722"/>
    </row>
    <row r="477" spans="2:10" x14ac:dyDescent="0.2">
      <c r="B477" s="1270" t="s">
        <v>1157</v>
      </c>
      <c r="C477" s="1271"/>
      <c r="D477" s="792">
        <f>'OS Marinization'!B13</f>
        <v>0.1</v>
      </c>
      <c r="E477" s="39"/>
      <c r="F477" s="39"/>
      <c r="G477" s="39"/>
      <c r="H477" s="39"/>
      <c r="I477" s="39"/>
      <c r="J477" s="722"/>
    </row>
    <row r="478" spans="2:10" x14ac:dyDescent="0.2">
      <c r="B478" s="745"/>
      <c r="C478" s="275"/>
      <c r="D478" s="39"/>
      <c r="E478" s="39"/>
      <c r="F478" s="39"/>
      <c r="G478" s="39"/>
      <c r="H478" s="39"/>
      <c r="I478" s="39"/>
      <c r="J478" s="722"/>
    </row>
    <row r="479" spans="2:10" x14ac:dyDescent="0.2">
      <c r="B479" s="723" t="s">
        <v>1158</v>
      </c>
      <c r="C479" s="275"/>
      <c r="D479" s="39"/>
      <c r="E479" s="39"/>
      <c r="F479" s="39"/>
      <c r="G479" s="39"/>
      <c r="H479" s="39"/>
      <c r="I479" s="39"/>
      <c r="J479" s="722"/>
    </row>
    <row r="480" spans="2:10" x14ac:dyDescent="0.2">
      <c r="B480" s="745"/>
      <c r="C480" s="275"/>
      <c r="D480" s="39"/>
      <c r="E480" s="39"/>
      <c r="F480" s="39"/>
      <c r="G480" s="39"/>
      <c r="H480" s="39"/>
      <c r="I480" s="39"/>
      <c r="J480" s="722"/>
    </row>
    <row r="481" spans="2:10" x14ac:dyDescent="0.2">
      <c r="B481" s="1272" t="s">
        <v>1060</v>
      </c>
      <c r="C481" s="1273"/>
      <c r="D481" s="755">
        <f>D477*('Cost Summary'!B15+'Cost Summary'!B20+'Cost Summary'!B32+'Cost Summary'!B33)*1000</f>
        <v>226242.92782296689</v>
      </c>
      <c r="E481" s="39"/>
      <c r="F481" s="39"/>
      <c r="G481" s="39"/>
      <c r="H481" s="39"/>
      <c r="I481" s="39"/>
      <c r="J481" s="722"/>
    </row>
    <row r="482" spans="2:10" ht="13.5" thickBot="1" x14ac:dyDescent="0.25">
      <c r="B482" s="779"/>
      <c r="C482" s="730"/>
      <c r="D482" s="732"/>
      <c r="E482" s="732"/>
      <c r="F482" s="732"/>
      <c r="G482" s="732"/>
      <c r="H482" s="732"/>
      <c r="I482" s="732"/>
      <c r="J482" s="733"/>
    </row>
    <row r="483" spans="2:10" ht="13.5" thickTop="1" x14ac:dyDescent="0.2">
      <c r="B483" s="717" t="s">
        <v>1148</v>
      </c>
      <c r="C483" s="737"/>
      <c r="D483" s="738"/>
      <c r="E483" s="738"/>
      <c r="F483" s="738"/>
      <c r="G483" s="738"/>
      <c r="H483" s="738"/>
      <c r="I483" s="738"/>
      <c r="J483" s="739"/>
    </row>
    <row r="484" spans="2:10" x14ac:dyDescent="0.2">
      <c r="B484" s="745"/>
      <c r="C484" s="275"/>
      <c r="D484" s="39"/>
      <c r="E484" s="39"/>
      <c r="F484" s="39"/>
      <c r="G484" s="39"/>
      <c r="H484" s="39"/>
      <c r="I484" s="39"/>
      <c r="J484" s="722"/>
    </row>
    <row r="485" spans="2:10" x14ac:dyDescent="0.2">
      <c r="B485" s="1270" t="s">
        <v>1159</v>
      </c>
      <c r="C485" s="1271"/>
      <c r="D485" s="791">
        <f>'OS Port &amp; Staging Equipment'!B15</f>
        <v>20</v>
      </c>
      <c r="E485" s="39" t="s">
        <v>1139</v>
      </c>
      <c r="F485" s="39"/>
      <c r="G485" s="39"/>
      <c r="H485" s="39"/>
      <c r="I485" s="39"/>
      <c r="J485" s="722"/>
    </row>
    <row r="486" spans="2:10" x14ac:dyDescent="0.2">
      <c r="B486" s="745"/>
      <c r="C486" s="275"/>
      <c r="D486" s="39"/>
      <c r="E486" s="39"/>
      <c r="F486" s="39"/>
      <c r="G486" s="39"/>
      <c r="H486" s="39"/>
      <c r="I486" s="39"/>
      <c r="J486" s="722"/>
    </row>
    <row r="487" spans="2:10" x14ac:dyDescent="0.2">
      <c r="B487" s="723" t="s">
        <v>1160</v>
      </c>
      <c r="C487" s="275"/>
      <c r="D487" s="39"/>
      <c r="E487" s="39"/>
      <c r="F487" s="39"/>
      <c r="G487" s="39"/>
      <c r="H487" s="39"/>
      <c r="I487" s="39"/>
      <c r="J487" s="722"/>
    </row>
    <row r="488" spans="2:10" x14ac:dyDescent="0.2">
      <c r="B488" s="745"/>
      <c r="C488" s="275"/>
      <c r="D488" s="39"/>
      <c r="E488" s="39"/>
      <c r="F488" s="39"/>
      <c r="G488" s="39"/>
      <c r="H488" s="39"/>
      <c r="I488" s="39"/>
      <c r="J488" s="722"/>
    </row>
    <row r="489" spans="2:10" x14ac:dyDescent="0.2">
      <c r="B489" s="1272" t="s">
        <v>1161</v>
      </c>
      <c r="C489" s="1273"/>
      <c r="D489" s="755">
        <f>D485*B6</f>
        <v>38200</v>
      </c>
      <c r="E489" s="39"/>
      <c r="F489" s="39"/>
      <c r="G489" s="39"/>
      <c r="H489" s="39"/>
      <c r="I489" s="39"/>
      <c r="J489" s="722"/>
    </row>
    <row r="490" spans="2:10" x14ac:dyDescent="0.2">
      <c r="B490" s="1272" t="s">
        <v>894</v>
      </c>
      <c r="C490" s="1273"/>
      <c r="D490" s="757">
        <f>'PPI Calculation'!D177</f>
        <v>1.4676119030648609</v>
      </c>
      <c r="E490" s="39" t="s">
        <v>1171</v>
      </c>
      <c r="F490" s="39"/>
      <c r="G490" s="39"/>
      <c r="H490" s="39"/>
      <c r="I490" s="39"/>
      <c r="J490" s="722"/>
    </row>
    <row r="491" spans="2:10" x14ac:dyDescent="0.2">
      <c r="B491" s="1272" t="s">
        <v>1060</v>
      </c>
      <c r="C491" s="1273"/>
      <c r="D491" s="755">
        <f>D490*D489</f>
        <v>56062.774697077686</v>
      </c>
      <c r="E491" s="39"/>
      <c r="F491" s="39"/>
      <c r="G491" s="39"/>
      <c r="H491" s="39"/>
      <c r="I491" s="39"/>
      <c r="J491" s="722"/>
    </row>
    <row r="492" spans="2:10" ht="13.5" thickBot="1" x14ac:dyDescent="0.25">
      <c r="B492" s="779"/>
      <c r="C492" s="730"/>
      <c r="D492" s="732"/>
      <c r="E492" s="732"/>
      <c r="F492" s="732"/>
      <c r="G492" s="732"/>
      <c r="H492" s="732"/>
      <c r="I492" s="732"/>
      <c r="J492" s="733"/>
    </row>
    <row r="493" spans="2:10" ht="13.5" thickTop="1" x14ac:dyDescent="0.2">
      <c r="B493" s="717" t="s">
        <v>1149</v>
      </c>
      <c r="C493" s="737"/>
      <c r="D493" s="738"/>
      <c r="E493" s="738"/>
      <c r="F493" s="738"/>
      <c r="G493" s="738"/>
      <c r="H493" s="738"/>
      <c r="I493" s="738"/>
      <c r="J493" s="739"/>
    </row>
    <row r="494" spans="2:10" x14ac:dyDescent="0.2">
      <c r="B494" s="745"/>
      <c r="C494" s="275"/>
      <c r="D494" s="39"/>
      <c r="E494" s="39"/>
      <c r="F494" s="39"/>
      <c r="G494" s="39"/>
      <c r="H494" s="39"/>
      <c r="I494" s="39"/>
      <c r="J494" s="722"/>
    </row>
    <row r="495" spans="2:10" x14ac:dyDescent="0.2">
      <c r="B495" s="1270" t="s">
        <v>1162</v>
      </c>
      <c r="C495" s="1271"/>
      <c r="D495" s="791">
        <f>'OS Permits, Eng, Site Assess'!B14</f>
        <v>37</v>
      </c>
      <c r="E495" s="39" t="s">
        <v>1139</v>
      </c>
      <c r="F495" s="39"/>
      <c r="G495" s="39"/>
      <c r="H495" s="39"/>
      <c r="I495" s="39"/>
      <c r="J495" s="722"/>
    </row>
    <row r="496" spans="2:10" x14ac:dyDescent="0.2">
      <c r="B496" s="745"/>
      <c r="C496" s="275"/>
      <c r="D496" s="39"/>
      <c r="E496" s="39"/>
      <c r="F496" s="39"/>
      <c r="G496" s="39"/>
      <c r="H496" s="39"/>
      <c r="I496" s="39"/>
      <c r="J496" s="722"/>
    </row>
    <row r="497" spans="2:10" x14ac:dyDescent="0.2">
      <c r="B497" s="723" t="s">
        <v>1163</v>
      </c>
      <c r="C497" s="275"/>
      <c r="D497" s="39"/>
      <c r="E497" s="39"/>
      <c r="F497" s="39"/>
      <c r="G497" s="39"/>
      <c r="H497" s="39"/>
      <c r="I497" s="39"/>
      <c r="J497" s="722"/>
    </row>
    <row r="498" spans="2:10" x14ac:dyDescent="0.2">
      <c r="B498" s="745"/>
      <c r="C498" s="275"/>
      <c r="D498" s="39"/>
      <c r="E498" s="39"/>
      <c r="F498" s="39"/>
      <c r="G498" s="39"/>
      <c r="H498" s="39"/>
      <c r="I498" s="39"/>
      <c r="J498" s="722"/>
    </row>
    <row r="499" spans="2:10" x14ac:dyDescent="0.2">
      <c r="B499" s="1272" t="s">
        <v>1164</v>
      </c>
      <c r="C499" s="1273"/>
      <c r="D499" s="755">
        <f>D495*B6</f>
        <v>70670</v>
      </c>
      <c r="E499" s="39"/>
      <c r="F499" s="39"/>
      <c r="G499" s="39"/>
      <c r="H499" s="39"/>
      <c r="I499" s="39"/>
      <c r="J499" s="722"/>
    </row>
    <row r="500" spans="2:10" x14ac:dyDescent="0.2">
      <c r="B500" s="1272" t="s">
        <v>894</v>
      </c>
      <c r="C500" s="1273"/>
      <c r="D500" s="757">
        <f>'PPI Calculation'!D231</f>
        <v>1.0996204933586338</v>
      </c>
      <c r="E500" s="39" t="s">
        <v>1171</v>
      </c>
      <c r="F500" s="39"/>
      <c r="G500" s="39"/>
      <c r="H500" s="39"/>
      <c r="I500" s="39"/>
      <c r="J500" s="722"/>
    </row>
    <row r="501" spans="2:10" x14ac:dyDescent="0.2">
      <c r="B501" s="1272" t="s">
        <v>1060</v>
      </c>
      <c r="C501" s="1273"/>
      <c r="D501" s="755">
        <f>D500*D499</f>
        <v>77710.18026565465</v>
      </c>
      <c r="E501" s="39"/>
      <c r="F501" s="39"/>
      <c r="G501" s="39"/>
      <c r="H501" s="39"/>
      <c r="I501" s="39"/>
      <c r="J501" s="722"/>
    </row>
    <row r="502" spans="2:10" ht="13.5" thickBot="1" x14ac:dyDescent="0.25">
      <c r="B502" s="779"/>
      <c r="C502" s="730"/>
      <c r="D502" s="732"/>
      <c r="E502" s="732"/>
      <c r="F502" s="732"/>
      <c r="G502" s="732"/>
      <c r="H502" s="732"/>
      <c r="I502" s="732"/>
      <c r="J502" s="733"/>
    </row>
    <row r="503" spans="2:10" ht="13.5" thickTop="1" x14ac:dyDescent="0.2">
      <c r="B503" s="717" t="s">
        <v>1156</v>
      </c>
      <c r="C503" s="737"/>
      <c r="D503" s="738"/>
      <c r="E503" s="738"/>
      <c r="F503" s="738"/>
      <c r="G503" s="738"/>
      <c r="H503" s="738"/>
      <c r="I503" s="738"/>
      <c r="J503" s="739"/>
    </row>
    <row r="504" spans="2:10" x14ac:dyDescent="0.2">
      <c r="B504" s="721"/>
      <c r="C504" s="275"/>
      <c r="D504" s="39"/>
      <c r="E504" s="39"/>
      <c r="F504" s="39"/>
      <c r="G504" s="39"/>
      <c r="H504" s="39"/>
      <c r="I504" s="39"/>
      <c r="J504" s="722"/>
    </row>
    <row r="505" spans="2:10" x14ac:dyDescent="0.2">
      <c r="B505" s="1270" t="s">
        <v>769</v>
      </c>
      <c r="C505" s="1271"/>
      <c r="D505" s="762">
        <f>'OS Personnel Access Eqpt'!B12</f>
        <v>60000</v>
      </c>
      <c r="E505" s="39" t="s">
        <v>1165</v>
      </c>
      <c r="F505" s="39"/>
      <c r="G505" s="39"/>
      <c r="H505" s="39"/>
      <c r="I505" s="39"/>
      <c r="J505" s="722"/>
    </row>
    <row r="506" spans="2:10" x14ac:dyDescent="0.2">
      <c r="B506" s="721"/>
      <c r="C506" s="275"/>
      <c r="D506" s="39"/>
      <c r="E506" s="39"/>
      <c r="F506" s="39"/>
      <c r="G506" s="39"/>
      <c r="H506" s="39"/>
      <c r="I506" s="39"/>
      <c r="J506" s="722"/>
    </row>
    <row r="507" spans="2:10" x14ac:dyDescent="0.2">
      <c r="B507" s="1272" t="s">
        <v>1168</v>
      </c>
      <c r="C507" s="1273"/>
      <c r="D507" s="755">
        <f>D505</f>
        <v>60000</v>
      </c>
      <c r="E507" s="39"/>
      <c r="F507" s="39"/>
      <c r="G507" s="39"/>
      <c r="H507" s="39"/>
      <c r="I507" s="39"/>
      <c r="J507" s="722"/>
    </row>
    <row r="508" spans="2:10" x14ac:dyDescent="0.2">
      <c r="B508" s="1272" t="s">
        <v>894</v>
      </c>
      <c r="C508" s="1273"/>
      <c r="D508" s="757">
        <f>'PPI Calculation'!D273</f>
        <v>1.0996204933586338</v>
      </c>
      <c r="E508" s="39" t="s">
        <v>1171</v>
      </c>
      <c r="F508" s="39"/>
      <c r="G508" s="39"/>
      <c r="H508" s="39"/>
      <c r="I508" s="39"/>
      <c r="J508" s="722"/>
    </row>
    <row r="509" spans="2:10" x14ac:dyDescent="0.2">
      <c r="B509" s="1272" t="s">
        <v>1060</v>
      </c>
      <c r="C509" s="1273"/>
      <c r="D509" s="755">
        <f>D508*D507</f>
        <v>65977.229601518033</v>
      </c>
      <c r="E509" s="39"/>
      <c r="F509" s="39"/>
      <c r="G509" s="39"/>
      <c r="H509" s="39"/>
      <c r="I509" s="39"/>
      <c r="J509" s="722"/>
    </row>
    <row r="510" spans="2:10" ht="13.5" thickBot="1" x14ac:dyDescent="0.25">
      <c r="B510" s="743"/>
      <c r="C510" s="730"/>
      <c r="D510" s="732"/>
      <c r="E510" s="732"/>
      <c r="F510" s="732"/>
      <c r="G510" s="732"/>
      <c r="H510" s="732"/>
      <c r="I510" s="732"/>
      <c r="J510" s="733"/>
    </row>
    <row r="511" spans="2:10" ht="13.5" thickTop="1" x14ac:dyDescent="0.2">
      <c r="B511" s="717" t="s">
        <v>1150</v>
      </c>
      <c r="C511" s="737"/>
      <c r="D511" s="738"/>
      <c r="E511" s="738"/>
      <c r="F511" s="738"/>
      <c r="G511" s="738"/>
      <c r="H511" s="738"/>
      <c r="I511" s="738"/>
      <c r="J511" s="739"/>
    </row>
    <row r="512" spans="2:10" x14ac:dyDescent="0.2">
      <c r="B512" s="745"/>
      <c r="C512" s="275"/>
      <c r="D512" s="39"/>
      <c r="E512" s="39"/>
      <c r="F512" s="39"/>
      <c r="G512" s="39"/>
      <c r="H512" s="39"/>
      <c r="I512" s="39"/>
      <c r="J512" s="722"/>
    </row>
    <row r="513" spans="2:10" x14ac:dyDescent="0.2">
      <c r="B513" s="1270" t="s">
        <v>1166</v>
      </c>
      <c r="C513" s="1271"/>
      <c r="D513" s="762">
        <f>'OS Scour Protection'!B14</f>
        <v>55</v>
      </c>
      <c r="E513" s="39" t="s">
        <v>1167</v>
      </c>
      <c r="F513" s="39"/>
      <c r="G513" s="39"/>
      <c r="H513" s="39"/>
      <c r="I513" s="39"/>
      <c r="J513" s="722"/>
    </row>
    <row r="514" spans="2:10" x14ac:dyDescent="0.2">
      <c r="B514" s="745"/>
      <c r="C514" s="275"/>
      <c r="D514" s="39"/>
      <c r="E514" s="39"/>
      <c r="F514" s="39"/>
      <c r="G514" s="39"/>
      <c r="H514" s="39"/>
      <c r="I514" s="39"/>
      <c r="J514" s="722"/>
    </row>
    <row r="515" spans="2:10" x14ac:dyDescent="0.2">
      <c r="B515" s="723" t="s">
        <v>1170</v>
      </c>
      <c r="C515" s="275"/>
      <c r="D515" s="39"/>
      <c r="E515" s="39"/>
      <c r="F515" s="39"/>
      <c r="G515" s="39"/>
      <c r="H515" s="39"/>
      <c r="I515" s="39"/>
      <c r="J515" s="722"/>
    </row>
    <row r="516" spans="2:10" x14ac:dyDescent="0.2">
      <c r="B516" s="745"/>
      <c r="C516" s="275"/>
      <c r="D516" s="39"/>
      <c r="E516" s="39"/>
      <c r="F516" s="39"/>
      <c r="G516" s="39"/>
      <c r="H516" s="39"/>
      <c r="I516" s="39"/>
      <c r="J516" s="722"/>
    </row>
    <row r="517" spans="2:10" x14ac:dyDescent="0.2">
      <c r="B517" s="1272" t="s">
        <v>1169</v>
      </c>
      <c r="C517" s="1273"/>
      <c r="D517" s="755">
        <f>D513*B6</f>
        <v>105050</v>
      </c>
      <c r="E517" s="39"/>
      <c r="F517" s="39"/>
      <c r="G517" s="39"/>
      <c r="H517" s="39"/>
      <c r="I517" s="39"/>
      <c r="J517" s="722"/>
    </row>
    <row r="518" spans="2:10" x14ac:dyDescent="0.2">
      <c r="B518" s="1272" t="s">
        <v>894</v>
      </c>
      <c r="C518" s="1273"/>
      <c r="D518" s="757">
        <f>'PPI Calculation'!D177</f>
        <v>1.4676119030648609</v>
      </c>
      <c r="E518" s="39" t="s">
        <v>1171</v>
      </c>
      <c r="F518" s="39"/>
      <c r="G518" s="39"/>
      <c r="H518" s="39"/>
      <c r="I518" s="39"/>
      <c r="J518" s="722"/>
    </row>
    <row r="519" spans="2:10" x14ac:dyDescent="0.2">
      <c r="B519" s="1272" t="s">
        <v>1060</v>
      </c>
      <c r="C519" s="1273"/>
      <c r="D519" s="755">
        <f>D518*D517</f>
        <v>154172.63041696363</v>
      </c>
      <c r="E519" s="39"/>
      <c r="F519" s="39"/>
      <c r="G519" s="39"/>
      <c r="H519" s="39"/>
      <c r="I519" s="39"/>
      <c r="J519" s="722"/>
    </row>
    <row r="520" spans="2:10" ht="13.5" thickBot="1" x14ac:dyDescent="0.25">
      <c r="B520" s="779"/>
      <c r="C520" s="730"/>
      <c r="D520" s="732"/>
      <c r="E520" s="732"/>
      <c r="F520" s="732"/>
      <c r="G520" s="732"/>
      <c r="H520" s="732"/>
      <c r="I520" s="732"/>
      <c r="J520" s="733"/>
    </row>
    <row r="521" spans="2:10" ht="13.5" thickTop="1" x14ac:dyDescent="0.2">
      <c r="B521" s="717" t="s">
        <v>1151</v>
      </c>
      <c r="C521" s="737"/>
      <c r="D521" s="738"/>
      <c r="E521" s="738"/>
      <c r="F521" s="738"/>
      <c r="G521" s="738"/>
      <c r="H521" s="738"/>
      <c r="I521" s="738"/>
      <c r="J521" s="739"/>
    </row>
    <row r="522" spans="2:10" x14ac:dyDescent="0.2">
      <c r="B522" s="745"/>
      <c r="C522" s="275"/>
      <c r="D522" s="39"/>
      <c r="E522" s="39"/>
      <c r="F522" s="39"/>
      <c r="G522" s="39"/>
      <c r="H522" s="39"/>
      <c r="I522" s="39"/>
      <c r="J522" s="722"/>
    </row>
    <row r="523" spans="2:10" x14ac:dyDescent="0.2">
      <c r="B523" s="1270" t="s">
        <v>778</v>
      </c>
      <c r="C523" s="1271"/>
      <c r="D523" s="792">
        <f>'OS Surety Bond'!B13</f>
        <v>0.03</v>
      </c>
      <c r="E523" s="39"/>
      <c r="F523" s="39"/>
      <c r="G523" s="39"/>
      <c r="H523" s="39"/>
      <c r="I523" s="39"/>
      <c r="J523" s="722"/>
    </row>
    <row r="524" spans="2:10" x14ac:dyDescent="0.2">
      <c r="B524" s="745"/>
      <c r="C524" s="275"/>
      <c r="D524" s="39"/>
      <c r="E524" s="39"/>
      <c r="F524" s="39"/>
      <c r="G524" s="39"/>
      <c r="H524" s="39"/>
      <c r="I524" s="39"/>
      <c r="J524" s="722"/>
    </row>
    <row r="525" spans="2:10" x14ac:dyDescent="0.2">
      <c r="B525" s="723" t="s">
        <v>1093</v>
      </c>
      <c r="C525" s="275"/>
      <c r="D525" s="39"/>
      <c r="E525" s="39"/>
      <c r="F525" s="39"/>
      <c r="G525" s="39"/>
      <c r="H525" s="39"/>
      <c r="I525" s="39"/>
      <c r="J525" s="722"/>
    </row>
    <row r="526" spans="2:10" x14ac:dyDescent="0.2">
      <c r="B526" s="745"/>
      <c r="C526" s="275"/>
      <c r="D526" s="39"/>
      <c r="E526" s="39"/>
      <c r="F526" s="39"/>
      <c r="G526" s="39"/>
      <c r="H526" s="39"/>
      <c r="I526" s="39"/>
      <c r="J526" s="722"/>
    </row>
    <row r="527" spans="2:10" x14ac:dyDescent="0.2">
      <c r="B527" s="1272" t="s">
        <v>1092</v>
      </c>
      <c r="C527" s="1310"/>
      <c r="D527" s="416">
        <f>D523*('Cost Summary'!B35+SUM('Cost Summary'!B37:B46))*1000</f>
        <v>412758.00474708766</v>
      </c>
      <c r="E527" s="39"/>
      <c r="F527" s="39"/>
      <c r="G527" s="39"/>
      <c r="H527" s="39"/>
      <c r="I527" s="39"/>
      <c r="J527" s="722"/>
    </row>
    <row r="528" spans="2:10" ht="13.5" thickBot="1" x14ac:dyDescent="0.25">
      <c r="B528" s="779"/>
      <c r="C528" s="730"/>
      <c r="D528" s="732"/>
      <c r="E528" s="732"/>
      <c r="F528" s="732"/>
      <c r="G528" s="732"/>
      <c r="H528" s="732"/>
      <c r="I528" s="732"/>
      <c r="J528" s="733"/>
    </row>
    <row r="529" spans="2:10" ht="13.5" thickTop="1" x14ac:dyDescent="0.2">
      <c r="B529" s="717" t="s">
        <v>1152</v>
      </c>
      <c r="C529" s="737"/>
      <c r="D529" s="738"/>
      <c r="E529" s="738"/>
      <c r="F529" s="738"/>
      <c r="G529" s="738"/>
      <c r="H529" s="738"/>
      <c r="I529" s="738"/>
      <c r="J529" s="739"/>
    </row>
    <row r="530" spans="2:10" x14ac:dyDescent="0.2">
      <c r="B530" s="723"/>
      <c r="C530" s="275"/>
      <c r="D530" s="39"/>
      <c r="E530" s="39"/>
      <c r="F530" s="39"/>
      <c r="G530" s="39"/>
      <c r="H530" s="39"/>
      <c r="I530" s="39"/>
      <c r="J530" s="722"/>
    </row>
    <row r="531" spans="2:10" ht="26.25" customHeight="1" x14ac:dyDescent="0.2">
      <c r="B531" s="1328" t="s">
        <v>984</v>
      </c>
      <c r="C531" s="1329"/>
      <c r="D531" s="792">
        <f>'OS Warranty Premium'!B11</f>
        <v>0.15</v>
      </c>
      <c r="E531" s="39"/>
      <c r="F531" s="39"/>
      <c r="G531" s="39"/>
      <c r="H531" s="39"/>
      <c r="I531" s="39"/>
      <c r="J531" s="722"/>
    </row>
    <row r="532" spans="2:10" x14ac:dyDescent="0.2">
      <c r="B532" s="723"/>
      <c r="C532" s="275"/>
      <c r="D532" s="39"/>
      <c r="E532" s="39"/>
      <c r="F532" s="39"/>
      <c r="G532" s="39"/>
      <c r="H532" s="39"/>
      <c r="I532" s="39"/>
      <c r="J532" s="722"/>
    </row>
    <row r="533" spans="2:10" x14ac:dyDescent="0.2">
      <c r="B533" s="723" t="s">
        <v>985</v>
      </c>
      <c r="C533" s="275"/>
      <c r="D533" s="39"/>
      <c r="E533" s="39"/>
      <c r="F533" s="39"/>
      <c r="G533" s="39"/>
      <c r="H533" s="39"/>
      <c r="I533" s="39"/>
      <c r="J533" s="722"/>
    </row>
    <row r="534" spans="2:10" x14ac:dyDescent="0.2">
      <c r="B534" s="723"/>
      <c r="C534" s="275"/>
      <c r="D534" s="39"/>
      <c r="E534" s="39"/>
      <c r="F534" s="39"/>
      <c r="G534" s="39"/>
      <c r="H534" s="39"/>
      <c r="I534" s="39"/>
      <c r="J534" s="722"/>
    </row>
    <row r="535" spans="2:10" x14ac:dyDescent="0.2">
      <c r="B535" s="415" t="s">
        <v>986</v>
      </c>
      <c r="C535" s="756"/>
      <c r="D535" s="755">
        <f>D531*('Cost Summary'!B15+'Cost Summary'!B20+'Cost Summary'!B32+'Cost Summary'!B33)*1000</f>
        <v>339364.3917344503</v>
      </c>
      <c r="E535" s="39"/>
      <c r="F535" s="39"/>
      <c r="G535" s="39"/>
      <c r="H535" s="39"/>
      <c r="I535" s="39"/>
      <c r="J535" s="722"/>
    </row>
    <row r="536" spans="2:10" ht="13.5" thickBot="1" x14ac:dyDescent="0.25">
      <c r="B536" s="729"/>
      <c r="C536" s="730"/>
      <c r="D536" s="732"/>
      <c r="E536" s="732"/>
      <c r="F536" s="732"/>
      <c r="G536" s="732"/>
      <c r="H536" s="732"/>
      <c r="I536" s="732"/>
      <c r="J536" s="733"/>
    </row>
    <row r="537" spans="2:10" ht="13.5" thickTop="1" x14ac:dyDescent="0.2">
      <c r="B537" s="717" t="s">
        <v>1153</v>
      </c>
      <c r="C537" s="737"/>
      <c r="D537" s="738"/>
      <c r="E537" s="738"/>
      <c r="F537" s="738"/>
      <c r="G537" s="738"/>
      <c r="H537" s="738"/>
      <c r="I537" s="738"/>
      <c r="J537" s="739"/>
    </row>
    <row r="538" spans="2:10" x14ac:dyDescent="0.2">
      <c r="B538" s="721"/>
      <c r="C538" s="781"/>
      <c r="D538" s="39"/>
      <c r="E538" s="39"/>
      <c r="F538" s="39"/>
      <c r="G538" s="39"/>
      <c r="H538" s="39"/>
      <c r="I538" s="39"/>
      <c r="J538" s="722"/>
    </row>
    <row r="539" spans="2:10" x14ac:dyDescent="0.2">
      <c r="B539" s="1270" t="s">
        <v>1137</v>
      </c>
      <c r="C539" s="1271"/>
      <c r="D539" s="762">
        <f>'OS LRC'!B14</f>
        <v>17</v>
      </c>
      <c r="E539" s="39" t="s">
        <v>987</v>
      </c>
      <c r="F539" s="39"/>
      <c r="G539" s="39"/>
      <c r="H539" s="39"/>
      <c r="I539" s="39"/>
      <c r="J539" s="722"/>
    </row>
    <row r="540" spans="2:10" x14ac:dyDescent="0.2">
      <c r="B540" s="721"/>
      <c r="C540" s="781"/>
      <c r="D540" s="39"/>
      <c r="E540" s="39"/>
      <c r="F540" s="39"/>
      <c r="G540" s="39"/>
      <c r="H540" s="39"/>
      <c r="I540" s="39"/>
      <c r="J540" s="722"/>
    </row>
    <row r="541" spans="2:10" x14ac:dyDescent="0.2">
      <c r="B541" s="723" t="s">
        <v>1138</v>
      </c>
      <c r="C541" s="781"/>
      <c r="D541" s="39"/>
      <c r="E541" s="39"/>
      <c r="F541" s="39"/>
      <c r="G541" s="39"/>
      <c r="H541" s="39"/>
      <c r="I541" s="39"/>
      <c r="J541" s="722"/>
    </row>
    <row r="542" spans="2:10" x14ac:dyDescent="0.2">
      <c r="B542" s="721"/>
      <c r="C542" s="781"/>
      <c r="D542" s="39"/>
      <c r="E542" s="39"/>
      <c r="F542" s="39"/>
      <c r="G542" s="39"/>
      <c r="H542" s="39"/>
      <c r="I542" s="39"/>
      <c r="J542" s="722"/>
    </row>
    <row r="543" spans="2:10" x14ac:dyDescent="0.2">
      <c r="B543" s="1272" t="s">
        <v>988</v>
      </c>
      <c r="C543" s="1273"/>
      <c r="D543" s="755">
        <f>D539*B6</f>
        <v>32470</v>
      </c>
      <c r="E543" s="39"/>
      <c r="F543" s="39"/>
      <c r="G543" s="39"/>
      <c r="H543" s="39"/>
      <c r="I543" s="39"/>
      <c r="J543" s="722"/>
    </row>
    <row r="544" spans="2:10" x14ac:dyDescent="0.2">
      <c r="B544" s="1272" t="s">
        <v>894</v>
      </c>
      <c r="C544" s="1273"/>
      <c r="D544" s="757">
        <f>'PPI Calculation'!D241</f>
        <v>1.0996204933586338</v>
      </c>
      <c r="E544" s="39"/>
      <c r="F544" s="39"/>
      <c r="G544" s="39"/>
      <c r="H544" s="39"/>
      <c r="I544" s="39"/>
      <c r="J544" s="722"/>
    </row>
    <row r="545" spans="2:10" x14ac:dyDescent="0.2">
      <c r="B545" s="1272" t="s">
        <v>1060</v>
      </c>
      <c r="C545" s="1273"/>
      <c r="D545" s="755">
        <f>D544*D543</f>
        <v>35704.677419354841</v>
      </c>
      <c r="E545" s="39"/>
      <c r="F545" s="39"/>
      <c r="G545" s="39"/>
      <c r="H545" s="39"/>
      <c r="I545" s="39"/>
      <c r="J545" s="722"/>
    </row>
    <row r="546" spans="2:10" ht="13.5" thickBot="1" x14ac:dyDescent="0.25">
      <c r="B546" s="743"/>
      <c r="C546" s="783"/>
      <c r="D546" s="732"/>
      <c r="E546" s="732"/>
      <c r="F546" s="732"/>
      <c r="G546" s="732"/>
      <c r="H546" s="732"/>
      <c r="I546" s="732"/>
      <c r="J546" s="733"/>
    </row>
    <row r="547" spans="2:10" ht="13.5" thickTop="1" x14ac:dyDescent="0.2">
      <c r="B547" s="717" t="s">
        <v>1154</v>
      </c>
      <c r="C547" s="737"/>
      <c r="D547" s="738"/>
      <c r="E547" s="738"/>
      <c r="F547" s="738"/>
      <c r="G547" s="738"/>
      <c r="H547" s="738"/>
      <c r="I547" s="738"/>
      <c r="J547" s="739"/>
    </row>
    <row r="548" spans="2:10" x14ac:dyDescent="0.2">
      <c r="B548" s="721"/>
      <c r="C548" s="781"/>
      <c r="D548" s="39"/>
      <c r="E548" s="39"/>
      <c r="F548" s="39"/>
      <c r="G548" s="39"/>
      <c r="H548" s="39"/>
      <c r="I548" s="39"/>
      <c r="J548" s="722"/>
    </row>
    <row r="549" spans="2:10" x14ac:dyDescent="0.2">
      <c r="B549" s="1270" t="s">
        <v>1140</v>
      </c>
      <c r="C549" s="1271"/>
      <c r="D549" s="789">
        <f>'OS O&amp;M'!B14</f>
        <v>0.02</v>
      </c>
      <c r="E549" s="39" t="s">
        <v>1136</v>
      </c>
      <c r="F549" s="39"/>
      <c r="G549" s="39"/>
      <c r="H549" s="39"/>
      <c r="I549" s="39"/>
      <c r="J549" s="722"/>
    </row>
    <row r="550" spans="2:10" x14ac:dyDescent="0.2">
      <c r="B550" s="721"/>
      <c r="C550" s="781"/>
      <c r="D550" s="39"/>
      <c r="E550" s="39"/>
      <c r="F550" s="39"/>
      <c r="G550" s="39"/>
      <c r="H550" s="39"/>
      <c r="I550" s="39"/>
      <c r="J550" s="722"/>
    </row>
    <row r="551" spans="2:10" x14ac:dyDescent="0.2">
      <c r="B551" s="723" t="s">
        <v>989</v>
      </c>
      <c r="C551" s="781"/>
      <c r="D551" s="39"/>
      <c r="E551" s="39"/>
      <c r="F551" s="39"/>
      <c r="G551" s="39"/>
      <c r="H551" s="39"/>
      <c r="I551" s="39"/>
      <c r="J551" s="722"/>
    </row>
    <row r="552" spans="2:10" x14ac:dyDescent="0.2">
      <c r="B552" s="721"/>
      <c r="C552" s="781"/>
      <c r="D552" s="39"/>
      <c r="E552" s="39"/>
      <c r="F552" s="39"/>
      <c r="G552" s="39"/>
      <c r="H552" s="39"/>
      <c r="I552" s="39"/>
      <c r="J552" s="722"/>
    </row>
    <row r="553" spans="2:10" x14ac:dyDescent="0.2">
      <c r="B553" s="1272" t="s">
        <v>990</v>
      </c>
      <c r="C553" s="1273"/>
      <c r="D553" s="755">
        <f>D549*'Cost Summary'!B65*1000</f>
        <v>156389.47643607898</v>
      </c>
      <c r="E553" s="39"/>
      <c r="F553" s="39"/>
      <c r="G553" s="39"/>
      <c r="H553" s="39"/>
      <c r="I553" s="39"/>
      <c r="J553" s="722"/>
    </row>
    <row r="554" spans="2:10" x14ac:dyDescent="0.2">
      <c r="B554" s="1272" t="s">
        <v>894</v>
      </c>
      <c r="C554" s="1273"/>
      <c r="D554" s="757">
        <f>'PPI Calculation'!D251</f>
        <v>1.0996204933586338</v>
      </c>
      <c r="E554" s="39"/>
      <c r="F554" s="39"/>
      <c r="G554" s="39"/>
      <c r="H554" s="39"/>
      <c r="I554" s="39"/>
      <c r="J554" s="722"/>
    </row>
    <row r="555" spans="2:10" x14ac:dyDescent="0.2">
      <c r="B555" s="1272" t="s">
        <v>1060</v>
      </c>
      <c r="C555" s="1273"/>
      <c r="D555" s="755">
        <f>D554*D553</f>
        <v>171969.0732347396</v>
      </c>
      <c r="E555" s="39"/>
      <c r="F555" s="39"/>
      <c r="G555" s="39"/>
      <c r="H555" s="39"/>
      <c r="I555" s="39"/>
      <c r="J555" s="722"/>
    </row>
    <row r="556" spans="2:10" ht="13.5" thickBot="1" x14ac:dyDescent="0.25">
      <c r="B556" s="743"/>
      <c r="C556" s="783"/>
      <c r="D556" s="732"/>
      <c r="E556" s="732"/>
      <c r="F556" s="732"/>
      <c r="G556" s="732"/>
      <c r="H556" s="732"/>
      <c r="I556" s="732"/>
      <c r="J556" s="733"/>
    </row>
    <row r="557" spans="2:10" ht="13.5" thickTop="1" x14ac:dyDescent="0.2">
      <c r="B557" s="717" t="s">
        <v>1155</v>
      </c>
      <c r="C557" s="737"/>
      <c r="D557" s="738"/>
      <c r="E557" s="738"/>
      <c r="F557" s="738"/>
      <c r="G557" s="738"/>
      <c r="H557" s="738"/>
      <c r="I557" s="738"/>
      <c r="J557" s="739"/>
    </row>
    <row r="558" spans="2:10" x14ac:dyDescent="0.2">
      <c r="B558" s="721"/>
      <c r="C558" s="781"/>
      <c r="D558" s="39"/>
      <c r="E558" s="39"/>
      <c r="F558" s="39"/>
      <c r="G558" s="39"/>
      <c r="H558" s="39"/>
      <c r="I558" s="39"/>
      <c r="J558" s="722"/>
    </row>
    <row r="559" spans="2:10" x14ac:dyDescent="0.2">
      <c r="B559" s="1270" t="s">
        <v>991</v>
      </c>
      <c r="C559" s="1271"/>
      <c r="D559" s="790">
        <f>'OS Lease Cost'!B14</f>
        <v>1.08E-3</v>
      </c>
      <c r="E559" s="39" t="s">
        <v>1136</v>
      </c>
      <c r="F559" s="39"/>
      <c r="G559" s="39"/>
      <c r="H559" s="39"/>
      <c r="I559" s="39"/>
      <c r="J559" s="722"/>
    </row>
    <row r="560" spans="2:10" x14ac:dyDescent="0.2">
      <c r="B560" s="721"/>
      <c r="C560" s="781"/>
      <c r="D560" s="39"/>
      <c r="E560" s="39"/>
      <c r="F560" s="39"/>
      <c r="G560" s="39"/>
      <c r="H560" s="39"/>
      <c r="I560" s="39"/>
      <c r="J560" s="722"/>
    </row>
    <row r="561" spans="2:10" x14ac:dyDescent="0.2">
      <c r="B561" s="723" t="s">
        <v>992</v>
      </c>
      <c r="C561" s="781"/>
      <c r="D561" s="39"/>
      <c r="E561" s="39"/>
      <c r="F561" s="39"/>
      <c r="G561" s="39"/>
      <c r="H561" s="39"/>
      <c r="I561" s="39"/>
      <c r="J561" s="722"/>
    </row>
    <row r="562" spans="2:10" x14ac:dyDescent="0.2">
      <c r="B562" s="721"/>
      <c r="C562" s="781"/>
      <c r="D562" s="39"/>
      <c r="E562" s="39"/>
      <c r="F562" s="39"/>
      <c r="G562" s="39"/>
      <c r="H562" s="39"/>
      <c r="I562" s="39"/>
      <c r="J562" s="722"/>
    </row>
    <row r="563" spans="2:10" x14ac:dyDescent="0.2">
      <c r="B563" s="1272" t="s">
        <v>1146</v>
      </c>
      <c r="C563" s="1273"/>
      <c r="D563" s="755">
        <f>D559*'Cost Summary'!B65*1000</f>
        <v>8445.031727548263</v>
      </c>
      <c r="E563" s="39"/>
      <c r="F563" s="39"/>
      <c r="G563" s="39"/>
      <c r="H563" s="39"/>
      <c r="I563" s="39"/>
      <c r="J563" s="722"/>
    </row>
    <row r="564" spans="2:10" x14ac:dyDescent="0.2">
      <c r="B564" s="1272" t="s">
        <v>894</v>
      </c>
      <c r="C564" s="1273"/>
      <c r="D564" s="757">
        <f>'PPI Calculation'!D256</f>
        <v>1.1263362487852282</v>
      </c>
      <c r="E564" s="39"/>
      <c r="F564" s="39"/>
      <c r="G564" s="39"/>
      <c r="H564" s="39"/>
      <c r="I564" s="39"/>
      <c r="J564" s="722"/>
    </row>
    <row r="565" spans="2:10" x14ac:dyDescent="0.2">
      <c r="B565" s="1272" t="s">
        <v>1060</v>
      </c>
      <c r="C565" s="1273"/>
      <c r="D565" s="755">
        <f>D564*D563</f>
        <v>9511.9453568789449</v>
      </c>
      <c r="E565" s="39"/>
      <c r="F565" s="39"/>
      <c r="G565" s="39"/>
      <c r="H565" s="39"/>
      <c r="I565" s="39"/>
      <c r="J565" s="722"/>
    </row>
    <row r="566" spans="2:10" ht="13.5" thickBot="1" x14ac:dyDescent="0.25">
      <c r="B566" s="779"/>
      <c r="C566" s="730"/>
      <c r="D566" s="732"/>
      <c r="E566" s="732"/>
      <c r="F566" s="732"/>
      <c r="G566" s="732"/>
      <c r="H566" s="732"/>
      <c r="I566" s="732"/>
      <c r="J566" s="733"/>
    </row>
    <row r="567" spans="2:10" ht="13.5" thickTop="1" x14ac:dyDescent="0.2">
      <c r="B567" s="780"/>
      <c r="C567" s="275"/>
      <c r="D567" s="39"/>
      <c r="E567" s="39"/>
    </row>
    <row r="568" spans="2:10" x14ac:dyDescent="0.2">
      <c r="B568" s="780"/>
      <c r="C568" s="275"/>
      <c r="D568" s="39"/>
      <c r="E568" s="39"/>
    </row>
    <row r="569" spans="2:10" ht="13.5" thickBot="1" x14ac:dyDescent="0.25">
      <c r="B569" s="777" t="s">
        <v>994</v>
      </c>
      <c r="C569" s="730"/>
      <c r="D569" s="732"/>
      <c r="E569" s="732"/>
      <c r="F569" s="732"/>
    </row>
    <row r="570" spans="2:10" ht="14.25" thickTop="1" thickBot="1" x14ac:dyDescent="0.25">
      <c r="B570" s="780"/>
      <c r="C570" s="275"/>
      <c r="D570" s="39"/>
      <c r="E570" s="39"/>
      <c r="F570" s="39"/>
    </row>
    <row r="571" spans="2:10" ht="13.5" thickTop="1" x14ac:dyDescent="0.2">
      <c r="B571" s="717" t="s">
        <v>972</v>
      </c>
      <c r="C571" s="737"/>
      <c r="D571" s="738"/>
      <c r="E571" s="738"/>
      <c r="F571" s="738"/>
      <c r="G571" s="738"/>
      <c r="H571" s="738"/>
      <c r="I571" s="738"/>
      <c r="J571" s="739"/>
    </row>
    <row r="572" spans="2:10" x14ac:dyDescent="0.2">
      <c r="B572" s="721"/>
      <c r="C572" s="275"/>
      <c r="D572" s="39"/>
      <c r="E572" s="39"/>
      <c r="F572" s="39"/>
      <c r="G572" s="39"/>
      <c r="H572" s="39"/>
      <c r="I572" s="39"/>
      <c r="J572" s="722"/>
    </row>
    <row r="573" spans="2:10" x14ac:dyDescent="0.2">
      <c r="B573" s="1270" t="s">
        <v>997</v>
      </c>
      <c r="C573" s="1271"/>
      <c r="D573" s="762">
        <f>'OSS Support Structure'!B14</f>
        <v>300</v>
      </c>
      <c r="E573" s="39" t="s">
        <v>998</v>
      </c>
      <c r="F573" s="39"/>
      <c r="G573" s="39"/>
      <c r="H573" s="39"/>
      <c r="I573" s="39"/>
      <c r="J573" s="722"/>
    </row>
    <row r="574" spans="2:10" x14ac:dyDescent="0.2">
      <c r="B574" s="721"/>
      <c r="C574" s="275"/>
      <c r="D574" s="39"/>
      <c r="E574" s="39"/>
      <c r="F574" s="39"/>
      <c r="G574" s="39"/>
      <c r="H574" s="39"/>
      <c r="I574" s="39"/>
      <c r="J574" s="722"/>
    </row>
    <row r="575" spans="2:10" x14ac:dyDescent="0.2">
      <c r="B575" s="1272" t="s">
        <v>999</v>
      </c>
      <c r="C575" s="1273"/>
      <c r="D575" s="755">
        <f>D573*B6</f>
        <v>573000</v>
      </c>
      <c r="E575" s="812" t="s">
        <v>1000</v>
      </c>
      <c r="F575" s="39"/>
      <c r="G575" s="39"/>
      <c r="H575" s="39"/>
      <c r="I575" s="39"/>
      <c r="J575" s="722"/>
    </row>
    <row r="576" spans="2:10" x14ac:dyDescent="0.2">
      <c r="B576" s="1272" t="s">
        <v>894</v>
      </c>
      <c r="C576" s="1273"/>
      <c r="D576" s="757">
        <f>'PPI Calculation'!D165</f>
        <v>1.4676119030648609</v>
      </c>
      <c r="E576" s="39"/>
      <c r="F576" s="39"/>
      <c r="G576" s="39"/>
      <c r="H576" s="39"/>
      <c r="I576" s="39"/>
      <c r="J576" s="722"/>
    </row>
    <row r="577" spans="2:10" x14ac:dyDescent="0.2">
      <c r="B577" s="1272" t="s">
        <v>1060</v>
      </c>
      <c r="C577" s="1273"/>
      <c r="D577" s="755">
        <f>D576*D575</f>
        <v>840941.62045616528</v>
      </c>
      <c r="E577" s="39"/>
      <c r="F577" s="39"/>
      <c r="G577" s="39"/>
      <c r="H577" s="39"/>
      <c r="I577" s="39"/>
      <c r="J577" s="722"/>
    </row>
    <row r="578" spans="2:10" ht="13.5" thickBot="1" x14ac:dyDescent="0.25">
      <c r="B578" s="743"/>
      <c r="C578" s="730"/>
      <c r="D578" s="732"/>
      <c r="E578" s="732"/>
      <c r="F578" s="732"/>
      <c r="G578" s="732"/>
      <c r="H578" s="732"/>
      <c r="I578" s="732"/>
      <c r="J578" s="733"/>
    </row>
    <row r="579" spans="2:10" ht="13.5" thickTop="1" x14ac:dyDescent="0.2">
      <c r="B579" s="717" t="s">
        <v>973</v>
      </c>
      <c r="C579" s="737"/>
      <c r="D579" s="738"/>
      <c r="E579" s="738"/>
      <c r="F579" s="738"/>
      <c r="G579" s="738"/>
      <c r="H579" s="738"/>
      <c r="I579" s="738"/>
      <c r="J579" s="739"/>
    </row>
    <row r="580" spans="2:10" x14ac:dyDescent="0.2">
      <c r="B580" s="721"/>
      <c r="C580" s="275"/>
      <c r="D580" s="39"/>
      <c r="E580" s="39"/>
      <c r="F580" s="39"/>
      <c r="G580" s="39"/>
      <c r="H580" s="39"/>
      <c r="I580" s="39"/>
      <c r="J580" s="722"/>
    </row>
    <row r="581" spans="2:10" x14ac:dyDescent="0.2">
      <c r="B581" s="1270" t="s">
        <v>1001</v>
      </c>
      <c r="C581" s="1271"/>
      <c r="D581" s="762">
        <f>'OSS Turbine Installation'!B14</f>
        <v>100</v>
      </c>
      <c r="E581" s="39" t="s">
        <v>998</v>
      </c>
      <c r="F581" s="39"/>
      <c r="G581" s="39"/>
      <c r="H581" s="39"/>
      <c r="I581" s="39"/>
      <c r="J581" s="722"/>
    </row>
    <row r="582" spans="2:10" x14ac:dyDescent="0.2">
      <c r="B582" s="721"/>
      <c r="C582" s="275"/>
      <c r="D582" s="39"/>
      <c r="E582" s="39"/>
      <c r="F582" s="39"/>
      <c r="G582" s="39"/>
      <c r="H582" s="39"/>
      <c r="I582" s="39"/>
      <c r="J582" s="722"/>
    </row>
    <row r="583" spans="2:10" x14ac:dyDescent="0.2">
      <c r="B583" s="1272" t="s">
        <v>1002</v>
      </c>
      <c r="C583" s="1273"/>
      <c r="D583" s="755">
        <f>D581*B6</f>
        <v>191000</v>
      </c>
      <c r="E583" s="812" t="s">
        <v>1000</v>
      </c>
      <c r="F583" s="39"/>
      <c r="G583" s="39"/>
      <c r="H583" s="39"/>
      <c r="I583" s="39"/>
      <c r="J583" s="722"/>
    </row>
    <row r="584" spans="2:10" x14ac:dyDescent="0.2">
      <c r="B584" s="1272" t="s">
        <v>894</v>
      </c>
      <c r="C584" s="1273"/>
      <c r="D584" s="757">
        <f>'PPI Calculation'!D189</f>
        <v>1.4676119030648609</v>
      </c>
      <c r="E584" s="39"/>
      <c r="F584" s="39"/>
      <c r="G584" s="39"/>
      <c r="H584" s="39"/>
      <c r="I584" s="39"/>
      <c r="J584" s="722"/>
    </row>
    <row r="585" spans="2:10" x14ac:dyDescent="0.2">
      <c r="B585" s="1272" t="s">
        <v>1060</v>
      </c>
      <c r="C585" s="1273"/>
      <c r="D585" s="755">
        <f>D584*D583</f>
        <v>280313.87348538841</v>
      </c>
      <c r="E585" s="39"/>
      <c r="F585" s="39"/>
      <c r="G585" s="39"/>
      <c r="H585" s="39"/>
      <c r="I585" s="39"/>
      <c r="J585" s="722"/>
    </row>
    <row r="586" spans="2:10" ht="13.5" thickBot="1" x14ac:dyDescent="0.25">
      <c r="B586" s="743"/>
      <c r="C586" s="730"/>
      <c r="D586" s="732"/>
      <c r="E586" s="732"/>
      <c r="F586" s="732"/>
      <c r="G586" s="732"/>
      <c r="H586" s="732"/>
      <c r="I586" s="732"/>
      <c r="J586" s="733"/>
    </row>
    <row r="587" spans="2:10" ht="13.5" thickTop="1" x14ac:dyDescent="0.2">
      <c r="B587" s="717" t="s">
        <v>981</v>
      </c>
      <c r="C587" s="737"/>
      <c r="D587" s="738"/>
      <c r="E587" s="738"/>
      <c r="F587" s="738"/>
      <c r="G587" s="738"/>
      <c r="H587" s="738"/>
      <c r="I587" s="738"/>
      <c r="J587" s="739"/>
    </row>
    <row r="588" spans="2:10" x14ac:dyDescent="0.2">
      <c r="B588" s="721" t="s">
        <v>1005</v>
      </c>
      <c r="C588" s="275"/>
      <c r="D588" s="39"/>
      <c r="E588" s="39"/>
      <c r="F588" s="39"/>
      <c r="G588" s="39"/>
      <c r="H588" s="39"/>
      <c r="I588" s="39"/>
      <c r="J588" s="722"/>
    </row>
    <row r="589" spans="2:10" x14ac:dyDescent="0.2">
      <c r="B589" s="1270" t="s">
        <v>1107</v>
      </c>
      <c r="C589" s="1271"/>
      <c r="D589" s="137">
        <f>'OSS Transportation '!B14</f>
        <v>1.5809999999999999E-5</v>
      </c>
      <c r="E589" s="39"/>
      <c r="F589" s="39"/>
      <c r="G589" s="39"/>
      <c r="H589" s="39"/>
      <c r="I589" s="39"/>
      <c r="J589" s="722"/>
    </row>
    <row r="590" spans="2:10" x14ac:dyDescent="0.2">
      <c r="B590" s="1270" t="s">
        <v>1108</v>
      </c>
      <c r="C590" s="1271"/>
      <c r="D590" s="137">
        <f>'OSS Transportation '!B15</f>
        <v>-3.7499999999999999E-2</v>
      </c>
      <c r="E590" s="39"/>
      <c r="F590" s="39"/>
      <c r="G590" s="39"/>
      <c r="H590" s="39"/>
      <c r="I590" s="39"/>
      <c r="J590" s="722"/>
    </row>
    <row r="591" spans="2:10" x14ac:dyDescent="0.2">
      <c r="B591" s="1270" t="s">
        <v>1109</v>
      </c>
      <c r="C591" s="1271"/>
      <c r="D591" s="137">
        <f>'OSS Transportation '!B16</f>
        <v>54.7</v>
      </c>
      <c r="E591" s="39"/>
      <c r="F591" s="39"/>
      <c r="G591" s="39"/>
      <c r="H591" s="39"/>
      <c r="I591" s="39"/>
      <c r="J591" s="722"/>
    </row>
    <row r="592" spans="2:10" x14ac:dyDescent="0.2">
      <c r="B592" s="721"/>
      <c r="C592" s="781"/>
      <c r="D592" s="39"/>
      <c r="E592" s="39"/>
      <c r="F592" s="39"/>
      <c r="G592" s="39"/>
      <c r="H592" s="39"/>
      <c r="I592" s="39"/>
      <c r="J592" s="722"/>
    </row>
    <row r="593" spans="2:10" x14ac:dyDescent="0.2">
      <c r="B593" s="723" t="s">
        <v>1110</v>
      </c>
      <c r="C593" s="781"/>
      <c r="D593" s="39"/>
      <c r="E593" s="39"/>
      <c r="F593" s="39"/>
      <c r="G593" s="39"/>
      <c r="H593" s="39"/>
      <c r="I593" s="39"/>
      <c r="J593" s="722"/>
    </row>
    <row r="594" spans="2:10" x14ac:dyDescent="0.2">
      <c r="B594" s="721"/>
      <c r="C594" s="781"/>
      <c r="D594" s="39"/>
      <c r="E594" s="39"/>
      <c r="F594" s="39"/>
      <c r="G594" s="39"/>
      <c r="H594" s="39"/>
      <c r="I594" s="39"/>
      <c r="J594" s="722"/>
    </row>
    <row r="595" spans="2:10" x14ac:dyDescent="0.2">
      <c r="B595" s="723" t="s">
        <v>980</v>
      </c>
      <c r="C595" s="781"/>
      <c r="D595" s="39"/>
      <c r="E595" s="39"/>
      <c r="F595" s="39"/>
      <c r="G595" s="39"/>
      <c r="H595" s="39"/>
      <c r="I595" s="39"/>
      <c r="J595" s="722"/>
    </row>
    <row r="596" spans="2:10" x14ac:dyDescent="0.2">
      <c r="B596" s="721"/>
      <c r="C596" s="781"/>
      <c r="D596" s="39"/>
      <c r="E596" s="39"/>
      <c r="F596" s="39"/>
      <c r="G596" s="39"/>
      <c r="H596" s="39"/>
      <c r="I596" s="39"/>
      <c r="J596" s="722"/>
    </row>
    <row r="597" spans="2:10" x14ac:dyDescent="0.2">
      <c r="B597" s="1272" t="s">
        <v>1112</v>
      </c>
      <c r="C597" s="1273"/>
      <c r="D597" s="755">
        <f>(D589*B6^2+D590*B6+D591)*B6</f>
        <v>77835.290509999992</v>
      </c>
      <c r="E597" s="39"/>
      <c r="F597" s="39"/>
      <c r="G597" s="39"/>
      <c r="H597" s="39"/>
      <c r="I597" s="39"/>
      <c r="J597" s="722"/>
    </row>
    <row r="598" spans="2:10" x14ac:dyDescent="0.2">
      <c r="B598" s="1272" t="s">
        <v>894</v>
      </c>
      <c r="C598" s="1273"/>
      <c r="D598" s="757">
        <f>'PPI Calculation'!D171</f>
        <v>1.1665150136487714</v>
      </c>
      <c r="E598" s="39"/>
      <c r="F598" s="39"/>
      <c r="G598" s="39"/>
      <c r="H598" s="39"/>
      <c r="I598" s="39"/>
      <c r="J598" s="722"/>
    </row>
    <row r="599" spans="2:10" x14ac:dyDescent="0.2">
      <c r="B599" s="1272" t="s">
        <v>1060</v>
      </c>
      <c r="C599" s="1273"/>
      <c r="D599" s="755">
        <f>D598*D597</f>
        <v>90796.034971628731</v>
      </c>
      <c r="E599" s="39"/>
      <c r="F599" s="39"/>
      <c r="G599" s="39"/>
      <c r="H599" s="39"/>
      <c r="I599" s="39"/>
      <c r="J599" s="722"/>
    </row>
    <row r="600" spans="2:10" ht="13.5" thickBot="1" x14ac:dyDescent="0.25">
      <c r="B600" s="743"/>
      <c r="C600" s="783"/>
      <c r="D600" s="732"/>
      <c r="E600" s="732"/>
      <c r="F600" s="732"/>
      <c r="G600" s="732"/>
      <c r="H600" s="732"/>
      <c r="I600" s="732"/>
      <c r="J600" s="733"/>
    </row>
    <row r="601" spans="2:10" ht="13.5" thickTop="1" x14ac:dyDescent="0.2">
      <c r="B601" s="717" t="s">
        <v>974</v>
      </c>
      <c r="C601" s="737"/>
      <c r="D601" s="738"/>
      <c r="E601" s="738"/>
      <c r="F601" s="738"/>
      <c r="G601" s="738"/>
      <c r="H601" s="738"/>
      <c r="I601" s="738"/>
      <c r="J601" s="739"/>
    </row>
    <row r="602" spans="2:10" x14ac:dyDescent="0.2">
      <c r="B602" s="721"/>
      <c r="C602" s="275"/>
      <c r="D602" s="39"/>
      <c r="E602" s="39"/>
      <c r="F602" s="39"/>
      <c r="G602" s="39"/>
      <c r="H602" s="39"/>
      <c r="I602" s="39"/>
      <c r="J602" s="722"/>
    </row>
    <row r="603" spans="2:10" x14ac:dyDescent="0.2">
      <c r="B603" s="1270" t="s">
        <v>1006</v>
      </c>
      <c r="C603" s="1271"/>
      <c r="D603" s="762">
        <f>'OSS Elect Interf-Connect'!B14</f>
        <v>260</v>
      </c>
      <c r="E603" s="39" t="s">
        <v>998</v>
      </c>
      <c r="F603" s="39"/>
      <c r="G603" s="39"/>
      <c r="H603" s="39"/>
      <c r="I603" s="39"/>
      <c r="J603" s="722"/>
    </row>
    <row r="604" spans="2:10" x14ac:dyDescent="0.2">
      <c r="B604" s="721"/>
      <c r="C604" s="275"/>
      <c r="D604" s="39"/>
      <c r="E604" s="39"/>
      <c r="F604" s="39"/>
      <c r="G604" s="39"/>
      <c r="H604" s="39"/>
      <c r="I604" s="39"/>
      <c r="J604" s="722"/>
    </row>
    <row r="605" spans="2:10" x14ac:dyDescent="0.2">
      <c r="B605" s="1272" t="s">
        <v>1007</v>
      </c>
      <c r="C605" s="1273"/>
      <c r="D605" s="755">
        <f>D603*B6</f>
        <v>496600</v>
      </c>
      <c r="E605" s="812" t="s">
        <v>1000</v>
      </c>
      <c r="F605" s="39"/>
      <c r="G605" s="39"/>
      <c r="H605" s="39"/>
      <c r="I605" s="39"/>
      <c r="J605" s="722"/>
    </row>
    <row r="606" spans="2:10" x14ac:dyDescent="0.2">
      <c r="B606" s="1272" t="s">
        <v>894</v>
      </c>
      <c r="C606" s="1273"/>
      <c r="D606" s="757">
        <f>'PPI Calculation'!D221</f>
        <v>1.7169987025414939</v>
      </c>
      <c r="E606" s="39"/>
      <c r="F606" s="39"/>
      <c r="G606" s="39"/>
      <c r="H606" s="39"/>
      <c r="I606" s="39"/>
      <c r="J606" s="722"/>
    </row>
    <row r="607" spans="2:10" x14ac:dyDescent="0.2">
      <c r="B607" s="1272" t="s">
        <v>1060</v>
      </c>
      <c r="C607" s="1273"/>
      <c r="D607" s="755">
        <f>D606*D605</f>
        <v>852661.55568210583</v>
      </c>
      <c r="E607" s="39"/>
      <c r="F607" s="39"/>
      <c r="G607" s="39"/>
      <c r="H607" s="39"/>
      <c r="I607" s="39"/>
      <c r="J607" s="722"/>
    </row>
    <row r="608" spans="2:10" ht="13.5" thickBot="1" x14ac:dyDescent="0.25">
      <c r="B608" s="743"/>
      <c r="C608" s="730"/>
      <c r="D608" s="732"/>
      <c r="E608" s="732"/>
      <c r="F608" s="732"/>
      <c r="G608" s="732"/>
      <c r="H608" s="732"/>
      <c r="I608" s="732"/>
      <c r="J608" s="733"/>
    </row>
    <row r="609" spans="2:10" ht="13.5" thickTop="1" x14ac:dyDescent="0.2">
      <c r="B609" s="811"/>
      <c r="C609" s="21"/>
    </row>
    <row r="610" spans="2:10" x14ac:dyDescent="0.2">
      <c r="B610" s="21"/>
      <c r="C610" s="21"/>
    </row>
    <row r="611" spans="2:10" ht="13.5" thickBot="1" x14ac:dyDescent="0.25">
      <c r="B611" s="777" t="s">
        <v>971</v>
      </c>
      <c r="C611" s="730"/>
      <c r="D611" s="732"/>
      <c r="E611" s="732"/>
      <c r="F611" s="732"/>
    </row>
    <row r="612" spans="2:10" ht="14.25" thickTop="1" thickBot="1" x14ac:dyDescent="0.25">
      <c r="B612" s="780"/>
      <c r="C612" s="275"/>
      <c r="D612" s="39"/>
      <c r="E612" s="39"/>
      <c r="F612" s="39"/>
    </row>
    <row r="613" spans="2:10" ht="13.5" thickTop="1" x14ac:dyDescent="0.2">
      <c r="B613" s="717" t="s">
        <v>975</v>
      </c>
      <c r="C613" s="738"/>
      <c r="D613" s="738"/>
      <c r="E613" s="738"/>
      <c r="F613" s="738"/>
      <c r="G613" s="738"/>
      <c r="H613" s="738"/>
      <c r="I613" s="738"/>
      <c r="J613" s="739"/>
    </row>
    <row r="614" spans="2:10" x14ac:dyDescent="0.2">
      <c r="B614" s="721"/>
      <c r="C614" s="275"/>
      <c r="D614" s="39"/>
      <c r="E614" s="39"/>
      <c r="F614" s="39"/>
      <c r="G614" s="39"/>
      <c r="H614" s="39"/>
      <c r="I614" s="39"/>
      <c r="J614" s="722"/>
    </row>
    <row r="615" spans="2:10" x14ac:dyDescent="0.2">
      <c r="B615" s="1270" t="s">
        <v>997</v>
      </c>
      <c r="C615" s="1271"/>
      <c r="D615" s="762">
        <f>'OST Support Structure'!B14</f>
        <v>450</v>
      </c>
      <c r="E615" s="39" t="s">
        <v>998</v>
      </c>
      <c r="F615" s="39"/>
      <c r="G615" s="39"/>
      <c r="H615" s="39"/>
      <c r="I615" s="39"/>
      <c r="J615" s="722"/>
    </row>
    <row r="616" spans="2:10" x14ac:dyDescent="0.2">
      <c r="B616" s="721"/>
      <c r="C616" s="275"/>
      <c r="D616" s="39"/>
      <c r="E616" s="39"/>
      <c r="F616" s="39"/>
      <c r="G616" s="39"/>
      <c r="H616" s="39"/>
      <c r="I616" s="39"/>
      <c r="J616" s="722"/>
    </row>
    <row r="617" spans="2:10" x14ac:dyDescent="0.2">
      <c r="B617" s="1272" t="s">
        <v>999</v>
      </c>
      <c r="C617" s="1273"/>
      <c r="D617" s="755">
        <f>D615*B6</f>
        <v>859500</v>
      </c>
      <c r="E617" s="812" t="s">
        <v>1000</v>
      </c>
      <c r="F617" s="39"/>
      <c r="G617" s="39"/>
      <c r="H617" s="39"/>
      <c r="I617" s="39"/>
      <c r="J617" s="722"/>
    </row>
    <row r="618" spans="2:10" x14ac:dyDescent="0.2">
      <c r="B618" s="1272" t="s">
        <v>894</v>
      </c>
      <c r="C618" s="1273"/>
      <c r="D618" s="757">
        <f>'PPI Calculation'!D189</f>
        <v>1.4676119030648609</v>
      </c>
      <c r="E618" s="39"/>
      <c r="F618" s="39"/>
      <c r="G618" s="39"/>
      <c r="H618" s="39"/>
      <c r="I618" s="39"/>
      <c r="J618" s="722"/>
    </row>
    <row r="619" spans="2:10" x14ac:dyDescent="0.2">
      <c r="B619" s="1272" t="s">
        <v>1060</v>
      </c>
      <c r="C619" s="1273"/>
      <c r="D619" s="755">
        <f>D618*D617</f>
        <v>1261412.430684248</v>
      </c>
      <c r="E619" s="39"/>
      <c r="F619" s="39"/>
      <c r="G619" s="39"/>
      <c r="H619" s="39"/>
      <c r="I619" s="39"/>
      <c r="J619" s="722"/>
    </row>
    <row r="620" spans="2:10" ht="13.5" thickBot="1" x14ac:dyDescent="0.25">
      <c r="B620" s="743"/>
      <c r="C620" s="730"/>
      <c r="D620" s="732"/>
      <c r="E620" s="732"/>
      <c r="F620" s="732"/>
      <c r="G620" s="732"/>
      <c r="H620" s="732"/>
      <c r="I620" s="732"/>
      <c r="J620" s="733"/>
    </row>
    <row r="621" spans="2:10" ht="13.5" thickTop="1" x14ac:dyDescent="0.2">
      <c r="B621" s="717" t="s">
        <v>976</v>
      </c>
      <c r="C621" s="738"/>
      <c r="D621" s="738"/>
      <c r="E621" s="738"/>
      <c r="F621" s="738"/>
      <c r="G621" s="738"/>
      <c r="H621" s="738"/>
      <c r="I621" s="738"/>
      <c r="J621" s="739"/>
    </row>
    <row r="622" spans="2:10" x14ac:dyDescent="0.2">
      <c r="B622" s="721"/>
      <c r="C622" s="275"/>
      <c r="D622" s="39"/>
      <c r="E622" s="39"/>
      <c r="F622" s="39"/>
      <c r="G622" s="39"/>
      <c r="H622" s="39"/>
      <c r="I622" s="39"/>
      <c r="J622" s="722"/>
    </row>
    <row r="623" spans="2:10" x14ac:dyDescent="0.2">
      <c r="B623" s="1270" t="s">
        <v>1010</v>
      </c>
      <c r="C623" s="1271"/>
      <c r="D623" s="762">
        <f>'OST Support Structure Install'!B14</f>
        <v>330</v>
      </c>
      <c r="E623" s="39" t="s">
        <v>998</v>
      </c>
      <c r="F623" s="39"/>
      <c r="G623" s="39"/>
      <c r="H623" s="39"/>
      <c r="I623" s="39"/>
      <c r="J623" s="722"/>
    </row>
    <row r="624" spans="2:10" x14ac:dyDescent="0.2">
      <c r="B624" s="721"/>
      <c r="C624" s="275"/>
      <c r="D624" s="39"/>
      <c r="E624" s="39"/>
      <c r="F624" s="39"/>
      <c r="G624" s="39"/>
      <c r="H624" s="39"/>
      <c r="I624" s="39"/>
      <c r="J624" s="722"/>
    </row>
    <row r="625" spans="2:10" x14ac:dyDescent="0.2">
      <c r="B625" s="1272" t="s">
        <v>1011</v>
      </c>
      <c r="C625" s="1273"/>
      <c r="D625" s="755">
        <f>D623*B6</f>
        <v>630300</v>
      </c>
      <c r="E625" s="812" t="s">
        <v>1000</v>
      </c>
      <c r="F625" s="39"/>
      <c r="G625" s="39"/>
      <c r="H625" s="39"/>
      <c r="I625" s="39"/>
      <c r="J625" s="722"/>
    </row>
    <row r="626" spans="2:10" x14ac:dyDescent="0.2">
      <c r="B626" s="1272" t="s">
        <v>894</v>
      </c>
      <c r="C626" s="1273"/>
      <c r="D626" s="757">
        <f>'PPI Calculation'!D189</f>
        <v>1.4676119030648609</v>
      </c>
      <c r="E626" s="39"/>
      <c r="F626" s="39"/>
      <c r="G626" s="39"/>
      <c r="H626" s="39"/>
      <c r="I626" s="39"/>
      <c r="J626" s="722"/>
    </row>
    <row r="627" spans="2:10" x14ac:dyDescent="0.2">
      <c r="B627" s="1272" t="s">
        <v>1060</v>
      </c>
      <c r="C627" s="1273"/>
      <c r="D627" s="755">
        <f>D626*D625</f>
        <v>925035.78250178182</v>
      </c>
      <c r="E627" s="39"/>
      <c r="F627" s="39"/>
      <c r="G627" s="39"/>
      <c r="H627" s="39"/>
      <c r="I627" s="39"/>
      <c r="J627" s="722"/>
    </row>
    <row r="628" spans="2:10" ht="13.5" thickBot="1" x14ac:dyDescent="0.25">
      <c r="B628" s="743"/>
      <c r="C628" s="730"/>
      <c r="D628" s="732"/>
      <c r="E628" s="732"/>
      <c r="F628" s="732"/>
      <c r="G628" s="732"/>
      <c r="H628" s="732"/>
      <c r="I628" s="732"/>
      <c r="J628" s="733"/>
    </row>
    <row r="629" spans="2:10" ht="13.5" thickTop="1" x14ac:dyDescent="0.2">
      <c r="B629" s="717" t="s">
        <v>977</v>
      </c>
      <c r="C629" s="738"/>
      <c r="D629" s="738"/>
      <c r="E629" s="738"/>
      <c r="F629" s="738"/>
      <c r="G629" s="738"/>
      <c r="H629" s="738"/>
      <c r="I629" s="738"/>
      <c r="J629" s="739"/>
    </row>
    <row r="630" spans="2:10" x14ac:dyDescent="0.2">
      <c r="B630" s="721" t="s">
        <v>864</v>
      </c>
      <c r="C630" s="39"/>
      <c r="D630" s="39"/>
      <c r="E630" s="39"/>
      <c r="F630" s="39"/>
      <c r="G630" s="39"/>
      <c r="H630" s="39"/>
      <c r="I630" s="39"/>
      <c r="J630" s="722"/>
    </row>
    <row r="631" spans="2:10" x14ac:dyDescent="0.2">
      <c r="B631" s="721"/>
      <c r="C631" s="275"/>
      <c r="D631" s="39"/>
      <c r="E631" s="39"/>
      <c r="F631" s="39"/>
      <c r="G631" s="39"/>
      <c r="H631" s="39"/>
      <c r="I631" s="39"/>
      <c r="J631" s="722"/>
    </row>
    <row r="632" spans="2:10" x14ac:dyDescent="0.2">
      <c r="B632" s="1270" t="s">
        <v>868</v>
      </c>
      <c r="C632" s="1271"/>
      <c r="D632" s="762">
        <f>'OST Structure Transport'!B14</f>
        <v>25</v>
      </c>
      <c r="E632" s="39" t="s">
        <v>998</v>
      </c>
      <c r="F632" s="39"/>
      <c r="G632" s="39"/>
      <c r="H632" s="39"/>
      <c r="I632" s="39"/>
      <c r="J632" s="722"/>
    </row>
    <row r="633" spans="2:10" x14ac:dyDescent="0.2">
      <c r="B633" s="721"/>
      <c r="C633" s="275"/>
      <c r="D633" s="39"/>
      <c r="E633" s="39"/>
      <c r="F633" s="39"/>
      <c r="G633" s="39"/>
      <c r="H633" s="39"/>
      <c r="I633" s="39"/>
      <c r="J633" s="722"/>
    </row>
    <row r="634" spans="2:10" x14ac:dyDescent="0.2">
      <c r="B634" s="1272" t="s">
        <v>866</v>
      </c>
      <c r="C634" s="1273"/>
      <c r="D634" s="755">
        <f>D632*B6</f>
        <v>47750</v>
      </c>
      <c r="E634" s="812" t="s">
        <v>1000</v>
      </c>
      <c r="F634" s="39"/>
      <c r="G634" s="39"/>
      <c r="H634" s="39"/>
      <c r="I634" s="39"/>
      <c r="J634" s="722"/>
    </row>
    <row r="635" spans="2:10" x14ac:dyDescent="0.2">
      <c r="B635" s="1272" t="s">
        <v>894</v>
      </c>
      <c r="C635" s="1273"/>
      <c r="D635" s="757">
        <f>'PPI Calculation'!D189</f>
        <v>1.4676119030648609</v>
      </c>
      <c r="E635" s="39"/>
      <c r="F635" s="39"/>
      <c r="G635" s="39"/>
      <c r="H635" s="39"/>
      <c r="I635" s="39"/>
      <c r="J635" s="722"/>
    </row>
    <row r="636" spans="2:10" x14ac:dyDescent="0.2">
      <c r="B636" s="1272" t="s">
        <v>1060</v>
      </c>
      <c r="C636" s="1273"/>
      <c r="D636" s="755">
        <f>D635*D634</f>
        <v>70078.468371347102</v>
      </c>
      <c r="E636" s="39"/>
      <c r="F636" s="39"/>
      <c r="G636" s="39"/>
      <c r="H636" s="39"/>
      <c r="I636" s="39"/>
      <c r="J636" s="722"/>
    </row>
    <row r="637" spans="2:10" ht="13.5" thickBot="1" x14ac:dyDescent="0.25">
      <c r="B637" s="743"/>
      <c r="C637" s="730"/>
      <c r="D637" s="732"/>
      <c r="E637" s="732"/>
      <c r="F637" s="732"/>
      <c r="G637" s="732"/>
      <c r="H637" s="732"/>
      <c r="I637" s="732"/>
      <c r="J637" s="733"/>
    </row>
    <row r="638" spans="2:10" ht="13.5" thickTop="1" x14ac:dyDescent="0.2">
      <c r="B638" s="717" t="s">
        <v>978</v>
      </c>
      <c r="C638" s="738"/>
      <c r="D638" s="738"/>
      <c r="E638" s="738"/>
      <c r="F638" s="738"/>
      <c r="G638" s="738"/>
      <c r="H638" s="738"/>
      <c r="I638" s="738"/>
      <c r="J638" s="739"/>
    </row>
    <row r="639" spans="2:10" x14ac:dyDescent="0.2">
      <c r="B639" s="721" t="s">
        <v>867</v>
      </c>
      <c r="C639" s="39"/>
      <c r="D639" s="39"/>
      <c r="E639" s="39"/>
      <c r="F639" s="39"/>
      <c r="G639" s="39"/>
      <c r="H639" s="39"/>
      <c r="I639" s="39"/>
      <c r="J639" s="722"/>
    </row>
    <row r="640" spans="2:10" x14ac:dyDescent="0.2">
      <c r="B640" s="721"/>
      <c r="C640" s="275"/>
      <c r="D640" s="39"/>
      <c r="E640" s="39"/>
      <c r="F640" s="39"/>
      <c r="G640" s="39"/>
      <c r="H640" s="39"/>
      <c r="I640" s="39"/>
      <c r="J640" s="722"/>
    </row>
    <row r="641" spans="2:10" x14ac:dyDescent="0.2">
      <c r="B641" s="1270" t="s">
        <v>875</v>
      </c>
      <c r="C641" s="1271"/>
      <c r="D641" s="762">
        <f>'OST Turbine Transport'!B14</f>
        <v>77</v>
      </c>
      <c r="E641" s="39" t="s">
        <v>873</v>
      </c>
      <c r="F641" s="39"/>
      <c r="G641" s="39"/>
      <c r="H641" s="39"/>
      <c r="I641" s="39"/>
      <c r="J641" s="722"/>
    </row>
    <row r="642" spans="2:10" x14ac:dyDescent="0.2">
      <c r="B642" s="721"/>
      <c r="C642" s="275"/>
      <c r="D642" s="39"/>
      <c r="E642" s="39"/>
      <c r="F642" s="39"/>
      <c r="G642" s="39"/>
      <c r="H642" s="39"/>
      <c r="I642" s="39"/>
      <c r="J642" s="722"/>
    </row>
    <row r="643" spans="2:10" x14ac:dyDescent="0.2">
      <c r="B643" s="1272" t="s">
        <v>866</v>
      </c>
      <c r="C643" s="1273"/>
      <c r="D643" s="755">
        <f>D641*B6</f>
        <v>147070</v>
      </c>
      <c r="E643" s="812" t="s">
        <v>872</v>
      </c>
      <c r="F643" s="39"/>
      <c r="G643" s="39"/>
      <c r="H643" s="39"/>
      <c r="I643" s="39"/>
      <c r="J643" s="722"/>
    </row>
    <row r="644" spans="2:10" x14ac:dyDescent="0.2">
      <c r="B644" s="1272" t="s">
        <v>894</v>
      </c>
      <c r="C644" s="1273"/>
      <c r="D644" s="757">
        <f>'PPI Calculation'!D171</f>
        <v>1.1665150136487714</v>
      </c>
      <c r="E644" s="39"/>
      <c r="F644" s="39"/>
      <c r="G644" s="39"/>
      <c r="H644" s="39"/>
      <c r="I644" s="39"/>
      <c r="J644" s="722"/>
    </row>
    <row r="645" spans="2:10" x14ac:dyDescent="0.2">
      <c r="B645" s="1272" t="s">
        <v>1060</v>
      </c>
      <c r="C645" s="1273"/>
      <c r="D645" s="755">
        <f>D644*D643</f>
        <v>171559.36305732481</v>
      </c>
      <c r="E645" s="39"/>
      <c r="F645" s="39"/>
      <c r="G645" s="39"/>
      <c r="H645" s="39"/>
      <c r="I645" s="39"/>
      <c r="J645" s="722"/>
    </row>
    <row r="646" spans="2:10" ht="13.5" thickBot="1" x14ac:dyDescent="0.25">
      <c r="B646" s="743"/>
      <c r="C646" s="730"/>
      <c r="D646" s="732"/>
      <c r="E646" s="732"/>
      <c r="F646" s="732"/>
      <c r="G646" s="732"/>
      <c r="H646" s="732"/>
      <c r="I646" s="732"/>
      <c r="J646" s="733"/>
    </row>
    <row r="647" spans="2:10" ht="13.5" thickTop="1" x14ac:dyDescent="0.2">
      <c r="B647" s="717" t="s">
        <v>979</v>
      </c>
      <c r="C647" s="738"/>
      <c r="D647" s="738"/>
      <c r="E647" s="738"/>
      <c r="F647" s="738"/>
      <c r="G647" s="738"/>
      <c r="H647" s="738"/>
      <c r="I647" s="738"/>
      <c r="J647" s="739"/>
    </row>
    <row r="648" spans="2:10" x14ac:dyDescent="0.2">
      <c r="B648" s="721"/>
      <c r="C648" s="275"/>
      <c r="D648" s="39"/>
      <c r="E648" s="39"/>
      <c r="F648" s="39"/>
      <c r="G648" s="39"/>
      <c r="H648" s="39"/>
      <c r="I648" s="39"/>
      <c r="J648" s="722"/>
    </row>
    <row r="649" spans="2:10" x14ac:dyDescent="0.2">
      <c r="B649" s="1270" t="s">
        <v>1001</v>
      </c>
      <c r="C649" s="1271"/>
      <c r="D649" s="762">
        <f>'OST Turbine Install'!B14</f>
        <v>100</v>
      </c>
      <c r="E649" s="39" t="s">
        <v>998</v>
      </c>
      <c r="F649" s="39"/>
      <c r="G649" s="39"/>
      <c r="H649" s="39"/>
      <c r="I649" s="39"/>
      <c r="J649" s="722"/>
    </row>
    <row r="650" spans="2:10" x14ac:dyDescent="0.2">
      <c r="B650" s="721"/>
      <c r="C650" s="275"/>
      <c r="D650" s="39"/>
      <c r="E650" s="39"/>
      <c r="F650" s="39"/>
      <c r="G650" s="39"/>
      <c r="H650" s="39"/>
      <c r="I650" s="39"/>
      <c r="J650" s="722"/>
    </row>
    <row r="651" spans="2:10" x14ac:dyDescent="0.2">
      <c r="B651" s="1272" t="s">
        <v>866</v>
      </c>
      <c r="C651" s="1273"/>
      <c r="D651" s="755">
        <f>D649*B6</f>
        <v>191000</v>
      </c>
      <c r="E651" s="812" t="s">
        <v>1000</v>
      </c>
      <c r="F651" s="39"/>
      <c r="G651" s="39"/>
      <c r="H651" s="39"/>
      <c r="I651" s="39"/>
      <c r="J651" s="722"/>
    </row>
    <row r="652" spans="2:10" x14ac:dyDescent="0.2">
      <c r="B652" s="1272" t="s">
        <v>894</v>
      </c>
      <c r="C652" s="1273"/>
      <c r="D652" s="757">
        <f>'PPI Calculation'!D189</f>
        <v>1.4676119030648609</v>
      </c>
      <c r="E652" s="39"/>
      <c r="F652" s="39"/>
      <c r="G652" s="39"/>
      <c r="H652" s="39"/>
      <c r="I652" s="39"/>
      <c r="J652" s="722"/>
    </row>
    <row r="653" spans="2:10" x14ac:dyDescent="0.2">
      <c r="B653" s="1272" t="s">
        <v>1060</v>
      </c>
      <c r="C653" s="1273"/>
      <c r="D653" s="755">
        <f>D652*D651</f>
        <v>280313.87348538841</v>
      </c>
      <c r="E653" s="39"/>
      <c r="F653" s="39"/>
      <c r="G653" s="39"/>
      <c r="H653" s="39"/>
      <c r="I653" s="39"/>
      <c r="J653" s="722"/>
    </row>
    <row r="654" spans="2:10" ht="13.5" thickBot="1" x14ac:dyDescent="0.25">
      <c r="B654" s="743"/>
      <c r="C654" s="730"/>
      <c r="D654" s="732"/>
      <c r="E654" s="732"/>
      <c r="F654" s="732"/>
      <c r="G654" s="732"/>
      <c r="H654" s="732"/>
      <c r="I654" s="732"/>
      <c r="J654" s="733"/>
    </row>
    <row r="655" spans="2:10" ht="13.5" thickTop="1" x14ac:dyDescent="0.2">
      <c r="B655" s="717" t="s">
        <v>874</v>
      </c>
      <c r="C655" s="738"/>
      <c r="D655" s="738"/>
      <c r="E655" s="738"/>
      <c r="F655" s="738"/>
      <c r="G655" s="738"/>
      <c r="H655" s="738"/>
      <c r="I655" s="738"/>
      <c r="J655" s="739"/>
    </row>
    <row r="656" spans="2:10" x14ac:dyDescent="0.2">
      <c r="B656" s="721"/>
      <c r="C656" s="275"/>
      <c r="D656" s="39"/>
      <c r="E656" s="39"/>
      <c r="F656" s="39"/>
      <c r="G656" s="39"/>
      <c r="H656" s="39"/>
      <c r="I656" s="39"/>
      <c r="J656" s="722"/>
    </row>
    <row r="657" spans="2:10" x14ac:dyDescent="0.2">
      <c r="B657" s="1270" t="s">
        <v>876</v>
      </c>
      <c r="C657" s="1271"/>
      <c r="D657" s="762">
        <f>'OST Elect Interf-Connect'!B14</f>
        <v>290</v>
      </c>
      <c r="E657" s="39" t="s">
        <v>998</v>
      </c>
      <c r="F657" s="39"/>
      <c r="G657" s="39"/>
      <c r="H657" s="39"/>
      <c r="I657" s="39"/>
      <c r="J657" s="722"/>
    </row>
    <row r="658" spans="2:10" x14ac:dyDescent="0.2">
      <c r="B658" s="721"/>
      <c r="C658" s="275"/>
      <c r="D658" s="39"/>
      <c r="E658" s="39"/>
      <c r="F658" s="39"/>
      <c r="G658" s="39"/>
      <c r="H658" s="39"/>
      <c r="I658" s="39"/>
      <c r="J658" s="722"/>
    </row>
    <row r="659" spans="2:10" x14ac:dyDescent="0.2">
      <c r="B659" s="1272" t="s">
        <v>1007</v>
      </c>
      <c r="C659" s="1273"/>
      <c r="D659" s="755">
        <f>D657*B6</f>
        <v>553900</v>
      </c>
      <c r="E659" s="812" t="s">
        <v>1000</v>
      </c>
      <c r="F659" s="39"/>
      <c r="G659" s="39"/>
      <c r="H659" s="39"/>
      <c r="I659" s="39"/>
      <c r="J659" s="722"/>
    </row>
    <row r="660" spans="2:10" x14ac:dyDescent="0.2">
      <c r="B660" s="1272" t="s">
        <v>894</v>
      </c>
      <c r="C660" s="1273"/>
      <c r="D660" s="757">
        <f>'PPI Calculation'!D221</f>
        <v>1.7169987025414939</v>
      </c>
      <c r="E660" s="39"/>
      <c r="F660" s="39"/>
      <c r="G660" s="39"/>
      <c r="H660" s="39"/>
      <c r="I660" s="39"/>
      <c r="J660" s="722"/>
    </row>
    <row r="661" spans="2:10" x14ac:dyDescent="0.2">
      <c r="B661" s="1272" t="s">
        <v>1060</v>
      </c>
      <c r="C661" s="1273"/>
      <c r="D661" s="755">
        <f>D660*D659</f>
        <v>951045.58133773343</v>
      </c>
      <c r="E661" s="39"/>
      <c r="F661" s="39"/>
      <c r="G661" s="39"/>
      <c r="H661" s="39"/>
      <c r="I661" s="39"/>
      <c r="J661" s="722"/>
    </row>
    <row r="662" spans="2:10" ht="13.5" thickBot="1" x14ac:dyDescent="0.25">
      <c r="B662" s="743"/>
      <c r="C662" s="730"/>
      <c r="D662" s="732"/>
      <c r="E662" s="732"/>
      <c r="F662" s="732"/>
      <c r="G662" s="732"/>
      <c r="H662" s="732"/>
      <c r="I662" s="732"/>
      <c r="J662" s="733"/>
    </row>
    <row r="663" spans="2:10" ht="13.5" thickTop="1" x14ac:dyDescent="0.2"/>
  </sheetData>
  <mergeCells count="302">
    <mergeCell ref="B93:C93"/>
    <mergeCell ref="B92:C92"/>
    <mergeCell ref="B111:C111"/>
    <mergeCell ref="B112:C112"/>
    <mergeCell ref="B100:C100"/>
    <mergeCell ref="B99:C99"/>
    <mergeCell ref="B623:C623"/>
    <mergeCell ref="B581:C581"/>
    <mergeCell ref="B583:C583"/>
    <mergeCell ref="B584:C584"/>
    <mergeCell ref="B585:C585"/>
    <mergeCell ref="B603:C603"/>
    <mergeCell ref="B605:C605"/>
    <mergeCell ref="B589:C589"/>
    <mergeCell ref="B590:C590"/>
    <mergeCell ref="B591:C591"/>
    <mergeCell ref="B597:C597"/>
    <mergeCell ref="B559:C559"/>
    <mergeCell ref="B577:C577"/>
    <mergeCell ref="B565:C565"/>
    <mergeCell ref="B573:C573"/>
    <mergeCell ref="B575:C575"/>
    <mergeCell ref="B598:C598"/>
    <mergeCell ref="B599:C599"/>
    <mergeCell ref="B95:C95"/>
    <mergeCell ref="B94:C94"/>
    <mergeCell ref="B564:C564"/>
    <mergeCell ref="B531:C531"/>
    <mergeCell ref="B539:C539"/>
    <mergeCell ref="B543:C543"/>
    <mergeCell ref="B544:C544"/>
    <mergeCell ref="B545:C545"/>
    <mergeCell ref="B549:C549"/>
    <mergeCell ref="B421:C421"/>
    <mergeCell ref="B427:C427"/>
    <mergeCell ref="B428:C428"/>
    <mergeCell ref="B429:C429"/>
    <mergeCell ref="B433:C433"/>
    <mergeCell ref="B434:C434"/>
    <mergeCell ref="B477:C477"/>
    <mergeCell ref="B450:C450"/>
    <mergeCell ref="B454:C454"/>
    <mergeCell ref="B458:C458"/>
    <mergeCell ref="B459:C459"/>
    <mergeCell ref="B460:C460"/>
    <mergeCell ref="B464:C464"/>
    <mergeCell ref="B438:C438"/>
    <mergeCell ref="B553:C553"/>
    <mergeCell ref="B627:C627"/>
    <mergeCell ref="B606:C606"/>
    <mergeCell ref="B607:C607"/>
    <mergeCell ref="B615:C615"/>
    <mergeCell ref="B617:C617"/>
    <mergeCell ref="B618:C618"/>
    <mergeCell ref="B619:C619"/>
    <mergeCell ref="B625:C625"/>
    <mergeCell ref="B626:C626"/>
    <mergeCell ref="B554:C554"/>
    <mergeCell ref="B527:C527"/>
    <mergeCell ref="B499:C499"/>
    <mergeCell ref="B500:C500"/>
    <mergeCell ref="B501:C501"/>
    <mergeCell ref="B505:C505"/>
    <mergeCell ref="B507:C507"/>
    <mergeCell ref="B77:C77"/>
    <mergeCell ref="B78:C78"/>
    <mergeCell ref="B80:C80"/>
    <mergeCell ref="B86:C86"/>
    <mergeCell ref="B87:C87"/>
    <mergeCell ref="B88:C88"/>
    <mergeCell ref="B518:C518"/>
    <mergeCell ref="B519:C519"/>
    <mergeCell ref="B523:C523"/>
    <mergeCell ref="B508:C508"/>
    <mergeCell ref="B509:C509"/>
    <mergeCell ref="B513:C513"/>
    <mergeCell ref="B517:C517"/>
    <mergeCell ref="B468:C468"/>
    <mergeCell ref="B469:C469"/>
    <mergeCell ref="B470:C470"/>
    <mergeCell ref="B295:C295"/>
    <mergeCell ref="B576:C576"/>
    <mergeCell ref="B563:C563"/>
    <mergeCell ref="B320:C320"/>
    <mergeCell ref="B321:C321"/>
    <mergeCell ref="B310:C310"/>
    <mergeCell ref="B394:C394"/>
    <mergeCell ref="B395:C395"/>
    <mergeCell ref="B396:C396"/>
    <mergeCell ref="B322:C322"/>
    <mergeCell ref="B326:C327"/>
    <mergeCell ref="B311:C311"/>
    <mergeCell ref="B313:C313"/>
    <mergeCell ref="B319:C319"/>
    <mergeCell ref="B359:C359"/>
    <mergeCell ref="B345:C345"/>
    <mergeCell ref="B346:C346"/>
    <mergeCell ref="B349:C349"/>
    <mergeCell ref="B350:C350"/>
    <mergeCell ref="B481:C481"/>
    <mergeCell ref="B485:C485"/>
    <mergeCell ref="B489:C489"/>
    <mergeCell ref="B490:C490"/>
    <mergeCell ref="B491:C491"/>
    <mergeCell ref="B495:C495"/>
    <mergeCell ref="B297:C297"/>
    <mergeCell ref="B304:C304"/>
    <mergeCell ref="B305:C305"/>
    <mergeCell ref="B306:C306"/>
    <mergeCell ref="B303:C303"/>
    <mergeCell ref="B281:C281"/>
    <mergeCell ref="B280:C280"/>
    <mergeCell ref="B285:C285"/>
    <mergeCell ref="B289:C289"/>
    <mergeCell ref="B290:C290"/>
    <mergeCell ref="B291:C291"/>
    <mergeCell ref="B274:C274"/>
    <mergeCell ref="B275:C275"/>
    <mergeCell ref="B276:C276"/>
    <mergeCell ref="B277:C277"/>
    <mergeCell ref="B278:C278"/>
    <mergeCell ref="B279:C279"/>
    <mergeCell ref="B252:C252"/>
    <mergeCell ref="B253:C253"/>
    <mergeCell ref="B254:C254"/>
    <mergeCell ref="B271:C271"/>
    <mergeCell ref="B272:C272"/>
    <mergeCell ref="B273:C273"/>
    <mergeCell ref="B268:C268"/>
    <mergeCell ref="B269:C269"/>
    <mergeCell ref="B270:C270"/>
    <mergeCell ref="B224:C224"/>
    <mergeCell ref="B247:C247"/>
    <mergeCell ref="B248:C248"/>
    <mergeCell ref="B249:C249"/>
    <mergeCell ref="B240:C240"/>
    <mergeCell ref="B239:C239"/>
    <mergeCell ref="B235:C235"/>
    <mergeCell ref="B234:C234"/>
    <mergeCell ref="B233:C233"/>
    <mergeCell ref="B230:C230"/>
    <mergeCell ref="B238:C238"/>
    <mergeCell ref="B237:C237"/>
    <mergeCell ref="B228:D228"/>
    <mergeCell ref="B232:C232"/>
    <mergeCell ref="B231:C231"/>
    <mergeCell ref="B122:C122"/>
    <mergeCell ref="B123:C123"/>
    <mergeCell ref="B82:H82"/>
    <mergeCell ref="B85:C85"/>
    <mergeCell ref="B212:C212"/>
    <mergeCell ref="B214:C214"/>
    <mergeCell ref="B98:C98"/>
    <mergeCell ref="B97:C97"/>
    <mergeCell ref="B113:C113"/>
    <mergeCell ref="B96:C96"/>
    <mergeCell ref="B121:C121"/>
    <mergeCell ref="B106:C106"/>
    <mergeCell ref="B107:C107"/>
    <mergeCell ref="B115:C115"/>
    <mergeCell ref="B114:C114"/>
    <mergeCell ref="B144:C144"/>
    <mergeCell ref="B201:C201"/>
    <mergeCell ref="B205:C205"/>
    <mergeCell ref="B132:C132"/>
    <mergeCell ref="B133:C133"/>
    <mergeCell ref="B134:C134"/>
    <mergeCell ref="B147:C147"/>
    <mergeCell ref="B135:C135"/>
    <mergeCell ref="B136:C136"/>
    <mergeCell ref="C4:J4"/>
    <mergeCell ref="B59:C59"/>
    <mergeCell ref="B61:C61"/>
    <mergeCell ref="G29:I29"/>
    <mergeCell ref="G30:I30"/>
    <mergeCell ref="B28:C28"/>
    <mergeCell ref="B72:C72"/>
    <mergeCell ref="B51:C51"/>
    <mergeCell ref="B53:C53"/>
    <mergeCell ref="B54:C54"/>
    <mergeCell ref="B60:C60"/>
    <mergeCell ref="F15:G15"/>
    <mergeCell ref="F16:G16"/>
    <mergeCell ref="B29:C29"/>
    <mergeCell ref="B30:C30"/>
    <mergeCell ref="B18:C18"/>
    <mergeCell ref="B26:J26"/>
    <mergeCell ref="D18:E18"/>
    <mergeCell ref="B73:C73"/>
    <mergeCell ref="B34:C34"/>
    <mergeCell ref="B35:C35"/>
    <mergeCell ref="B43:C43"/>
    <mergeCell ref="B37:C37"/>
    <mergeCell ref="B10:F10"/>
    <mergeCell ref="B130:C130"/>
    <mergeCell ref="B131:C131"/>
    <mergeCell ref="B116:C116"/>
    <mergeCell ref="B117:C117"/>
    <mergeCell ref="B70:C70"/>
    <mergeCell ref="B63:C63"/>
    <mergeCell ref="B64:C64"/>
    <mergeCell ref="B65:C65"/>
    <mergeCell ref="B16:C16"/>
    <mergeCell ref="F18:G18"/>
    <mergeCell ref="B44:C44"/>
    <mergeCell ref="B45:C45"/>
    <mergeCell ref="B46:C46"/>
    <mergeCell ref="B50:C50"/>
    <mergeCell ref="B71:C71"/>
    <mergeCell ref="G28:I28"/>
    <mergeCell ref="B15:C15"/>
    <mergeCell ref="B24:J24"/>
    <mergeCell ref="B137:C137"/>
    <mergeCell ref="B148:C148"/>
    <mergeCell ref="B149:C149"/>
    <mergeCell ref="B142:C142"/>
    <mergeCell ref="B143:C143"/>
    <mergeCell ref="B164:C164"/>
    <mergeCell ref="B157:C157"/>
    <mergeCell ref="B158:C158"/>
    <mergeCell ref="B159:C159"/>
    <mergeCell ref="B163:C163"/>
    <mergeCell ref="B170:C170"/>
    <mergeCell ref="B172:C172"/>
    <mergeCell ref="B173:C173"/>
    <mergeCell ref="B178:C178"/>
    <mergeCell ref="B156:C156"/>
    <mergeCell ref="B154:C154"/>
    <mergeCell ref="B155:C155"/>
    <mergeCell ref="B236:C236"/>
    <mergeCell ref="B179:C179"/>
    <mergeCell ref="B180:C180"/>
    <mergeCell ref="B183:C183"/>
    <mergeCell ref="B184:C184"/>
    <mergeCell ref="B207:C207"/>
    <mergeCell ref="B215:C215"/>
    <mergeCell ref="B221:C221"/>
    <mergeCell ref="B222:C222"/>
    <mergeCell ref="B223:C223"/>
    <mergeCell ref="B192:C192"/>
    <mergeCell ref="B193:C193"/>
    <mergeCell ref="B194:C194"/>
    <mergeCell ref="B195:C195"/>
    <mergeCell ref="B206:C206"/>
    <mergeCell ref="B229:C229"/>
    <mergeCell ref="B211:C211"/>
    <mergeCell ref="D326:D327"/>
    <mergeCell ref="B329:C329"/>
    <mergeCell ref="B330:C330"/>
    <mergeCell ref="B331:C331"/>
    <mergeCell ref="B408:C408"/>
    <mergeCell ref="B360:C360"/>
    <mergeCell ref="B361:C361"/>
    <mergeCell ref="D335:D336"/>
    <mergeCell ref="B338:C338"/>
    <mergeCell ref="B339:C339"/>
    <mergeCell ref="B340:C340"/>
    <mergeCell ref="B352:C352"/>
    <mergeCell ref="B335:C336"/>
    <mergeCell ref="B358:C358"/>
    <mergeCell ref="B375:C375"/>
    <mergeCell ref="B368:C368"/>
    <mergeCell ref="B369:C369"/>
    <mergeCell ref="B373:C373"/>
    <mergeCell ref="B374:C374"/>
    <mergeCell ref="B404:C404"/>
    <mergeCell ref="B390:C390"/>
    <mergeCell ref="B402:C402"/>
    <mergeCell ref="B403:C403"/>
    <mergeCell ref="B660:C660"/>
    <mergeCell ref="B661:C661"/>
    <mergeCell ref="B649:C649"/>
    <mergeCell ref="B651:C651"/>
    <mergeCell ref="B652:C652"/>
    <mergeCell ref="B653:C653"/>
    <mergeCell ref="B657:C657"/>
    <mergeCell ref="B659:C659"/>
    <mergeCell ref="B645:C645"/>
    <mergeCell ref="B632:C632"/>
    <mergeCell ref="B634:C634"/>
    <mergeCell ref="B635:C635"/>
    <mergeCell ref="B641:C641"/>
    <mergeCell ref="B643:C643"/>
    <mergeCell ref="B644:C644"/>
    <mergeCell ref="B636:C636"/>
    <mergeCell ref="B380:C380"/>
    <mergeCell ref="B381:C381"/>
    <mergeCell ref="B382:C382"/>
    <mergeCell ref="B388:C388"/>
    <mergeCell ref="B555:C555"/>
    <mergeCell ref="B389:C389"/>
    <mergeCell ref="B409:C409"/>
    <mergeCell ref="B413:C413"/>
    <mergeCell ref="B414:C414"/>
    <mergeCell ref="B415:C415"/>
    <mergeCell ref="B419:C419"/>
    <mergeCell ref="B420:C420"/>
    <mergeCell ref="B439:C439"/>
    <mergeCell ref="B440:C440"/>
    <mergeCell ref="B444:C444"/>
    <mergeCell ref="B448:C448"/>
    <mergeCell ref="B449:C449"/>
  </mergeCells>
  <phoneticPr fontId="3" type="noConversion"/>
  <pageMargins left="0.75" right="0.75" top="1" bottom="1" header="0.5" footer="0.5"/>
  <pageSetup orientation="portrait" horizontalDpi="300" verticalDpi="300"/>
  <headerFooter alignWithMargins="0"/>
  <drawing r:id="rId1"/>
  <legacyDrawing r:id="rId2"/>
  <oleObjects>
    <mc:AlternateContent xmlns:mc="http://schemas.openxmlformats.org/markup-compatibility/2006">
      <mc:Choice Requires="x14">
        <oleObject progId="Equation.3" shapeId="103481" r:id="rId3">
          <objectPr defaultSize="0" autoPict="0" r:id="rId4">
            <anchor moveWithCells="1">
              <from>
                <xdr:col>2</xdr:col>
                <xdr:colOff>647700</xdr:colOff>
                <xdr:row>241</xdr:row>
                <xdr:rowOff>28575</xdr:rowOff>
              </from>
              <to>
                <xdr:col>6</xdr:col>
                <xdr:colOff>447675</xdr:colOff>
                <xdr:row>243</xdr:row>
                <xdr:rowOff>152400</xdr:rowOff>
              </to>
            </anchor>
          </objectPr>
        </oleObject>
      </mc:Choice>
      <mc:Fallback>
        <oleObject progId="Equation.3" shapeId="103481" r:id="rId3"/>
      </mc:Fallback>
    </mc:AlternateContent>
    <mc:AlternateContent xmlns:mc="http://schemas.openxmlformats.org/markup-compatibility/2006">
      <mc:Choice Requires="x14">
        <oleObject progId="Equation.3" shapeId="103482" r:id="rId5">
          <objectPr defaultSize="0" autoPict="0" r:id="rId6">
            <anchor moveWithCells="1">
              <from>
                <xdr:col>3</xdr:col>
                <xdr:colOff>409575</xdr:colOff>
                <xdr:row>100</xdr:row>
                <xdr:rowOff>104775</xdr:rowOff>
              </from>
              <to>
                <xdr:col>9</xdr:col>
                <xdr:colOff>571500</xdr:colOff>
                <xdr:row>104</xdr:row>
                <xdr:rowOff>66675</xdr:rowOff>
              </to>
            </anchor>
          </objectPr>
        </oleObject>
      </mc:Choice>
      <mc:Fallback>
        <oleObject progId="Equation.3" shapeId="103482" r:id="rId5"/>
      </mc:Fallback>
    </mc:AlternateContent>
  </oleObjects>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31"/>
  </sheetPr>
  <dimension ref="A1:E14"/>
  <sheetViews>
    <sheetView workbookViewId="0">
      <selection activeCell="C10" sqref="C10"/>
    </sheetView>
  </sheetViews>
  <sheetFormatPr defaultColWidth="8.85546875" defaultRowHeight="12.75" x14ac:dyDescent="0.2"/>
  <cols>
    <col min="1" max="1" width="34.42578125" customWidth="1"/>
  </cols>
  <sheetData>
    <row r="1" spans="1:5" x14ac:dyDescent="0.2">
      <c r="A1" s="1" t="str">
        <f>'Input &amp; Summary'!A1</f>
        <v>Based on Combined Land Based-Offshore Turbine Cost Model. V2.01.12</v>
      </c>
      <c r="B1" s="139"/>
      <c r="C1" s="139"/>
      <c r="D1" s="139"/>
      <c r="E1" s="139"/>
    </row>
    <row r="2" spans="1:5" ht="38.25" x14ac:dyDescent="0.2">
      <c r="A2" s="555" t="str">
        <f>'Input &amp; Summary'!A2</f>
        <v>Note:  This Model Contains Proprietary or Wind Technology Protected Data, and Should Not Be Released Outside of the DOE/NREL/SNL, until Further Notice.</v>
      </c>
      <c r="B2" s="139"/>
      <c r="C2" s="139"/>
      <c r="D2" s="139"/>
      <c r="E2" s="139"/>
    </row>
    <row r="4" spans="1:5" x14ac:dyDescent="0.2">
      <c r="A4" s="21" t="s">
        <v>784</v>
      </c>
    </row>
    <row r="5" spans="1:5" ht="13.5" thickBot="1" x14ac:dyDescent="0.25">
      <c r="A5" s="635" t="s">
        <v>790</v>
      </c>
    </row>
    <row r="6" spans="1:5" ht="39" thickBot="1" x14ac:dyDescent="0.25">
      <c r="B6" s="480" t="s">
        <v>602</v>
      </c>
    </row>
    <row r="7" spans="1:5" ht="13.5" thickBot="1" x14ac:dyDescent="0.25">
      <c r="A7" s="221" t="s">
        <v>248</v>
      </c>
      <c r="B7" s="466">
        <f>'Input &amp; Summary'!B7</f>
        <v>1910</v>
      </c>
    </row>
    <row r="8" spans="1:5" ht="13.5" thickBot="1" x14ac:dyDescent="0.25"/>
    <row r="9" spans="1:5" ht="13.5" thickBot="1" x14ac:dyDescent="0.25">
      <c r="A9" s="21"/>
      <c r="B9" s="468" t="s">
        <v>100</v>
      </c>
    </row>
    <row r="10" spans="1:5" ht="13.5" thickBot="1" x14ac:dyDescent="0.25">
      <c r="A10" s="472" t="s">
        <v>717</v>
      </c>
      <c r="B10" s="590">
        <f>B7*B14</f>
        <v>20437</v>
      </c>
      <c r="C10" s="470">
        <f>'PPI Calculation'!D236</f>
        <v>1.1263362487852282</v>
      </c>
      <c r="D10" s="22" t="s">
        <v>590</v>
      </c>
    </row>
    <row r="11" spans="1:5" ht="13.5" thickBot="1" x14ac:dyDescent="0.25">
      <c r="A11" s="472" t="s">
        <v>652</v>
      </c>
      <c r="B11" s="590">
        <f>B10*C10</f>
        <v>23018.93391642371</v>
      </c>
      <c r="C11" s="550">
        <f>'Input &amp; Summary'!F7</f>
        <v>2010</v>
      </c>
      <c r="D11" s="567" t="s">
        <v>648</v>
      </c>
    </row>
    <row r="14" spans="1:5" x14ac:dyDescent="0.2">
      <c r="A14" s="142" t="s">
        <v>716</v>
      </c>
      <c r="B14" s="585">
        <v>10.7</v>
      </c>
    </row>
  </sheetData>
  <phoneticPr fontId="3" type="noConversion"/>
  <pageMargins left="0.75" right="0.75" top="1" bottom="1" header="0.5" footer="0.5"/>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31"/>
  </sheetPr>
  <dimension ref="A1:E14"/>
  <sheetViews>
    <sheetView workbookViewId="0">
      <selection activeCell="B14" sqref="B14"/>
    </sheetView>
  </sheetViews>
  <sheetFormatPr defaultColWidth="8.85546875" defaultRowHeight="12.75" x14ac:dyDescent="0.2"/>
  <cols>
    <col min="1" max="1" width="30.42578125" customWidth="1"/>
    <col min="2" max="2" width="10.85546875" customWidth="1"/>
  </cols>
  <sheetData>
    <row r="1" spans="1:5" x14ac:dyDescent="0.2">
      <c r="A1" s="1" t="str">
        <f>'Input &amp; Summary'!A1</f>
        <v>Based on Combined Land Based-Offshore Turbine Cost Model. V2.01.12</v>
      </c>
      <c r="B1" s="139"/>
      <c r="C1" s="139"/>
      <c r="D1" s="139"/>
      <c r="E1" s="139"/>
    </row>
    <row r="2" spans="1:5" ht="38.25" x14ac:dyDescent="0.2">
      <c r="A2" s="555" t="str">
        <f>'Input &amp; Summary'!A2</f>
        <v>Note:  This Model Contains Proprietary or Wind Technology Protected Data, and Should Not Be Released Outside of the DOE/NREL/SNL, until Further Notice.</v>
      </c>
      <c r="B2" s="139"/>
      <c r="C2" s="139"/>
      <c r="D2" s="139"/>
      <c r="E2" s="139"/>
    </row>
    <row r="4" spans="1:5" x14ac:dyDescent="0.2">
      <c r="A4" s="21" t="s">
        <v>758</v>
      </c>
    </row>
    <row r="5" spans="1:5" ht="13.5" thickBot="1" x14ac:dyDescent="0.25">
      <c r="A5" s="635" t="s">
        <v>791</v>
      </c>
    </row>
    <row r="6" spans="1:5" ht="26.25" thickBot="1" x14ac:dyDescent="0.25">
      <c r="B6" s="480" t="s">
        <v>602</v>
      </c>
    </row>
    <row r="7" spans="1:5" ht="13.5" thickBot="1" x14ac:dyDescent="0.25">
      <c r="A7" s="221" t="s">
        <v>719</v>
      </c>
      <c r="B7" s="513">
        <f>'Cost Summary'!B65*1000</f>
        <v>7819473.8218039479</v>
      </c>
    </row>
    <row r="8" spans="1:5" ht="13.5" thickBot="1" x14ac:dyDescent="0.25"/>
    <row r="9" spans="1:5" ht="13.5" thickBot="1" x14ac:dyDescent="0.25">
      <c r="A9" s="21"/>
      <c r="B9" s="468" t="s">
        <v>100</v>
      </c>
    </row>
    <row r="10" spans="1:5" ht="13.5" thickBot="1" x14ac:dyDescent="0.25">
      <c r="A10" s="472" t="s">
        <v>718</v>
      </c>
      <c r="B10" s="590">
        <f>B7*B14</f>
        <v>54736.316752627637</v>
      </c>
      <c r="C10" s="470">
        <f>'PPI Calculation'!D246</f>
        <v>1.1263362487852282</v>
      </c>
      <c r="D10" s="22" t="s">
        <v>590</v>
      </c>
    </row>
    <row r="11" spans="1:5" ht="13.5" thickBot="1" x14ac:dyDescent="0.25">
      <c r="A11" s="472" t="s">
        <v>652</v>
      </c>
      <c r="B11" s="590">
        <f>B10*C10</f>
        <v>61651.497683474656</v>
      </c>
      <c r="C11" s="550">
        <f>'Input &amp; Summary'!F7</f>
        <v>2010</v>
      </c>
      <c r="D11" s="567" t="s">
        <v>648</v>
      </c>
    </row>
    <row r="14" spans="1:5" x14ac:dyDescent="0.2">
      <c r="A14" s="142" t="s">
        <v>720</v>
      </c>
      <c r="B14" s="586">
        <v>7.0000000000000001E-3</v>
      </c>
    </row>
  </sheetData>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31"/>
  </sheetPr>
  <dimension ref="A1:E14"/>
  <sheetViews>
    <sheetView workbookViewId="0">
      <selection activeCell="A5" sqref="A5"/>
    </sheetView>
  </sheetViews>
  <sheetFormatPr defaultColWidth="8.85546875" defaultRowHeight="12.75" x14ac:dyDescent="0.2"/>
  <cols>
    <col min="1" max="1" width="28.7109375" customWidth="1"/>
    <col min="2" max="2" width="12.7109375" customWidth="1"/>
  </cols>
  <sheetData>
    <row r="1" spans="1:5" x14ac:dyDescent="0.2">
      <c r="A1" s="1" t="str">
        <f>'Input &amp; Summary'!A1</f>
        <v>Based on Combined Land Based-Offshore Turbine Cost Model. V2.01.12</v>
      </c>
      <c r="B1" s="139"/>
      <c r="C1" s="139"/>
      <c r="D1" s="139"/>
      <c r="E1" s="139"/>
    </row>
    <row r="2" spans="1:5" ht="38.25" x14ac:dyDescent="0.2">
      <c r="A2" s="555" t="str">
        <f>'Input &amp; Summary'!A2</f>
        <v>Note:  This Model Contains Proprietary or Wind Technology Protected Data, and Should Not Be Released Outside of the DOE/NREL/SNL, until Further Notice.</v>
      </c>
      <c r="B2" s="139"/>
      <c r="C2" s="139"/>
      <c r="D2" s="139"/>
      <c r="E2" s="139"/>
    </row>
    <row r="4" spans="1:5" x14ac:dyDescent="0.2">
      <c r="A4" s="21" t="s">
        <v>721</v>
      </c>
    </row>
    <row r="5" spans="1:5" ht="13.5" thickBot="1" x14ac:dyDescent="0.25">
      <c r="A5" s="635" t="s">
        <v>797</v>
      </c>
    </row>
    <row r="6" spans="1:5" ht="26.25" thickBot="1" x14ac:dyDescent="0.25">
      <c r="B6" s="480" t="s">
        <v>602</v>
      </c>
    </row>
    <row r="7" spans="1:5" ht="13.5" thickBot="1" x14ac:dyDescent="0.25">
      <c r="A7" s="221" t="s">
        <v>719</v>
      </c>
      <c r="B7" s="513">
        <f>'Cost Summary'!B65*1000</f>
        <v>7819473.8218039479</v>
      </c>
    </row>
    <row r="8" spans="1:5" ht="13.5" thickBot="1" x14ac:dyDescent="0.25"/>
    <row r="9" spans="1:5" ht="13.5" thickBot="1" x14ac:dyDescent="0.25">
      <c r="A9" s="21"/>
      <c r="B9" s="468" t="s">
        <v>100</v>
      </c>
    </row>
    <row r="10" spans="1:5" ht="13.5" thickBot="1" x14ac:dyDescent="0.25">
      <c r="A10" s="472" t="s">
        <v>722</v>
      </c>
      <c r="B10" s="590">
        <f>B7*B14</f>
        <v>8445.031727548263</v>
      </c>
      <c r="C10" s="470">
        <f>'PPI Calculation'!D256</f>
        <v>1.1263362487852282</v>
      </c>
      <c r="D10" s="22" t="s">
        <v>590</v>
      </c>
    </row>
    <row r="11" spans="1:5" ht="13.5" thickBot="1" x14ac:dyDescent="0.25">
      <c r="A11" s="472" t="s">
        <v>652</v>
      </c>
      <c r="B11" s="590">
        <f>B10*C10</f>
        <v>9511.9453568789449</v>
      </c>
      <c r="C11" s="550">
        <f>'Input &amp; Summary'!F7</f>
        <v>2010</v>
      </c>
      <c r="D11" s="567" t="s">
        <v>648</v>
      </c>
    </row>
    <row r="14" spans="1:5" x14ac:dyDescent="0.2">
      <c r="A14" s="142" t="s">
        <v>728</v>
      </c>
      <c r="B14" s="587">
        <v>1.08E-3</v>
      </c>
    </row>
  </sheetData>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0"/>
  </sheetPr>
  <dimension ref="A1:E11"/>
  <sheetViews>
    <sheetView workbookViewId="0">
      <selection activeCell="D16" sqref="D16"/>
    </sheetView>
  </sheetViews>
  <sheetFormatPr defaultColWidth="8.85546875" defaultRowHeight="12.75" x14ac:dyDescent="0.2"/>
  <cols>
    <col min="1" max="1" width="29.28515625" customWidth="1"/>
  </cols>
  <sheetData>
    <row r="1" spans="1:5" x14ac:dyDescent="0.2">
      <c r="A1" s="1" t="str">
        <f>'Input &amp; Summary'!A1</f>
        <v>Based on Combined Land Based-Offshore Turbine Cost Model. V2.01.12</v>
      </c>
      <c r="B1" s="139"/>
      <c r="C1" s="139"/>
      <c r="D1" s="139"/>
      <c r="E1" s="139"/>
    </row>
    <row r="2" spans="1:5" ht="38.25" x14ac:dyDescent="0.2">
      <c r="A2" s="555" t="str">
        <f>'Input &amp; Summary'!A2</f>
        <v>Note:  This Model Contains Proprietary or Wind Technology Protected Data, and Should Not Be Released Outside of the DOE/NREL/SNL, until Further Notice.</v>
      </c>
      <c r="B2" s="139"/>
      <c r="C2" s="139"/>
      <c r="D2" s="139"/>
      <c r="E2" s="139"/>
    </row>
    <row r="4" spans="1:5" x14ac:dyDescent="0.2">
      <c r="A4" s="21" t="s">
        <v>782</v>
      </c>
    </row>
    <row r="5" spans="1:5" ht="13.5" thickBot="1" x14ac:dyDescent="0.25">
      <c r="A5" s="21" t="s">
        <v>781</v>
      </c>
    </row>
    <row r="6" spans="1:5" ht="13.5" thickBot="1" x14ac:dyDescent="0.25">
      <c r="B6" s="468" t="s">
        <v>624</v>
      </c>
    </row>
    <row r="7" spans="1:5" ht="13.5" thickBot="1" x14ac:dyDescent="0.25">
      <c r="A7" s="121" t="s">
        <v>633</v>
      </c>
      <c r="B7" s="122">
        <f>B10</f>
        <v>55900</v>
      </c>
      <c r="C7" s="470">
        <f>'PPI Calculation'!D141</f>
        <v>1.2348822406110758</v>
      </c>
      <c r="D7" s="22" t="s">
        <v>590</v>
      </c>
    </row>
    <row r="8" spans="1:5" ht="13.5" thickBot="1" x14ac:dyDescent="0.25">
      <c r="A8" s="121" t="s">
        <v>652</v>
      </c>
      <c r="B8" s="122">
        <f>B7*C7</f>
        <v>69029.917250159138</v>
      </c>
      <c r="C8" s="550">
        <f>'Input &amp; Summary'!F7</f>
        <v>2010</v>
      </c>
      <c r="D8" s="567" t="s">
        <v>648</v>
      </c>
    </row>
    <row r="9" spans="1:5" ht="13.5" thickBot="1" x14ac:dyDescent="0.25"/>
    <row r="10" spans="1:5" ht="13.5" thickBot="1" x14ac:dyDescent="0.25">
      <c r="A10" s="778" t="s">
        <v>5</v>
      </c>
      <c r="B10" s="778">
        <v>55900</v>
      </c>
      <c r="C10" t="s">
        <v>6</v>
      </c>
    </row>
    <row r="11" spans="1:5" x14ac:dyDescent="0.2">
      <c r="A11" s="21"/>
    </row>
  </sheetData>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0"/>
  </sheetPr>
  <dimension ref="A1:E13"/>
  <sheetViews>
    <sheetView workbookViewId="0">
      <selection activeCell="A4" sqref="A4"/>
    </sheetView>
  </sheetViews>
  <sheetFormatPr defaultColWidth="8.85546875" defaultRowHeight="12.75" x14ac:dyDescent="0.2"/>
  <cols>
    <col min="1" max="1" width="38.42578125" customWidth="1"/>
    <col min="2" max="2" width="10.140625" customWidth="1"/>
  </cols>
  <sheetData>
    <row r="1" spans="1:5" x14ac:dyDescent="0.2">
      <c r="A1" s="1" t="str">
        <f>'Input &amp; Summary'!A1</f>
        <v>Based on Combined Land Based-Offshore Turbine Cost Model. V2.01.12</v>
      </c>
      <c r="B1" s="139"/>
      <c r="C1" s="139"/>
      <c r="D1" s="139"/>
      <c r="E1" s="139"/>
    </row>
    <row r="2" spans="1:5" ht="38.25" x14ac:dyDescent="0.2">
      <c r="A2" s="555" t="str">
        <f>'Input &amp; Summary'!A2</f>
        <v>Note:  This Model Contains Proprietary or Wind Technology Protected Data, and Should Not Be Released Outside of the DOE/NREL/SNL, until Further Notice.</v>
      </c>
      <c r="B2" s="139"/>
      <c r="C2" s="139"/>
      <c r="D2" s="139"/>
      <c r="E2" s="139"/>
    </row>
    <row r="3" spans="1:5" x14ac:dyDescent="0.2">
      <c r="A3" s="21" t="s">
        <v>733</v>
      </c>
    </row>
    <row r="4" spans="1:5" x14ac:dyDescent="0.2">
      <c r="A4" s="637" t="str">
        <f>CONCATENATE("Marinization (",TEXT(B13,"0.00%")," of Turbine and Tower System)")</f>
        <v>Marinization (10.00% of Turbine and Tower System)</v>
      </c>
    </row>
    <row r="5" spans="1:5" ht="13.5" thickBot="1" x14ac:dyDescent="0.25">
      <c r="A5" s="635"/>
    </row>
    <row r="6" spans="1:5" ht="39" thickBot="1" x14ac:dyDescent="0.25">
      <c r="B6" s="480" t="s">
        <v>735</v>
      </c>
    </row>
    <row r="7" spans="1:5" ht="13.5" thickBot="1" x14ac:dyDescent="0.25">
      <c r="A7" s="221" t="s">
        <v>736</v>
      </c>
      <c r="B7" s="636">
        <f>'Cost Summary'!B15+'Cost Summary'!B20+'Cost Summary'!B32+'Cost Summary'!B33</f>
        <v>2262.4292782296689</v>
      </c>
    </row>
    <row r="8" spans="1:5" ht="13.5" thickBot="1" x14ac:dyDescent="0.25"/>
    <row r="9" spans="1:5" ht="13.5" thickBot="1" x14ac:dyDescent="0.25">
      <c r="A9" s="21"/>
      <c r="B9" s="468" t="s">
        <v>100</v>
      </c>
    </row>
    <row r="10" spans="1:5" ht="13.5" thickBot="1" x14ac:dyDescent="0.25">
      <c r="A10" s="472" t="s">
        <v>737</v>
      </c>
      <c r="B10" s="590">
        <f>B7*B13</f>
        <v>226.24292782296689</v>
      </c>
      <c r="C10" s="550">
        <f>'Input &amp; Summary'!F7</f>
        <v>2010</v>
      </c>
      <c r="D10" s="567" t="s">
        <v>648</v>
      </c>
    </row>
    <row r="13" spans="1:5" x14ac:dyDescent="0.2">
      <c r="A13" s="142" t="s">
        <v>734</v>
      </c>
      <c r="B13" s="638">
        <v>0.1</v>
      </c>
    </row>
  </sheetData>
  <phoneticPr fontId="3" type="noConversion"/>
  <pageMargins left="0.75" right="0.75" top="1" bottom="1" header="0.5" footer="0.5"/>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0"/>
  </sheetPr>
  <dimension ref="A1:E17"/>
  <sheetViews>
    <sheetView workbookViewId="0">
      <selection activeCell="C11" sqref="C11"/>
    </sheetView>
  </sheetViews>
  <sheetFormatPr defaultColWidth="8.85546875" defaultRowHeight="12.75" x14ac:dyDescent="0.2"/>
  <cols>
    <col min="1" max="1" width="40.140625" customWidth="1"/>
    <col min="2" max="2" width="11.140625" bestFit="1" customWidth="1"/>
  </cols>
  <sheetData>
    <row r="1" spans="1:5" x14ac:dyDescent="0.2">
      <c r="A1" s="1" t="str">
        <f>'Input &amp; Summary'!A1</f>
        <v>Based on Combined Land Based-Offshore Turbine Cost Model. V2.01.12</v>
      </c>
      <c r="B1" s="139"/>
      <c r="C1" s="139"/>
      <c r="D1" s="139"/>
      <c r="E1" s="139"/>
    </row>
    <row r="2" spans="1:5" ht="25.5" x14ac:dyDescent="0.2">
      <c r="A2" s="555" t="str">
        <f>'Input &amp; Summary'!A2</f>
        <v>Note:  This Model Contains Proprietary or Wind Technology Protected Data, and Should Not Be Released Outside of the DOE/NREL/SNL, until Further Notice.</v>
      </c>
      <c r="B2" s="139"/>
      <c r="C2" s="139"/>
      <c r="D2" s="139"/>
      <c r="E2" s="139"/>
    </row>
    <row r="4" spans="1:5" x14ac:dyDescent="0.2">
      <c r="A4" s="21" t="s">
        <v>743</v>
      </c>
    </row>
    <row r="5" spans="1:5" x14ac:dyDescent="0.2">
      <c r="A5" s="635" t="s">
        <v>744</v>
      </c>
    </row>
    <row r="6" spans="1:5" ht="13.5" thickBot="1" x14ac:dyDescent="0.25">
      <c r="A6" s="21"/>
    </row>
    <row r="7" spans="1:5" ht="26.25" thickBot="1" x14ac:dyDescent="0.25">
      <c r="B7" s="480" t="s">
        <v>602</v>
      </c>
    </row>
    <row r="8" spans="1:5" ht="13.5" thickBot="1" x14ac:dyDescent="0.25">
      <c r="A8" s="221" t="s">
        <v>248</v>
      </c>
      <c r="B8" s="466">
        <f>'Input &amp; Summary'!B7</f>
        <v>1910</v>
      </c>
    </row>
    <row r="9" spans="1:5" ht="13.5" thickBot="1" x14ac:dyDescent="0.25"/>
    <row r="10" spans="1:5" ht="13.5" thickBot="1" x14ac:dyDescent="0.25">
      <c r="A10" s="21"/>
      <c r="B10" s="468" t="s">
        <v>100</v>
      </c>
    </row>
    <row r="11" spans="1:5" ht="13.5" thickBot="1" x14ac:dyDescent="0.25">
      <c r="A11" s="472" t="s">
        <v>746</v>
      </c>
      <c r="B11" s="590">
        <f>B8*B15</f>
        <v>38200</v>
      </c>
      <c r="C11" s="470">
        <f>'PPI Calculation'!D177</f>
        <v>1.4676119030648609</v>
      </c>
      <c r="D11" s="22" t="s">
        <v>739</v>
      </c>
    </row>
    <row r="12" spans="1:5" ht="13.5" thickBot="1" x14ac:dyDescent="0.25">
      <c r="A12" s="472" t="s">
        <v>652</v>
      </c>
      <c r="B12" s="590">
        <f>B11*C11</f>
        <v>56062.774697077686</v>
      </c>
      <c r="C12" s="550">
        <f>'Input &amp; Summary'!F7</f>
        <v>2010</v>
      </c>
      <c r="D12" s="567" t="s">
        <v>648</v>
      </c>
    </row>
    <row r="15" spans="1:5" x14ac:dyDescent="0.2">
      <c r="A15" s="142" t="s">
        <v>745</v>
      </c>
      <c r="B15" s="646">
        <v>20</v>
      </c>
    </row>
    <row r="17" spans="2:2" x14ac:dyDescent="0.2">
      <c r="B17" s="645"/>
    </row>
  </sheetData>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0"/>
  </sheetPr>
  <dimension ref="A1:E14"/>
  <sheetViews>
    <sheetView topLeftCell="A4" workbookViewId="0">
      <selection activeCell="C10" sqref="C10"/>
    </sheetView>
  </sheetViews>
  <sheetFormatPr defaultColWidth="8.85546875" defaultRowHeight="12.75" x14ac:dyDescent="0.2"/>
  <cols>
    <col min="1" max="1" width="40" customWidth="1"/>
    <col min="2" max="2" width="10.42578125" customWidth="1"/>
  </cols>
  <sheetData>
    <row r="1" spans="1:5" x14ac:dyDescent="0.2">
      <c r="A1" s="1" t="str">
        <f>'Input &amp; Summary'!A1</f>
        <v>Based on Combined Land Based-Offshore Turbine Cost Model. V2.01.12</v>
      </c>
      <c r="B1" s="139"/>
      <c r="C1" s="139"/>
      <c r="D1" s="139"/>
      <c r="E1" s="139"/>
    </row>
    <row r="2" spans="1:5" ht="25.5" x14ac:dyDescent="0.2">
      <c r="A2" s="555" t="str">
        <f>'Input &amp; Summary'!A2</f>
        <v>Note:  This Model Contains Proprietary or Wind Technology Protected Data, and Should Not Be Released Outside of the DOE/NREL/SNL, until Further Notice.</v>
      </c>
      <c r="B2" s="139"/>
      <c r="C2" s="139"/>
      <c r="D2" s="139"/>
      <c r="E2" s="139"/>
    </row>
    <row r="4" spans="1:5" x14ac:dyDescent="0.2">
      <c r="A4" s="21" t="s">
        <v>762</v>
      </c>
    </row>
    <row r="5" spans="1:5" ht="13.5" thickBot="1" x14ac:dyDescent="0.25">
      <c r="A5" s="635" t="s">
        <v>763</v>
      </c>
    </row>
    <row r="6" spans="1:5" ht="39" thickBot="1" x14ac:dyDescent="0.25">
      <c r="B6" s="480" t="s">
        <v>602</v>
      </c>
    </row>
    <row r="7" spans="1:5" ht="13.5" thickBot="1" x14ac:dyDescent="0.25">
      <c r="A7" s="221" t="s">
        <v>248</v>
      </c>
      <c r="B7" s="466">
        <f>'Input &amp; Summary'!B7</f>
        <v>1910</v>
      </c>
    </row>
    <row r="8" spans="1:5" ht="13.5" thickBot="1" x14ac:dyDescent="0.25"/>
    <row r="9" spans="1:5" ht="13.5" thickBot="1" x14ac:dyDescent="0.25">
      <c r="A9" s="21"/>
      <c r="B9" s="468" t="s">
        <v>100</v>
      </c>
    </row>
    <row r="10" spans="1:5" ht="13.5" thickBot="1" x14ac:dyDescent="0.25">
      <c r="A10" s="472" t="s">
        <v>768</v>
      </c>
      <c r="B10" s="590">
        <f>B7*B14</f>
        <v>70670</v>
      </c>
      <c r="C10" s="470">
        <f>'PPI Calculation'!D231</f>
        <v>1.0996204933586338</v>
      </c>
      <c r="D10" s="22" t="s">
        <v>739</v>
      </c>
    </row>
    <row r="11" spans="1:5" ht="13.5" thickBot="1" x14ac:dyDescent="0.25">
      <c r="A11" s="472" t="s">
        <v>652</v>
      </c>
      <c r="B11" s="590">
        <f>B10*C10</f>
        <v>77710.18026565465</v>
      </c>
      <c r="C11" s="550">
        <f>'Input &amp; Summary'!F7</f>
        <v>2010</v>
      </c>
      <c r="D11" s="567" t="s">
        <v>648</v>
      </c>
    </row>
    <row r="14" spans="1:5" x14ac:dyDescent="0.2">
      <c r="A14" s="142" t="s">
        <v>764</v>
      </c>
      <c r="B14" s="648">
        <v>37</v>
      </c>
    </row>
  </sheetData>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0"/>
  </sheetPr>
  <dimension ref="A1:E12"/>
  <sheetViews>
    <sheetView workbookViewId="0">
      <selection activeCell="E20" sqref="E20"/>
    </sheetView>
  </sheetViews>
  <sheetFormatPr defaultColWidth="8.85546875" defaultRowHeight="12.75" x14ac:dyDescent="0.2"/>
  <cols>
    <col min="1" max="1" width="41.7109375" customWidth="1"/>
  </cols>
  <sheetData>
    <row r="1" spans="1:5" x14ac:dyDescent="0.2">
      <c r="A1" s="1" t="str">
        <f>'Input &amp; Summary'!A1</f>
        <v>Based on Combined Land Based-Offshore Turbine Cost Model. V2.01.12</v>
      </c>
      <c r="B1" s="139"/>
      <c r="C1" s="139"/>
      <c r="D1" s="139"/>
      <c r="E1" s="139"/>
    </row>
    <row r="2" spans="1:5" ht="25.5" x14ac:dyDescent="0.2">
      <c r="A2" s="555" t="str">
        <f>'Input &amp; Summary'!A2</f>
        <v>Note:  This Model Contains Proprietary or Wind Technology Protected Data, and Should Not Be Released Outside of the DOE/NREL/SNL, until Further Notice.</v>
      </c>
      <c r="B2" s="139"/>
      <c r="C2" s="139"/>
      <c r="D2" s="139"/>
      <c r="E2" s="139"/>
    </row>
    <row r="4" spans="1:5" x14ac:dyDescent="0.2">
      <c r="A4" s="21" t="s">
        <v>770</v>
      </c>
    </row>
    <row r="5" spans="1:5" x14ac:dyDescent="0.2">
      <c r="A5" s="635" t="s">
        <v>769</v>
      </c>
    </row>
    <row r="6" spans="1:5" ht="13.5" thickBot="1" x14ac:dyDescent="0.25"/>
    <row r="7" spans="1:5" ht="13.5" thickBot="1" x14ac:dyDescent="0.25">
      <c r="A7" s="21"/>
      <c r="B7" s="468" t="s">
        <v>100</v>
      </c>
    </row>
    <row r="8" spans="1:5" ht="13.5" thickBot="1" x14ac:dyDescent="0.25">
      <c r="A8" s="472" t="s">
        <v>773</v>
      </c>
      <c r="B8" s="590">
        <f>B12</f>
        <v>60000</v>
      </c>
      <c r="C8" s="470">
        <f>'PPI Calculation'!D273</f>
        <v>1.0996204933586338</v>
      </c>
      <c r="D8" s="22" t="s">
        <v>739</v>
      </c>
    </row>
    <row r="9" spans="1:5" ht="13.5" thickBot="1" x14ac:dyDescent="0.25">
      <c r="A9" s="472" t="s">
        <v>652</v>
      </c>
      <c r="B9" s="590">
        <f>B8*C8</f>
        <v>65977.229601518033</v>
      </c>
      <c r="C9" s="550">
        <f>'Input &amp; Summary'!F7</f>
        <v>2010</v>
      </c>
      <c r="D9" s="567" t="s">
        <v>648</v>
      </c>
    </row>
    <row r="12" spans="1:5" x14ac:dyDescent="0.2">
      <c r="A12" s="142" t="s">
        <v>771</v>
      </c>
      <c r="B12" s="649">
        <v>60000</v>
      </c>
    </row>
  </sheetData>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0"/>
  </sheetPr>
  <dimension ref="A1:E14"/>
  <sheetViews>
    <sheetView workbookViewId="0">
      <selection activeCell="B15" sqref="B15"/>
    </sheetView>
  </sheetViews>
  <sheetFormatPr defaultColWidth="8.85546875" defaultRowHeight="12.75" x14ac:dyDescent="0.2"/>
  <cols>
    <col min="1" max="1" width="34.42578125" customWidth="1"/>
  </cols>
  <sheetData>
    <row r="1" spans="1:5" x14ac:dyDescent="0.2">
      <c r="A1" s="1" t="str">
        <f>'Input &amp; Summary'!A1</f>
        <v>Based on Combined Land Based-Offshore Turbine Cost Model. V2.01.12</v>
      </c>
      <c r="B1" s="139"/>
      <c r="C1" s="139"/>
      <c r="D1" s="139"/>
      <c r="E1" s="139"/>
    </row>
    <row r="2" spans="1:5" ht="38.25" x14ac:dyDescent="0.2">
      <c r="A2" s="555" t="str">
        <f>'Input &amp; Summary'!A2</f>
        <v>Note:  This Model Contains Proprietary or Wind Technology Protected Data, and Should Not Be Released Outside of the DOE/NREL/SNL, until Further Notice.</v>
      </c>
      <c r="B2" s="139"/>
      <c r="C2" s="139"/>
      <c r="D2" s="139"/>
      <c r="E2" s="139"/>
    </row>
    <row r="4" spans="1:5" x14ac:dyDescent="0.2">
      <c r="A4" s="21" t="s">
        <v>776</v>
      </c>
    </row>
    <row r="5" spans="1:5" ht="13.5" thickBot="1" x14ac:dyDescent="0.25">
      <c r="A5" s="635" t="s">
        <v>777</v>
      </c>
    </row>
    <row r="6" spans="1:5" ht="39" thickBot="1" x14ac:dyDescent="0.25">
      <c r="B6" s="480" t="s">
        <v>602</v>
      </c>
    </row>
    <row r="7" spans="1:5" ht="13.5" thickBot="1" x14ac:dyDescent="0.25">
      <c r="A7" s="221" t="s">
        <v>248</v>
      </c>
      <c r="B7" s="466">
        <f>'Input &amp; Summary'!B7</f>
        <v>1910</v>
      </c>
    </row>
    <row r="8" spans="1:5" ht="13.5" thickBot="1" x14ac:dyDescent="0.25"/>
    <row r="9" spans="1:5" ht="13.5" thickBot="1" x14ac:dyDescent="0.25">
      <c r="A9" s="21"/>
      <c r="B9" s="468" t="s">
        <v>100</v>
      </c>
    </row>
    <row r="10" spans="1:5" ht="13.5" thickBot="1" x14ac:dyDescent="0.25">
      <c r="A10" s="472" t="s">
        <v>775</v>
      </c>
      <c r="B10" s="590">
        <f>B7*B14</f>
        <v>105050</v>
      </c>
      <c r="C10" s="470">
        <f>'PPI Calculation'!D177</f>
        <v>1.4676119030648609</v>
      </c>
      <c r="D10" s="22" t="s">
        <v>739</v>
      </c>
    </row>
    <row r="11" spans="1:5" ht="13.5" thickBot="1" x14ac:dyDescent="0.25">
      <c r="A11" s="472" t="s">
        <v>652</v>
      </c>
      <c r="B11" s="590">
        <f>B10*C10</f>
        <v>154172.63041696363</v>
      </c>
      <c r="C11" s="550">
        <f>'Input &amp; Summary'!F7</f>
        <v>2010</v>
      </c>
      <c r="D11" s="567" t="s">
        <v>648</v>
      </c>
    </row>
    <row r="14" spans="1:5" x14ac:dyDescent="0.2">
      <c r="A14" s="142" t="s">
        <v>774</v>
      </c>
      <c r="B14" s="648">
        <v>55</v>
      </c>
    </row>
  </sheetData>
  <phoneticPr fontId="3" type="noConversion"/>
  <pageMargins left="0.75" right="0.75" top="1" bottom="1" header="0.5" footer="0.5"/>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0"/>
  </sheetPr>
  <dimension ref="A1:E13"/>
  <sheetViews>
    <sheetView workbookViewId="0">
      <selection activeCell="A5" sqref="A5"/>
    </sheetView>
  </sheetViews>
  <sheetFormatPr defaultColWidth="8.85546875" defaultRowHeight="12.75" x14ac:dyDescent="0.2"/>
  <cols>
    <col min="1" max="1" width="34.42578125" customWidth="1"/>
  </cols>
  <sheetData>
    <row r="1" spans="1:5" x14ac:dyDescent="0.2">
      <c r="A1" s="1" t="str">
        <f>'Input &amp; Summary'!A1</f>
        <v>Based on Combined Land Based-Offshore Turbine Cost Model. V2.01.12</v>
      </c>
      <c r="B1" s="139"/>
      <c r="C1" s="139"/>
      <c r="D1" s="139"/>
      <c r="E1" s="139"/>
    </row>
    <row r="2" spans="1:5" ht="38.25" x14ac:dyDescent="0.2">
      <c r="A2" s="555" t="str">
        <f>'Input &amp; Summary'!A2</f>
        <v>Note:  This Model Contains Proprietary or Wind Technology Protected Data, and Should Not Be Released Outside of the DOE/NREL/SNL, until Further Notice.</v>
      </c>
      <c r="B2" s="139"/>
      <c r="C2" s="139"/>
      <c r="D2" s="139"/>
      <c r="E2" s="139"/>
    </row>
    <row r="4" spans="1:5" x14ac:dyDescent="0.2">
      <c r="A4" s="21" t="s">
        <v>779</v>
      </c>
    </row>
    <row r="5" spans="1:5" x14ac:dyDescent="0.2">
      <c r="A5" s="635" t="str">
        <f>CONCATENATE("Surety Bond (Decomissioning - ",TEXT(B13,"0.0%")," of ICC)")</f>
        <v>Surety Bond (Decomissioning - 3.0% of ICC)</v>
      </c>
    </row>
    <row r="6" spans="1:5" x14ac:dyDescent="0.2">
      <c r="A6" s="119"/>
      <c r="B6" s="651"/>
    </row>
    <row r="7" spans="1:5" x14ac:dyDescent="0.2">
      <c r="A7" s="60"/>
      <c r="B7" s="119"/>
    </row>
    <row r="8" spans="1:5" ht="13.5" thickBot="1" x14ac:dyDescent="0.25"/>
    <row r="9" spans="1:5" ht="13.5" thickBot="1" x14ac:dyDescent="0.25">
      <c r="A9" s="21"/>
      <c r="B9" s="468" t="s">
        <v>100</v>
      </c>
    </row>
    <row r="10" spans="1:5" ht="13.5" thickBot="1" x14ac:dyDescent="0.25">
      <c r="A10" s="472" t="s">
        <v>737</v>
      </c>
      <c r="B10" s="590">
        <f>('Cost Summary'!B35+SUM('Cost Summary'!B37:B46))*'OS Surety Bond'!B13</f>
        <v>412.75800474708768</v>
      </c>
      <c r="C10" s="550">
        <f>'Input &amp; Summary'!F7</f>
        <v>2010</v>
      </c>
      <c r="D10" s="567" t="s">
        <v>648</v>
      </c>
    </row>
    <row r="13" spans="1:5" x14ac:dyDescent="0.2">
      <c r="A13" s="142" t="s">
        <v>778</v>
      </c>
      <c r="B13" s="650">
        <v>0.03</v>
      </c>
    </row>
  </sheetData>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C19" sqref="C19"/>
    </sheetView>
  </sheetViews>
  <sheetFormatPr defaultColWidth="8.85546875" defaultRowHeight="12.75" x14ac:dyDescent="0.2"/>
  <sheetData>
    <row r="1" spans="1:6" x14ac:dyDescent="0.2">
      <c r="A1" s="1" t="str">
        <f>'Input &amp; Summary'!A1</f>
        <v>Based on Combined Land Based-Offshore Turbine Cost Model. V2.01.12</v>
      </c>
      <c r="B1" s="139"/>
      <c r="C1" s="139"/>
      <c r="D1" s="139"/>
      <c r="E1" s="139"/>
      <c r="F1" s="139"/>
    </row>
    <row r="2" spans="1:6" ht="51" x14ac:dyDescent="0.2">
      <c r="A2" s="555" t="str">
        <f>'Input &amp; Summary'!A2</f>
        <v>Note:  This Model Contains Proprietary or Wind Technology Protected Data, and Should Not Be Released Outside of the DOE/NREL/SNL, until Further Notice.</v>
      </c>
      <c r="B2" s="139"/>
      <c r="C2" s="139"/>
      <c r="D2" s="139"/>
      <c r="E2" s="139"/>
      <c r="F2" s="139"/>
    </row>
    <row r="4" spans="1:6" x14ac:dyDescent="0.2">
      <c r="A4" s="21" t="s">
        <v>724</v>
      </c>
    </row>
    <row r="5" spans="1:6" x14ac:dyDescent="0.2">
      <c r="A5" t="s">
        <v>725</v>
      </c>
    </row>
    <row r="6" spans="1:6" x14ac:dyDescent="0.2">
      <c r="A6" t="s">
        <v>726</v>
      </c>
    </row>
  </sheetData>
  <phoneticPr fontId="3" type="noConversion"/>
  <pageMargins left="0.75" right="0.75" top="1" bottom="1" header="0.5" footer="0.5"/>
  <pageSetup orientation="portrait" horizontalDpi="300" verticalDpi="300"/>
  <headerFooter alignWithMargins="0"/>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0"/>
  </sheetPr>
  <dimension ref="A1:E11"/>
  <sheetViews>
    <sheetView workbookViewId="0">
      <selection activeCell="A5" sqref="A5"/>
    </sheetView>
  </sheetViews>
  <sheetFormatPr defaultColWidth="8.85546875" defaultRowHeight="12.75" x14ac:dyDescent="0.2"/>
  <cols>
    <col min="1" max="1" width="34.42578125" customWidth="1"/>
    <col min="2" max="2" width="9.28515625" bestFit="1" customWidth="1"/>
  </cols>
  <sheetData>
    <row r="1" spans="1:5" x14ac:dyDescent="0.2">
      <c r="A1" s="1" t="str">
        <f>'Input &amp; Summary'!A1</f>
        <v>Based on Combined Land Based-Offshore Turbine Cost Model. V2.01.12</v>
      </c>
      <c r="B1" s="139"/>
      <c r="C1" s="139"/>
      <c r="D1" s="139"/>
      <c r="E1" s="139"/>
    </row>
    <row r="2" spans="1:5" ht="38.25" x14ac:dyDescent="0.2">
      <c r="A2" s="555" t="str">
        <f>'Input &amp; Summary'!A2</f>
        <v>Note:  This Model Contains Proprietary or Wind Technology Protected Data, and Should Not Be Released Outside of the DOE/NREL/SNL, until Further Notice.</v>
      </c>
      <c r="B2" s="139"/>
      <c r="C2" s="139"/>
      <c r="D2" s="139"/>
      <c r="E2" s="139"/>
    </row>
    <row r="4" spans="1:5" x14ac:dyDescent="0.2">
      <c r="A4" s="21" t="s">
        <v>731</v>
      </c>
    </row>
    <row r="5" spans="1:5" x14ac:dyDescent="0.2">
      <c r="A5" s="635" t="str">
        <f>CONCATENATE("Offshore Warranty Premium (",TEXT(B11,"0.00%")," of Turbine and Tower System)")</f>
        <v>Offshore Warranty Premium (15.00% of Turbine and Tower System)</v>
      </c>
    </row>
    <row r="6" spans="1:5" ht="13.5" thickBot="1" x14ac:dyDescent="0.25"/>
    <row r="7" spans="1:5" ht="13.5" thickBot="1" x14ac:dyDescent="0.25">
      <c r="A7" s="21"/>
      <c r="B7" s="468" t="s">
        <v>100</v>
      </c>
    </row>
    <row r="8" spans="1:5" ht="13.5" thickBot="1" x14ac:dyDescent="0.25">
      <c r="A8" s="472" t="s">
        <v>652</v>
      </c>
      <c r="B8" s="590">
        <f>('Cost Summary'!B15+'Cost Summary'!B20+'Cost Summary'!B32+'Cost Summary'!B33)*'OS Warranty Premium'!B11</f>
        <v>339.36439173445029</v>
      </c>
      <c r="C8" s="550">
        <f>'Input &amp; Summary'!F7</f>
        <v>2010</v>
      </c>
      <c r="D8" s="567" t="s">
        <v>648</v>
      </c>
    </row>
    <row r="11" spans="1:5" x14ac:dyDescent="0.2">
      <c r="A11" s="142" t="s">
        <v>780</v>
      </c>
      <c r="B11" s="652">
        <v>0.15</v>
      </c>
    </row>
  </sheetData>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0"/>
  </sheetPr>
  <dimension ref="A1:E14"/>
  <sheetViews>
    <sheetView workbookViewId="0">
      <selection activeCell="C10" sqref="C10"/>
    </sheetView>
  </sheetViews>
  <sheetFormatPr defaultColWidth="8.85546875" defaultRowHeight="12.75" x14ac:dyDescent="0.2"/>
  <cols>
    <col min="1" max="1" width="34.42578125" customWidth="1"/>
    <col min="2" max="2" width="10.140625" bestFit="1" customWidth="1"/>
  </cols>
  <sheetData>
    <row r="1" spans="1:5" x14ac:dyDescent="0.2">
      <c r="A1" s="1" t="str">
        <f>'Input &amp; Summary'!A1</f>
        <v>Based on Combined Land Based-Offshore Turbine Cost Model. V2.01.12</v>
      </c>
      <c r="B1" s="139"/>
      <c r="C1" s="139"/>
      <c r="D1" s="139"/>
      <c r="E1" s="139"/>
    </row>
    <row r="2" spans="1:5" ht="38.25" x14ac:dyDescent="0.2">
      <c r="A2" s="555" t="str">
        <f>'Input &amp; Summary'!A2</f>
        <v>Note:  This Model Contains Proprietary or Wind Technology Protected Data, and Should Not Be Released Outside of the DOE/NREL/SNL, until Further Notice.</v>
      </c>
      <c r="B2" s="139"/>
      <c r="C2" s="139"/>
      <c r="D2" s="139"/>
      <c r="E2" s="139"/>
    </row>
    <row r="4" spans="1:5" x14ac:dyDescent="0.2">
      <c r="A4" s="21" t="s">
        <v>785</v>
      </c>
    </row>
    <row r="5" spans="1:5" ht="13.5" thickBot="1" x14ac:dyDescent="0.25">
      <c r="A5" s="635" t="s">
        <v>790</v>
      </c>
    </row>
    <row r="6" spans="1:5" ht="39" thickBot="1" x14ac:dyDescent="0.25">
      <c r="B6" s="480" t="s">
        <v>602</v>
      </c>
    </row>
    <row r="7" spans="1:5" ht="13.5" thickBot="1" x14ac:dyDescent="0.25">
      <c r="A7" s="221" t="s">
        <v>248</v>
      </c>
      <c r="B7" s="466">
        <f>'Input &amp; Summary'!B7</f>
        <v>1910</v>
      </c>
    </row>
    <row r="8" spans="1:5" ht="13.5" thickBot="1" x14ac:dyDescent="0.25">
      <c r="A8" s="635"/>
    </row>
    <row r="9" spans="1:5" ht="13.5" thickBot="1" x14ac:dyDescent="0.25">
      <c r="A9" s="21"/>
      <c r="B9" s="468" t="s">
        <v>100</v>
      </c>
    </row>
    <row r="10" spans="1:5" ht="13.5" thickBot="1" x14ac:dyDescent="0.25">
      <c r="A10" s="472" t="s">
        <v>789</v>
      </c>
      <c r="B10" s="590">
        <f>B7*B14</f>
        <v>32470</v>
      </c>
      <c r="C10" s="470">
        <f>'PPI Calculation'!D241</f>
        <v>1.0996204933586338</v>
      </c>
      <c r="D10" s="22" t="s">
        <v>739</v>
      </c>
    </row>
    <row r="11" spans="1:5" ht="13.5" thickBot="1" x14ac:dyDescent="0.25">
      <c r="A11" s="472" t="s">
        <v>652</v>
      </c>
      <c r="B11" s="590">
        <f>B10*C10</f>
        <v>35704.677419354841</v>
      </c>
      <c r="C11" s="550">
        <f>'Input &amp; Summary'!F7</f>
        <v>2010</v>
      </c>
      <c r="D11" s="567" t="s">
        <v>648</v>
      </c>
    </row>
    <row r="14" spans="1:5" x14ac:dyDescent="0.2">
      <c r="A14" s="142" t="s">
        <v>786</v>
      </c>
      <c r="B14" s="585">
        <v>17</v>
      </c>
    </row>
  </sheetData>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0"/>
  </sheetPr>
  <dimension ref="A1:E14"/>
  <sheetViews>
    <sheetView topLeftCell="A3" workbookViewId="0">
      <selection activeCell="C11" sqref="C11"/>
    </sheetView>
  </sheetViews>
  <sheetFormatPr defaultColWidth="8.85546875" defaultRowHeight="12.75" x14ac:dyDescent="0.2"/>
  <cols>
    <col min="1" max="1" width="30.42578125" customWidth="1"/>
    <col min="2" max="2" width="10.85546875" customWidth="1"/>
  </cols>
  <sheetData>
    <row r="1" spans="1:5" x14ac:dyDescent="0.2">
      <c r="A1" s="1" t="str">
        <f>'Input &amp; Summary'!A1</f>
        <v>Based on Combined Land Based-Offshore Turbine Cost Model. V2.01.12</v>
      </c>
      <c r="B1" s="139"/>
      <c r="C1" s="139"/>
      <c r="D1" s="139"/>
      <c r="E1" s="139"/>
    </row>
    <row r="2" spans="1:5" ht="38.25" x14ac:dyDescent="0.2">
      <c r="A2" s="555" t="str">
        <f>'Input &amp; Summary'!A2</f>
        <v>Note:  This Model Contains Proprietary or Wind Technology Protected Data, and Should Not Be Released Outside of the DOE/NREL/SNL, until Further Notice.</v>
      </c>
      <c r="B2" s="139"/>
      <c r="C2" s="139"/>
      <c r="D2" s="139"/>
      <c r="E2" s="139"/>
    </row>
    <row r="4" spans="1:5" x14ac:dyDescent="0.2">
      <c r="A4" s="21" t="s">
        <v>758</v>
      </c>
    </row>
    <row r="5" spans="1:5" ht="13.5" thickBot="1" x14ac:dyDescent="0.25">
      <c r="A5" s="635" t="s">
        <v>791</v>
      </c>
    </row>
    <row r="6" spans="1:5" ht="26.25" thickBot="1" x14ac:dyDescent="0.25">
      <c r="B6" s="480" t="s">
        <v>602</v>
      </c>
    </row>
    <row r="7" spans="1:5" ht="13.5" thickBot="1" x14ac:dyDescent="0.25">
      <c r="A7" s="221" t="s">
        <v>719</v>
      </c>
      <c r="B7" s="513">
        <f>'Cost Summary'!B65*1000</f>
        <v>7819473.8218039479</v>
      </c>
    </row>
    <row r="8" spans="1:5" ht="13.5" thickBot="1" x14ac:dyDescent="0.25"/>
    <row r="9" spans="1:5" ht="13.5" thickBot="1" x14ac:dyDescent="0.25">
      <c r="A9" s="21"/>
      <c r="B9" s="468" t="s">
        <v>100</v>
      </c>
    </row>
    <row r="10" spans="1:5" ht="13.5" thickBot="1" x14ac:dyDescent="0.25">
      <c r="A10" s="472" t="s">
        <v>792</v>
      </c>
      <c r="B10" s="590">
        <f>B7*B14</f>
        <v>156389.47643607896</v>
      </c>
      <c r="C10" s="470">
        <f>'PPI Calculation'!D251</f>
        <v>1.0996204933586338</v>
      </c>
      <c r="D10" s="22" t="s">
        <v>739</v>
      </c>
    </row>
    <row r="11" spans="1:5" ht="13.5" thickBot="1" x14ac:dyDescent="0.25">
      <c r="A11" s="472" t="s">
        <v>652</v>
      </c>
      <c r="B11" s="590">
        <f>B10*C10</f>
        <v>171969.07323473957</v>
      </c>
      <c r="C11" s="550">
        <f>'Input &amp; Summary'!F7</f>
        <v>2010</v>
      </c>
      <c r="D11" s="567" t="s">
        <v>648</v>
      </c>
    </row>
    <row r="14" spans="1:5" x14ac:dyDescent="0.2">
      <c r="A14" s="142" t="s">
        <v>720</v>
      </c>
      <c r="B14" s="586">
        <v>0.02</v>
      </c>
    </row>
  </sheetData>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40"/>
  </sheetPr>
  <dimension ref="A1:E14"/>
  <sheetViews>
    <sheetView workbookViewId="0">
      <selection activeCell="A5" sqref="A5"/>
    </sheetView>
  </sheetViews>
  <sheetFormatPr defaultColWidth="8.85546875" defaultRowHeight="12.75" x14ac:dyDescent="0.2"/>
  <cols>
    <col min="1" max="1" width="30.42578125" customWidth="1"/>
    <col min="2" max="2" width="11.42578125" customWidth="1"/>
  </cols>
  <sheetData>
    <row r="1" spans="1:5" x14ac:dyDescent="0.2">
      <c r="A1" s="1" t="str">
        <f>'Input &amp; Summary'!A1</f>
        <v>Based on Combined Land Based-Offshore Turbine Cost Model. V2.01.12</v>
      </c>
      <c r="B1" s="139"/>
      <c r="C1" s="139"/>
      <c r="D1" s="139"/>
      <c r="E1" s="139"/>
    </row>
    <row r="2" spans="1:5" ht="38.25" x14ac:dyDescent="0.2">
      <c r="A2" s="555" t="str">
        <f>'Input &amp; Summary'!A2</f>
        <v>Note:  This Model Contains Proprietary or Wind Technology Protected Data, and Should Not Be Released Outside of the DOE/NREL/SNL, until Further Notice.</v>
      </c>
      <c r="B2" s="139"/>
      <c r="C2" s="139"/>
      <c r="D2" s="139"/>
      <c r="E2" s="139"/>
    </row>
    <row r="4" spans="1:5" x14ac:dyDescent="0.2">
      <c r="A4" s="21" t="s">
        <v>795</v>
      </c>
    </row>
    <row r="5" spans="1:5" ht="13.5" thickBot="1" x14ac:dyDescent="0.25">
      <c r="A5" s="635" t="s">
        <v>796</v>
      </c>
    </row>
    <row r="6" spans="1:5" ht="26.25" thickBot="1" x14ac:dyDescent="0.25">
      <c r="B6" s="480" t="s">
        <v>602</v>
      </c>
    </row>
    <row r="7" spans="1:5" ht="13.5" thickBot="1" x14ac:dyDescent="0.25">
      <c r="A7" s="221" t="s">
        <v>719</v>
      </c>
      <c r="B7" s="513">
        <f>'Cost Summary'!B65*1000</f>
        <v>7819473.8218039479</v>
      </c>
    </row>
    <row r="8" spans="1:5" ht="13.5" thickBot="1" x14ac:dyDescent="0.25"/>
    <row r="9" spans="1:5" ht="13.5" thickBot="1" x14ac:dyDescent="0.25">
      <c r="A9" s="21"/>
      <c r="B9" s="468" t="s">
        <v>100</v>
      </c>
    </row>
    <row r="10" spans="1:5" ht="13.5" thickBot="1" x14ac:dyDescent="0.25">
      <c r="A10" s="472" t="s">
        <v>722</v>
      </c>
      <c r="B10" s="590">
        <f>B7*B14</f>
        <v>8445.031727548263</v>
      </c>
      <c r="C10" s="470">
        <f>'PPI Calculation'!D256</f>
        <v>1.1263362487852282</v>
      </c>
      <c r="D10" s="22" t="s">
        <v>590</v>
      </c>
    </row>
    <row r="11" spans="1:5" ht="13.5" thickBot="1" x14ac:dyDescent="0.25">
      <c r="A11" s="472" t="s">
        <v>652</v>
      </c>
      <c r="B11" s="590">
        <f>B10*C10</f>
        <v>9511.9453568789449</v>
      </c>
      <c r="C11" s="550">
        <f>'Input &amp; Summary'!F7</f>
        <v>2010</v>
      </c>
      <c r="D11" s="567" t="s">
        <v>648</v>
      </c>
    </row>
    <row r="14" spans="1:5" x14ac:dyDescent="0.2">
      <c r="A14" s="142" t="s">
        <v>728</v>
      </c>
      <c r="B14" s="587">
        <v>1.08E-3</v>
      </c>
    </row>
  </sheetData>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57"/>
  </sheetPr>
  <dimension ref="A1:E16"/>
  <sheetViews>
    <sheetView workbookViewId="0">
      <selection activeCell="B15" sqref="B15"/>
    </sheetView>
  </sheetViews>
  <sheetFormatPr defaultColWidth="8.85546875" defaultRowHeight="12.75" x14ac:dyDescent="0.2"/>
  <cols>
    <col min="1" max="1" width="37.7109375" customWidth="1"/>
    <col min="2" max="2" width="10.28515625" customWidth="1"/>
  </cols>
  <sheetData>
    <row r="1" spans="1:5" x14ac:dyDescent="0.2">
      <c r="A1" s="1" t="str">
        <f>'Input &amp; Summary'!A1</f>
        <v>Based on Combined Land Based-Offshore Turbine Cost Model. V2.01.12</v>
      </c>
      <c r="B1" s="139"/>
      <c r="C1" s="139"/>
      <c r="D1" s="139"/>
      <c r="E1" s="139"/>
    </row>
    <row r="2" spans="1:5" ht="38.25" x14ac:dyDescent="0.2">
      <c r="A2" s="555" t="str">
        <f>'Input &amp; Summary'!A2</f>
        <v>Note:  This Model Contains Proprietary or Wind Technology Protected Data, and Should Not Be Released Outside of the DOE/NREL/SNL, until Further Notice.</v>
      </c>
      <c r="B2" s="139"/>
      <c r="C2" s="139"/>
      <c r="D2" s="139"/>
      <c r="E2" s="139"/>
    </row>
    <row r="4" spans="1:5" x14ac:dyDescent="0.2">
      <c r="A4" s="21" t="s">
        <v>731</v>
      </c>
    </row>
    <row r="5" spans="1:5" ht="13.5" thickBot="1" x14ac:dyDescent="0.25">
      <c r="A5" s="21" t="s">
        <v>738</v>
      </c>
    </row>
    <row r="6" spans="1:5" ht="39" thickBot="1" x14ac:dyDescent="0.25">
      <c r="B6" s="480" t="s">
        <v>602</v>
      </c>
    </row>
    <row r="7" spans="1:5" ht="13.5" thickBot="1" x14ac:dyDescent="0.25">
      <c r="A7" s="221" t="s">
        <v>248</v>
      </c>
      <c r="B7" s="466">
        <f>'Input &amp; Summary'!B7</f>
        <v>1910</v>
      </c>
    </row>
    <row r="8" spans="1:5" ht="13.5" thickBot="1" x14ac:dyDescent="0.25"/>
    <row r="9" spans="1:5" ht="13.5" thickBot="1" x14ac:dyDescent="0.25">
      <c r="A9" s="21"/>
      <c r="B9" s="468" t="s">
        <v>100</v>
      </c>
    </row>
    <row r="10" spans="1:5" ht="13.5" thickBot="1" x14ac:dyDescent="0.25">
      <c r="A10" s="472" t="s">
        <v>767</v>
      </c>
      <c r="B10" s="590">
        <f>B7*B14</f>
        <v>573000</v>
      </c>
      <c r="C10" s="470">
        <f>'PPI Calculation'!D165</f>
        <v>1.4676119030648609</v>
      </c>
      <c r="D10" s="22" t="s">
        <v>739</v>
      </c>
    </row>
    <row r="11" spans="1:5" ht="13.5" thickBot="1" x14ac:dyDescent="0.25">
      <c r="A11" s="472" t="s">
        <v>652</v>
      </c>
      <c r="B11" s="590">
        <f>B10*C10</f>
        <v>840941.62045616528</v>
      </c>
      <c r="C11" s="550">
        <f>'Input &amp; Summary'!F7</f>
        <v>2010</v>
      </c>
      <c r="D11" s="567" t="s">
        <v>648</v>
      </c>
    </row>
    <row r="14" spans="1:5" x14ac:dyDescent="0.2">
      <c r="A14" s="642" t="s">
        <v>740</v>
      </c>
      <c r="B14" s="585">
        <v>300</v>
      </c>
    </row>
    <row r="16" spans="1:5" x14ac:dyDescent="0.2">
      <c r="B16" s="643"/>
    </row>
  </sheetData>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57"/>
  </sheetPr>
  <dimension ref="A1:E14"/>
  <sheetViews>
    <sheetView workbookViewId="0">
      <selection activeCell="B15" sqref="B15"/>
    </sheetView>
  </sheetViews>
  <sheetFormatPr defaultColWidth="8.85546875" defaultRowHeight="12.75" x14ac:dyDescent="0.2"/>
  <cols>
    <col min="1" max="1" width="34.42578125" customWidth="1"/>
    <col min="2" max="2" width="10.140625" bestFit="1" customWidth="1"/>
  </cols>
  <sheetData>
    <row r="1" spans="1:5" x14ac:dyDescent="0.2">
      <c r="A1" s="1" t="str">
        <f>'Input &amp; Summary'!A1</f>
        <v>Based on Combined Land Based-Offshore Turbine Cost Model. V2.01.12</v>
      </c>
      <c r="B1" s="139"/>
      <c r="C1" s="139"/>
      <c r="D1" s="139"/>
      <c r="E1" s="139"/>
    </row>
    <row r="2" spans="1:5" ht="38.25" x14ac:dyDescent="0.2">
      <c r="A2" s="555" t="str">
        <f>'Input &amp; Summary'!A2</f>
        <v>Note:  This Model Contains Proprietary or Wind Technology Protected Data, and Should Not Be Released Outside of the DOE/NREL/SNL, until Further Notice.</v>
      </c>
      <c r="B2" s="139"/>
      <c r="C2" s="139"/>
      <c r="D2" s="139"/>
      <c r="E2" s="139"/>
    </row>
    <row r="4" spans="1:5" x14ac:dyDescent="0.2">
      <c r="A4" s="21" t="s">
        <v>751</v>
      </c>
    </row>
    <row r="5" spans="1:5" ht="13.5" thickBot="1" x14ac:dyDescent="0.25">
      <c r="A5" s="635" t="s">
        <v>750</v>
      </c>
    </row>
    <row r="6" spans="1:5" ht="39" thickBot="1" x14ac:dyDescent="0.25">
      <c r="B6" s="480" t="s">
        <v>602</v>
      </c>
    </row>
    <row r="7" spans="1:5" ht="13.5" thickBot="1" x14ac:dyDescent="0.25">
      <c r="A7" s="221" t="s">
        <v>248</v>
      </c>
      <c r="B7" s="466">
        <f>'Input &amp; Summary'!B7</f>
        <v>1910</v>
      </c>
    </row>
    <row r="8" spans="1:5" ht="13.5" thickBot="1" x14ac:dyDescent="0.25"/>
    <row r="9" spans="1:5" ht="13.5" thickBot="1" x14ac:dyDescent="0.25">
      <c r="A9" s="21"/>
      <c r="B9" s="468" t="s">
        <v>100</v>
      </c>
    </row>
    <row r="10" spans="1:5" ht="13.5" thickBot="1" x14ac:dyDescent="0.25">
      <c r="A10" s="472" t="s">
        <v>766</v>
      </c>
      <c r="B10" s="590">
        <f>B7*B14</f>
        <v>191000</v>
      </c>
      <c r="C10" s="470">
        <f>'PPI Calculation'!D189</f>
        <v>1.4676119030648609</v>
      </c>
      <c r="D10" s="22" t="s">
        <v>739</v>
      </c>
    </row>
    <row r="11" spans="1:5" ht="13.5" thickBot="1" x14ac:dyDescent="0.25">
      <c r="A11" s="472" t="s">
        <v>652</v>
      </c>
      <c r="B11" s="590">
        <f>B10*C10</f>
        <v>280313.87348538841</v>
      </c>
      <c r="C11" s="550">
        <f>'Input &amp; Summary'!F7</f>
        <v>2010</v>
      </c>
      <c r="D11" s="567" t="s">
        <v>648</v>
      </c>
    </row>
    <row r="14" spans="1:5" x14ac:dyDescent="0.2">
      <c r="A14" s="142" t="s">
        <v>752</v>
      </c>
      <c r="B14" s="647">
        <v>100</v>
      </c>
    </row>
  </sheetData>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57"/>
  </sheetPr>
  <dimension ref="A1:F30"/>
  <sheetViews>
    <sheetView topLeftCell="A4" workbookViewId="0">
      <selection activeCell="D6" sqref="D6"/>
    </sheetView>
  </sheetViews>
  <sheetFormatPr defaultColWidth="8.85546875" defaultRowHeight="12.75" x14ac:dyDescent="0.2"/>
  <cols>
    <col min="1" max="1" width="28.140625" customWidth="1"/>
    <col min="2" max="2" width="10.7109375" customWidth="1"/>
    <col min="3" max="3" width="12" bestFit="1" customWidth="1"/>
  </cols>
  <sheetData>
    <row r="1" spans="1:6" x14ac:dyDescent="0.2">
      <c r="A1" s="1" t="str">
        <f>'Input &amp; Summary'!A1</f>
        <v>Based on Combined Land Based-Offshore Turbine Cost Model. V2.01.12</v>
      </c>
      <c r="B1" s="139"/>
      <c r="C1" s="139"/>
      <c r="D1" s="139"/>
      <c r="E1" s="139"/>
      <c r="F1" s="139"/>
    </row>
    <row r="2" spans="1:6" ht="51" x14ac:dyDescent="0.2">
      <c r="A2" s="555" t="str">
        <f>'Input &amp; Summary'!A2</f>
        <v>Note:  This Model Contains Proprietary or Wind Technology Protected Data, and Should Not Be Released Outside of the DOE/NREL/SNL, until Further Notice.</v>
      </c>
      <c r="B2" s="139"/>
      <c r="C2" s="139"/>
    </row>
    <row r="4" spans="1:6" x14ac:dyDescent="0.2">
      <c r="A4" s="21" t="s">
        <v>983</v>
      </c>
    </row>
    <row r="5" spans="1:6" ht="13.5" thickBot="1" x14ac:dyDescent="0.25">
      <c r="A5" s="635" t="s">
        <v>37</v>
      </c>
    </row>
    <row r="6" spans="1:6" ht="39" thickBot="1" x14ac:dyDescent="0.25">
      <c r="B6" s="480" t="s">
        <v>602</v>
      </c>
    </row>
    <row r="7" spans="1:6" ht="13.5" thickBot="1" x14ac:dyDescent="0.25">
      <c r="A7" s="221" t="s">
        <v>248</v>
      </c>
      <c r="B7" s="466">
        <f>'Input &amp; Summary'!B7</f>
        <v>1910</v>
      </c>
    </row>
    <row r="8" spans="1:6" ht="13.5" thickBot="1" x14ac:dyDescent="0.25"/>
    <row r="9" spans="1:6" ht="13.5" thickBot="1" x14ac:dyDescent="0.25">
      <c r="A9" s="21"/>
      <c r="B9" s="468" t="s">
        <v>100</v>
      </c>
    </row>
    <row r="10" spans="1:6" ht="13.5" thickBot="1" x14ac:dyDescent="0.25">
      <c r="A10" s="472" t="s">
        <v>704</v>
      </c>
      <c r="B10" s="589">
        <f>(B14*$B$7^2 + B15*$B$7 + B16)*$B$7</f>
        <v>77835.290509999992</v>
      </c>
      <c r="C10" s="470">
        <f>'PPI Calculation'!D171</f>
        <v>1.1665150136487714</v>
      </c>
      <c r="D10" s="22" t="s">
        <v>590</v>
      </c>
    </row>
    <row r="11" spans="1:6" ht="12" customHeight="1" thickBot="1" x14ac:dyDescent="0.25">
      <c r="A11" s="472" t="s">
        <v>652</v>
      </c>
      <c r="B11" s="122">
        <f>B10*C10</f>
        <v>90796.034971628731</v>
      </c>
      <c r="C11" s="550">
        <f>'Input &amp; Summary'!F7</f>
        <v>2010</v>
      </c>
      <c r="D11" s="567" t="s">
        <v>648</v>
      </c>
    </row>
    <row r="12" spans="1:6" ht="12" customHeight="1" x14ac:dyDescent="0.2"/>
    <row r="13" spans="1:6" ht="12" customHeight="1" x14ac:dyDescent="0.2"/>
    <row r="14" spans="1:6" ht="12" customHeight="1" x14ac:dyDescent="0.2">
      <c r="A14" s="782" t="s">
        <v>1107</v>
      </c>
      <c r="B14" s="800">
        <v>1.5809999999999999E-5</v>
      </c>
    </row>
    <row r="15" spans="1:6" ht="12" customHeight="1" x14ac:dyDescent="0.2">
      <c r="A15" s="782" t="s">
        <v>1108</v>
      </c>
      <c r="B15" s="138">
        <v>-3.7499999999999999E-2</v>
      </c>
    </row>
    <row r="16" spans="1:6" ht="12" customHeight="1" x14ac:dyDescent="0.2">
      <c r="A16" s="782" t="s">
        <v>1109</v>
      </c>
      <c r="B16" s="138">
        <v>54.7</v>
      </c>
    </row>
    <row r="17" spans="1:4" ht="12" customHeight="1" x14ac:dyDescent="0.2"/>
    <row r="19" spans="1:4" ht="12" customHeight="1" x14ac:dyDescent="0.2">
      <c r="A19" s="21" t="s">
        <v>982</v>
      </c>
    </row>
    <row r="20" spans="1:4" ht="12" customHeight="1" x14ac:dyDescent="0.2">
      <c r="A20" s="21"/>
    </row>
    <row r="21" spans="1:4" ht="12" customHeight="1" x14ac:dyDescent="0.2">
      <c r="A21" s="21" t="s">
        <v>1106</v>
      </c>
    </row>
    <row r="22" spans="1:4" ht="12" customHeight="1" x14ac:dyDescent="0.2">
      <c r="A22" s="21"/>
    </row>
    <row r="23" spans="1:4" ht="12" customHeight="1" thickBot="1" x14ac:dyDescent="0.25"/>
    <row r="24" spans="1:4" s="19" customFormat="1" ht="38.25" x14ac:dyDescent="0.2">
      <c r="A24" s="611" t="s">
        <v>248</v>
      </c>
      <c r="B24" s="612" t="s">
        <v>693</v>
      </c>
      <c r="C24" s="612" t="s">
        <v>694</v>
      </c>
      <c r="D24" s="617" t="s">
        <v>695</v>
      </c>
    </row>
    <row r="25" spans="1:4" x14ac:dyDescent="0.2">
      <c r="A25" s="240">
        <v>750</v>
      </c>
      <c r="B25" s="620">
        <v>26586</v>
      </c>
      <c r="C25" s="620">
        <f>(0.00001581*A25^2-0.0375*A25+54.7)*A25</f>
        <v>26601.09375</v>
      </c>
      <c r="D25" s="618">
        <f>(C25-B25)/C25</f>
        <v>5.6741087948686318E-4</v>
      </c>
    </row>
    <row r="26" spans="1:4" x14ac:dyDescent="0.2">
      <c r="A26" s="240">
        <v>1500</v>
      </c>
      <c r="B26" s="620">
        <v>51004</v>
      </c>
      <c r="C26" s="620">
        <f>(0.00001581*A26^2-0.0375*A26+54.7)*A26</f>
        <v>51033.75</v>
      </c>
      <c r="D26" s="618">
        <f>(C26-B26)/C26</f>
        <v>5.8294755921326576E-4</v>
      </c>
    </row>
    <row r="27" spans="1:4" x14ac:dyDescent="0.2">
      <c r="A27" s="240">
        <v>3000</v>
      </c>
      <c r="B27" s="620">
        <v>253410</v>
      </c>
      <c r="C27" s="620">
        <f>(0.00001581*A27^2-0.0375*A27+54.7)*A27</f>
        <v>253469.99999999997</v>
      </c>
      <c r="D27" s="618">
        <f>(C27-B27)/C27</f>
        <v>2.3671440407137294E-4</v>
      </c>
    </row>
    <row r="28" spans="1:4" ht="13.5" thickBot="1" x14ac:dyDescent="0.25">
      <c r="A28" s="245">
        <v>5000</v>
      </c>
      <c r="B28" s="621">
        <v>1312150</v>
      </c>
      <c r="C28" s="621">
        <f>(0.00001581*A28^2-0.0375*A28+54.7)*A28</f>
        <v>1312250</v>
      </c>
      <c r="D28" s="619">
        <f>(C28-B28)/C28</f>
        <v>7.6204991426938461E-5</v>
      </c>
    </row>
    <row r="29" spans="1:4" x14ac:dyDescent="0.2">
      <c r="A29" s="537" t="s">
        <v>729</v>
      </c>
      <c r="B29" s="622"/>
      <c r="C29" s="622"/>
      <c r="D29" s="537"/>
    </row>
    <row r="30" spans="1:4" x14ac:dyDescent="0.2">
      <c r="A30" s="119">
        <f>B7</f>
        <v>1910</v>
      </c>
      <c r="B30" s="512"/>
      <c r="C30" s="512"/>
      <c r="D30" s="119"/>
    </row>
  </sheetData>
  <phoneticPr fontId="3" type="noConversion"/>
  <pageMargins left="0.75" right="0.75" top="1" bottom="1" header="0.5" footer="0.5"/>
  <pageSetup orientation="portrait"/>
  <headerFooter alignWithMargins="0"/>
  <legacyDrawing r:id="rId1"/>
  <extLst>
    <ext xmlns:mx="http://schemas.microsoft.com/office/mac/excel/2008/main" uri="{64002731-A6B0-56B0-2670-7721B7C09600}">
      <mx:PLV Mode="0" OnePage="0" WScale="0"/>
    </ext>
  </extLst>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57"/>
  </sheetPr>
  <dimension ref="A1:E14"/>
  <sheetViews>
    <sheetView workbookViewId="0">
      <selection activeCell="B15" sqref="B15"/>
    </sheetView>
  </sheetViews>
  <sheetFormatPr defaultColWidth="8.85546875" defaultRowHeight="12.75" x14ac:dyDescent="0.2"/>
  <cols>
    <col min="1" max="1" width="34.42578125" customWidth="1"/>
    <col min="2" max="2" width="10.42578125" customWidth="1"/>
  </cols>
  <sheetData>
    <row r="1" spans="1:5" x14ac:dyDescent="0.2">
      <c r="A1" s="1" t="str">
        <f>'Input &amp; Summary'!A1</f>
        <v>Based on Combined Land Based-Offshore Turbine Cost Model. V2.01.12</v>
      </c>
      <c r="B1" s="139"/>
      <c r="C1" s="139"/>
      <c r="D1" s="139"/>
      <c r="E1" s="139"/>
    </row>
    <row r="2" spans="1:5" ht="38.25" x14ac:dyDescent="0.2">
      <c r="A2" s="555" t="str">
        <f>'Input &amp; Summary'!A2</f>
        <v>Note:  This Model Contains Proprietary or Wind Technology Protected Data, and Should Not Be Released Outside of the DOE/NREL/SNL, until Further Notice.</v>
      </c>
      <c r="B2" s="139"/>
      <c r="C2" s="139"/>
      <c r="D2" s="139"/>
      <c r="E2" s="139"/>
    </row>
    <row r="4" spans="1:5" x14ac:dyDescent="0.2">
      <c r="A4" s="21" t="s">
        <v>760</v>
      </c>
    </row>
    <row r="5" spans="1:5" ht="13.5" thickBot="1" x14ac:dyDescent="0.25">
      <c r="A5" s="635" t="s">
        <v>759</v>
      </c>
    </row>
    <row r="6" spans="1:5" ht="39" thickBot="1" x14ac:dyDescent="0.25">
      <c r="B6" s="480" t="s">
        <v>602</v>
      </c>
    </row>
    <row r="7" spans="1:5" ht="13.5" thickBot="1" x14ac:dyDescent="0.25">
      <c r="A7" s="221" t="s">
        <v>248</v>
      </c>
      <c r="B7" s="466">
        <f>'Input &amp; Summary'!B7</f>
        <v>1910</v>
      </c>
    </row>
    <row r="8" spans="1:5" ht="13.5" thickBot="1" x14ac:dyDescent="0.25"/>
    <row r="9" spans="1:5" ht="13.5" thickBot="1" x14ac:dyDescent="0.25">
      <c r="A9" s="21"/>
      <c r="B9" s="468" t="s">
        <v>100</v>
      </c>
    </row>
    <row r="10" spans="1:5" ht="13.5" thickBot="1" x14ac:dyDescent="0.25">
      <c r="A10" s="472" t="s">
        <v>765</v>
      </c>
      <c r="B10" s="590">
        <f>B7*B14</f>
        <v>496600</v>
      </c>
      <c r="C10" s="470">
        <f>'PPI Calculation'!D221</f>
        <v>1.7169987025414939</v>
      </c>
      <c r="D10" s="22" t="s">
        <v>739</v>
      </c>
    </row>
    <row r="11" spans="1:5" ht="13.5" thickBot="1" x14ac:dyDescent="0.25">
      <c r="A11" s="472" t="s">
        <v>652</v>
      </c>
      <c r="B11" s="590">
        <f>B10*C10</f>
        <v>852661.55568210583</v>
      </c>
      <c r="C11" s="550">
        <f>'Input &amp; Summary'!F7</f>
        <v>2010</v>
      </c>
      <c r="D11" s="567" t="s">
        <v>648</v>
      </c>
    </row>
    <row r="14" spans="1:5" x14ac:dyDescent="0.2">
      <c r="A14" s="142" t="s">
        <v>761</v>
      </c>
      <c r="B14" s="646">
        <v>260</v>
      </c>
    </row>
  </sheetData>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50"/>
  </sheetPr>
  <dimension ref="A1:E14"/>
  <sheetViews>
    <sheetView workbookViewId="0">
      <selection activeCell="C10" sqref="C10"/>
    </sheetView>
  </sheetViews>
  <sheetFormatPr defaultColWidth="8.85546875" defaultRowHeight="12.75" x14ac:dyDescent="0.2"/>
  <cols>
    <col min="1" max="1" width="34.42578125" customWidth="1"/>
    <col min="2" max="2" width="10.140625" bestFit="1" customWidth="1"/>
  </cols>
  <sheetData>
    <row r="1" spans="1:5" x14ac:dyDescent="0.2">
      <c r="A1" s="1" t="str">
        <f>'Input &amp; Summary'!A1</f>
        <v>Based on Combined Land Based-Offshore Turbine Cost Model. V2.01.12</v>
      </c>
      <c r="B1" s="139"/>
      <c r="C1" s="139"/>
      <c r="D1" s="139"/>
      <c r="E1" s="139"/>
    </row>
    <row r="2" spans="1:5" ht="38.25" x14ac:dyDescent="0.2">
      <c r="A2" s="555" t="str">
        <f>'Input &amp; Summary'!A2</f>
        <v>Note:  This Model Contains Proprietary or Wind Technology Protected Data, and Should Not Be Released Outside of the DOE/NREL/SNL, until Further Notice.</v>
      </c>
      <c r="B2" s="139"/>
      <c r="C2" s="139"/>
      <c r="D2" s="139"/>
      <c r="E2" s="139"/>
    </row>
    <row r="4" spans="1:5" x14ac:dyDescent="0.2">
      <c r="A4" s="21" t="s">
        <v>857</v>
      </c>
    </row>
    <row r="5" spans="1:5" ht="13.5" thickBot="1" x14ac:dyDescent="0.25">
      <c r="A5" s="635"/>
    </row>
    <row r="6" spans="1:5" ht="39" thickBot="1" x14ac:dyDescent="0.25">
      <c r="B6" s="480" t="s">
        <v>602</v>
      </c>
    </row>
    <row r="7" spans="1:5" ht="13.5" thickBot="1" x14ac:dyDescent="0.25">
      <c r="A7" s="221" t="s">
        <v>248</v>
      </c>
      <c r="B7" s="466">
        <f>'Input &amp; Summary'!B7</f>
        <v>1910</v>
      </c>
    </row>
    <row r="8" spans="1:5" ht="13.5" thickBot="1" x14ac:dyDescent="0.25"/>
    <row r="9" spans="1:5" ht="13.5" thickBot="1" x14ac:dyDescent="0.25">
      <c r="A9" s="21"/>
      <c r="B9" s="468" t="s">
        <v>100</v>
      </c>
    </row>
    <row r="10" spans="1:5" ht="13.5" thickBot="1" x14ac:dyDescent="0.25">
      <c r="A10" s="472" t="s">
        <v>855</v>
      </c>
      <c r="B10" s="590">
        <f>B7*B14</f>
        <v>859500</v>
      </c>
      <c r="C10" s="470">
        <f>'PPI Calculation'!D189</f>
        <v>1.4676119030648609</v>
      </c>
      <c r="D10" s="22" t="s">
        <v>739</v>
      </c>
    </row>
    <row r="11" spans="1:5" ht="13.5" thickBot="1" x14ac:dyDescent="0.25">
      <c r="A11" s="472" t="s">
        <v>652</v>
      </c>
      <c r="B11" s="590">
        <f>B10*C10</f>
        <v>1261412.430684248</v>
      </c>
      <c r="C11" s="550">
        <f>'Input &amp; Summary'!F7</f>
        <v>2010</v>
      </c>
      <c r="D11" s="567" t="s">
        <v>648</v>
      </c>
    </row>
    <row r="14" spans="1:5" x14ac:dyDescent="0.2">
      <c r="A14" s="142" t="s">
        <v>854</v>
      </c>
      <c r="B14" s="647">
        <v>450</v>
      </c>
    </row>
  </sheetData>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50"/>
  </sheetPr>
  <dimension ref="A1:E14"/>
  <sheetViews>
    <sheetView workbookViewId="0">
      <selection activeCell="D16" sqref="D16"/>
    </sheetView>
  </sheetViews>
  <sheetFormatPr defaultColWidth="8.85546875" defaultRowHeight="12.75" x14ac:dyDescent="0.2"/>
  <cols>
    <col min="1" max="1" width="37" customWidth="1"/>
    <col min="2" max="2" width="10.140625" bestFit="1" customWidth="1"/>
  </cols>
  <sheetData>
    <row r="1" spans="1:5" x14ac:dyDescent="0.2">
      <c r="A1" s="1" t="str">
        <f>'Input &amp; Summary'!A1</f>
        <v>Based on Combined Land Based-Offshore Turbine Cost Model. V2.01.12</v>
      </c>
      <c r="B1" s="139"/>
      <c r="C1" s="139"/>
      <c r="D1" s="139"/>
      <c r="E1" s="139"/>
    </row>
    <row r="2" spans="1:5" ht="38.25" x14ac:dyDescent="0.2">
      <c r="A2" s="555" t="str">
        <f>'Input &amp; Summary'!A2</f>
        <v>Note:  This Model Contains Proprietary or Wind Technology Protected Data, and Should Not Be Released Outside of the DOE/NREL/SNL, until Further Notice.</v>
      </c>
      <c r="B2" s="139"/>
      <c r="C2" s="139"/>
      <c r="D2" s="139"/>
      <c r="E2" s="139"/>
    </row>
    <row r="4" spans="1:5" x14ac:dyDescent="0.2">
      <c r="A4" s="21" t="s">
        <v>858</v>
      </c>
    </row>
    <row r="5" spans="1:5" ht="13.5" thickBot="1" x14ac:dyDescent="0.25">
      <c r="A5" s="635"/>
    </row>
    <row r="6" spans="1:5" ht="39" thickBot="1" x14ac:dyDescent="0.25">
      <c r="B6" s="480" t="s">
        <v>602</v>
      </c>
    </row>
    <row r="7" spans="1:5" ht="13.5" thickBot="1" x14ac:dyDescent="0.25">
      <c r="A7" s="221" t="s">
        <v>248</v>
      </c>
      <c r="B7" s="466">
        <f>'Input &amp; Summary'!B7</f>
        <v>1910</v>
      </c>
    </row>
    <row r="8" spans="1:5" ht="13.5" thickBot="1" x14ac:dyDescent="0.25"/>
    <row r="9" spans="1:5" ht="13.5" thickBot="1" x14ac:dyDescent="0.25">
      <c r="A9" s="21"/>
      <c r="B9" s="468" t="s">
        <v>100</v>
      </c>
    </row>
    <row r="10" spans="1:5" ht="13.5" thickBot="1" x14ac:dyDescent="0.25">
      <c r="A10" s="472" t="s">
        <v>859</v>
      </c>
      <c r="B10" s="590">
        <f>B7*B14</f>
        <v>630300</v>
      </c>
      <c r="C10" s="470">
        <f>'PPI Calculation'!D189</f>
        <v>1.4676119030648609</v>
      </c>
      <c r="D10" s="22" t="s">
        <v>739</v>
      </c>
    </row>
    <row r="11" spans="1:5" ht="13.5" thickBot="1" x14ac:dyDescent="0.25">
      <c r="A11" s="472" t="s">
        <v>652</v>
      </c>
      <c r="B11" s="590">
        <f>B10*C10</f>
        <v>925035.78250178182</v>
      </c>
      <c r="C11" s="550">
        <f>'Input &amp; Summary'!F7</f>
        <v>2010</v>
      </c>
      <c r="D11" s="567" t="s">
        <v>648</v>
      </c>
    </row>
    <row r="14" spans="1:5" x14ac:dyDescent="0.2">
      <c r="A14" s="142" t="s">
        <v>860</v>
      </c>
      <c r="B14" s="647">
        <v>330</v>
      </c>
    </row>
  </sheetData>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25"/>
  </sheetPr>
  <dimension ref="A1:BI115"/>
  <sheetViews>
    <sheetView topLeftCell="AC16" workbookViewId="0">
      <selection activeCell="AO102" sqref="AO102"/>
    </sheetView>
  </sheetViews>
  <sheetFormatPr defaultColWidth="8.85546875" defaultRowHeight="12.75" x14ac:dyDescent="0.2"/>
  <cols>
    <col min="1" max="1" width="32.7109375" customWidth="1"/>
    <col min="2" max="2" width="16.140625" customWidth="1"/>
    <col min="3" max="3" width="13.85546875" customWidth="1"/>
    <col min="4" max="4" width="13.140625" customWidth="1"/>
    <col min="5" max="5" width="15.42578125" bestFit="1" customWidth="1"/>
    <col min="6" max="6" width="10" bestFit="1" customWidth="1"/>
    <col min="7" max="7" width="12.7109375" bestFit="1" customWidth="1"/>
    <col min="8" max="8" width="10.28515625" bestFit="1" customWidth="1"/>
    <col min="9" max="9" width="10.42578125" bestFit="1" customWidth="1"/>
    <col min="10" max="10" width="12" bestFit="1" customWidth="1"/>
    <col min="11" max="11" width="11.140625" customWidth="1"/>
    <col min="12" max="12" width="9.7109375" bestFit="1" customWidth="1"/>
    <col min="13" max="13" width="19.140625" bestFit="1" customWidth="1"/>
    <col min="14" max="14" width="13.42578125" customWidth="1"/>
    <col min="15" max="15" width="15.42578125" bestFit="1" customWidth="1"/>
    <col min="16" max="16" width="2.140625" style="42" customWidth="1"/>
    <col min="20" max="20" width="9.85546875" customWidth="1"/>
    <col min="21" max="21" width="10.28515625" customWidth="1"/>
    <col min="22" max="22" width="9.85546875" customWidth="1"/>
    <col min="23" max="23" width="10.42578125" customWidth="1"/>
    <col min="24" max="24" width="10.28515625" customWidth="1"/>
    <col min="25" max="26" width="9.85546875" customWidth="1"/>
    <col min="27" max="27" width="10.28515625" customWidth="1"/>
    <col min="28" max="28" width="11.7109375" customWidth="1"/>
    <col min="29" max="29" width="11.42578125" bestFit="1" customWidth="1"/>
    <col min="30" max="30" width="11.28515625" bestFit="1" customWidth="1"/>
    <col min="35" max="35" width="10.140625" customWidth="1"/>
    <col min="46" max="46" width="2.140625" style="144" customWidth="1"/>
    <col min="47" max="47" width="10.42578125" customWidth="1"/>
    <col min="49" max="49" width="17.7109375" customWidth="1"/>
    <col min="50" max="50" width="18.140625" customWidth="1"/>
    <col min="59" max="59" width="2.85546875" style="144" customWidth="1"/>
  </cols>
  <sheetData>
    <row r="1" spans="1:61" x14ac:dyDescent="0.2">
      <c r="A1" s="1" t="str">
        <f>'Input &amp; Summary'!A1</f>
        <v>Based on Combined Land Based-Offshore Turbine Cost Model. V2.01.12</v>
      </c>
      <c r="B1" s="1"/>
      <c r="C1" s="1"/>
    </row>
    <row r="2" spans="1:61" ht="38.25" x14ac:dyDescent="0.2">
      <c r="A2" s="555" t="str">
        <f>'Input &amp; Summary'!A2</f>
        <v>Note:  This Model Contains Proprietary or Wind Technology Protected Data, and Should Not Be Released Outside of the DOE/NREL/SNL, until Further Notice.</v>
      </c>
      <c r="B2" s="1"/>
      <c r="C2" s="1"/>
      <c r="Q2" s="819" t="s">
        <v>161</v>
      </c>
      <c r="R2" s="819"/>
      <c r="S2" s="819"/>
      <c r="T2" s="819"/>
      <c r="U2" s="819"/>
      <c r="V2" s="819"/>
      <c r="BI2" s="557" t="s">
        <v>645</v>
      </c>
    </row>
    <row r="3" spans="1:61" x14ac:dyDescent="0.2">
      <c r="AU3" t="s">
        <v>379</v>
      </c>
    </row>
    <row r="4" spans="1:61" x14ac:dyDescent="0.2">
      <c r="A4" s="21" t="s">
        <v>179</v>
      </c>
      <c r="Q4" t="s">
        <v>380</v>
      </c>
    </row>
    <row r="5" spans="1:61" ht="13.5" thickBot="1" x14ac:dyDescent="0.25">
      <c r="A5" s="60" t="s">
        <v>381</v>
      </c>
      <c r="D5" s="21" t="s">
        <v>382</v>
      </c>
      <c r="AU5" t="s">
        <v>383</v>
      </c>
    </row>
    <row r="6" spans="1:61" ht="14.25" thickTop="1" thickBot="1" x14ac:dyDescent="0.25">
      <c r="B6" s="467" t="s">
        <v>602</v>
      </c>
      <c r="D6" s="75" t="s">
        <v>180</v>
      </c>
      <c r="E6" s="40" t="s">
        <v>185</v>
      </c>
      <c r="F6" s="40" t="s">
        <v>108</v>
      </c>
      <c r="G6" s="76" t="s">
        <v>13</v>
      </c>
      <c r="Q6" t="s">
        <v>384</v>
      </c>
      <c r="AV6" t="s">
        <v>221</v>
      </c>
      <c r="AW6" t="s">
        <v>385</v>
      </c>
      <c r="AX6" t="s">
        <v>386</v>
      </c>
      <c r="AY6" t="s">
        <v>387</v>
      </c>
      <c r="AZ6" t="s">
        <v>388</v>
      </c>
    </row>
    <row r="7" spans="1:61" ht="14.25" thickTop="1" thickBot="1" x14ac:dyDescent="0.25">
      <c r="A7" s="221" t="s">
        <v>89</v>
      </c>
      <c r="B7" s="466">
        <f>'Input &amp; Summary'!$B$8</f>
        <v>96.9</v>
      </c>
      <c r="D7" s="104">
        <f>$B$7/2</f>
        <v>48.45</v>
      </c>
      <c r="E7" s="105">
        <f>D7^3</f>
        <v>113731.65112500002</v>
      </c>
      <c r="F7" s="145">
        <f>$B$13</f>
        <v>107944.1451486295</v>
      </c>
      <c r="G7" s="146">
        <f>$B$12</f>
        <v>9082.8670624211954</v>
      </c>
      <c r="R7" s="361" t="s">
        <v>82</v>
      </c>
      <c r="S7" s="362">
        <v>0.1452</v>
      </c>
      <c r="AU7" t="s">
        <v>389</v>
      </c>
      <c r="AV7" s="147">
        <v>0.6</v>
      </c>
      <c r="AW7" s="147">
        <v>0.08</v>
      </c>
      <c r="AX7" s="147">
        <v>0.19</v>
      </c>
      <c r="AY7" s="147">
        <v>0.06</v>
      </c>
      <c r="AZ7" s="147">
        <v>7.0000000000000007E-2</v>
      </c>
    </row>
    <row r="8" spans="1:61" ht="13.5" thickBot="1" x14ac:dyDescent="0.25">
      <c r="A8" s="471" t="s">
        <v>192</v>
      </c>
      <c r="B8" s="510" t="str">
        <f>'Input &amp; Summary'!$C$8</f>
        <v>Advanced Design</v>
      </c>
      <c r="D8" s="39"/>
      <c r="E8" s="39"/>
      <c r="F8" s="462"/>
      <c r="G8" s="463"/>
      <c r="R8" s="464"/>
      <c r="S8" s="465"/>
      <c r="AV8" s="147"/>
      <c r="AW8" s="147"/>
      <c r="AX8" s="147"/>
      <c r="AY8" s="147"/>
      <c r="AZ8" s="147"/>
    </row>
    <row r="9" spans="1:61" x14ac:dyDescent="0.2">
      <c r="A9" s="21"/>
      <c r="B9" s="119"/>
      <c r="D9" s="39"/>
      <c r="E9" s="39"/>
      <c r="F9" s="462"/>
      <c r="G9" s="463"/>
      <c r="R9" s="464"/>
      <c r="S9" s="465"/>
      <c r="AV9" s="147"/>
      <c r="AW9" s="147"/>
      <c r="AX9" s="147"/>
      <c r="AY9" s="147"/>
      <c r="AZ9" s="147"/>
    </row>
    <row r="10" spans="1:61" ht="13.5" thickBot="1" x14ac:dyDescent="0.25">
      <c r="A10" s="21"/>
      <c r="D10" s="39"/>
      <c r="E10" s="39"/>
      <c r="F10" s="462"/>
      <c r="G10" s="463"/>
      <c r="R10" s="464"/>
      <c r="S10" s="465"/>
      <c r="AV10" s="147"/>
      <c r="AW10" s="147"/>
      <c r="AX10" s="147"/>
      <c r="AY10" s="147"/>
      <c r="AZ10" s="147"/>
    </row>
    <row r="11" spans="1:61" ht="13.5" thickBot="1" x14ac:dyDescent="0.25">
      <c r="B11" s="468" t="s">
        <v>100</v>
      </c>
      <c r="C11" s="470">
        <f>'PPI Calculation'!$D$12</f>
        <v>1.1263362487852282</v>
      </c>
      <c r="D11" s="22" t="s">
        <v>835</v>
      </c>
      <c r="R11" s="363" t="s">
        <v>390</v>
      </c>
      <c r="S11" s="364">
        <v>2.9157999999999999</v>
      </c>
      <c r="AU11" t="s">
        <v>391</v>
      </c>
      <c r="AV11" s="147">
        <v>0.61</v>
      </c>
      <c r="AW11" s="147">
        <v>0.09</v>
      </c>
      <c r="AX11" s="147">
        <v>0.19</v>
      </c>
      <c r="AY11" s="147">
        <v>0.03</v>
      </c>
      <c r="AZ11" s="147">
        <v>0.08</v>
      </c>
    </row>
    <row r="12" spans="1:61" ht="13.5" thickBot="1" x14ac:dyDescent="0.25">
      <c r="A12" s="472" t="s">
        <v>191</v>
      </c>
      <c r="B12" s="148">
        <f>IF(EXACT(B8,"Baseline"),($S$7*($B$7/2)^$S$11),($S$15*($B$7/2)^$S$16))</f>
        <v>9082.8670624211954</v>
      </c>
      <c r="C12" s="470">
        <f>'PPI Calculation'!$D$31</f>
        <v>1.0362620198210015</v>
      </c>
      <c r="D12" s="22" t="s">
        <v>836</v>
      </c>
      <c r="AU12" t="s">
        <v>392</v>
      </c>
      <c r="AV12" s="147">
        <v>0.6</v>
      </c>
      <c r="AW12" s="147">
        <v>0.1</v>
      </c>
      <c r="AX12" s="147">
        <v>0.19</v>
      </c>
      <c r="AY12" s="147">
        <v>0.02</v>
      </c>
      <c r="AZ12" s="147">
        <v>0.09</v>
      </c>
    </row>
    <row r="13" spans="1:61" ht="13.5" thickBot="1" x14ac:dyDescent="0.25">
      <c r="A13" s="472" t="s">
        <v>922</v>
      </c>
      <c r="B13" s="123">
        <f>IF(EXACT($B$8,"Baseline"),(($B$76*($B$7/2)^3+$B$77)*$C$12+($H$76*($B$7/2)^$H$77)*$C$11)/(1-AVERAGE($F$71:$F$73)),(($E$76*($B$7/2)^3+$E$77)*$C$13+(H76*($B$7/2)^$H$77)*$C$11)/(1-AVERAGE($F$71:$F$73)))</f>
        <v>107944.1451486295</v>
      </c>
      <c r="C13" s="470">
        <f>'PPI Calculation'!$K$31</f>
        <v>1.0752391210085082</v>
      </c>
      <c r="D13" s="22" t="s">
        <v>837</v>
      </c>
      <c r="Q13" t="s">
        <v>393</v>
      </c>
    </row>
    <row r="14" spans="1:61" ht="13.5" thickBot="1" x14ac:dyDescent="0.25">
      <c r="A14" s="472" t="s">
        <v>923</v>
      </c>
      <c r="B14" s="122">
        <f>B13*3</f>
        <v>323832.43544588849</v>
      </c>
      <c r="C14" s="22"/>
    </row>
    <row r="15" spans="1:61" ht="13.5" thickTop="1" x14ac:dyDescent="0.2">
      <c r="C15" s="41"/>
      <c r="J15" s="120"/>
      <c r="R15" s="361" t="s">
        <v>82</v>
      </c>
      <c r="S15" s="362">
        <v>0.49480000000000002</v>
      </c>
      <c r="AU15" t="s">
        <v>394</v>
      </c>
      <c r="AV15" s="147">
        <f>AVERAGE(AV7:AV12)</f>
        <v>0.60333333333333339</v>
      </c>
      <c r="AW15" s="147">
        <f>AVERAGE(AW7:AW12)</f>
        <v>9.0000000000000011E-2</v>
      </c>
      <c r="AX15" s="147">
        <f>AVERAGE(AX7:AX12)</f>
        <v>0.19000000000000003</v>
      </c>
      <c r="AY15" s="147">
        <f>AVERAGE(AY7:AY12)</f>
        <v>3.6666666666666667E-2</v>
      </c>
      <c r="AZ15" s="147">
        <f>AVERAGE(AZ7:AZ12)</f>
        <v>0.08</v>
      </c>
    </row>
    <row r="16" spans="1:61" ht="13.5" thickBot="1" x14ac:dyDescent="0.25">
      <c r="R16" s="363" t="s">
        <v>390</v>
      </c>
      <c r="S16" s="364">
        <v>2.5299999999999998</v>
      </c>
    </row>
    <row r="17" spans="17:57" ht="13.5" thickTop="1" x14ac:dyDescent="0.2"/>
    <row r="18" spans="17:57" x14ac:dyDescent="0.2">
      <c r="AU18" t="s">
        <v>395</v>
      </c>
    </row>
    <row r="19" spans="17:57" x14ac:dyDescent="0.2">
      <c r="AV19" t="s">
        <v>396</v>
      </c>
      <c r="AW19" t="s">
        <v>397</v>
      </c>
      <c r="AX19" t="s">
        <v>398</v>
      </c>
      <c r="AY19" t="s">
        <v>399</v>
      </c>
      <c r="AZ19" t="s">
        <v>400</v>
      </c>
      <c r="BA19" t="s">
        <v>401</v>
      </c>
      <c r="BB19" t="s">
        <v>402</v>
      </c>
      <c r="BC19" t="s">
        <v>403</v>
      </c>
      <c r="BD19" t="s">
        <v>404</v>
      </c>
    </row>
    <row r="20" spans="17:57" x14ac:dyDescent="0.2">
      <c r="AV20">
        <v>106</v>
      </c>
      <c r="AW20">
        <v>433</v>
      </c>
      <c r="AX20">
        <v>6592</v>
      </c>
      <c r="AY20">
        <v>6468</v>
      </c>
      <c r="AZ20">
        <v>5096</v>
      </c>
      <c r="BA20">
        <v>674</v>
      </c>
      <c r="BB20">
        <v>384</v>
      </c>
      <c r="BC20">
        <v>240</v>
      </c>
      <c r="BD20">
        <f>SUM(AV20:BC20)</f>
        <v>19993</v>
      </c>
      <c r="BE20" t="s">
        <v>406</v>
      </c>
    </row>
    <row r="21" spans="17:57" x14ac:dyDescent="0.2">
      <c r="AV21" s="143">
        <f t="shared" ref="AV21:BC21" si="0">AV20*0.4535924</f>
        <v>48.080794400000002</v>
      </c>
      <c r="AW21" s="143">
        <f t="shared" si="0"/>
        <v>196.40550920000001</v>
      </c>
      <c r="AX21" s="143">
        <f t="shared" si="0"/>
        <v>2990.0811008000001</v>
      </c>
      <c r="AY21" s="143">
        <f t="shared" si="0"/>
        <v>2933.8356432</v>
      </c>
      <c r="AZ21" s="143">
        <f t="shared" si="0"/>
        <v>2311.5068704</v>
      </c>
      <c r="BA21" s="143">
        <f t="shared" si="0"/>
        <v>305.72127760000001</v>
      </c>
      <c r="BB21" s="143">
        <f t="shared" si="0"/>
        <v>174.1794816</v>
      </c>
      <c r="BC21" s="143">
        <f t="shared" si="0"/>
        <v>108.86217600000001</v>
      </c>
      <c r="BD21">
        <f>SUM(AV21:BC21)</f>
        <v>9068.6728532000016</v>
      </c>
      <c r="BE21" t="s">
        <v>407</v>
      </c>
    </row>
    <row r="22" spans="17:57" x14ac:dyDescent="0.2">
      <c r="AV22" s="147">
        <f>AV21/$BD$21</f>
        <v>5.301855649477316E-3</v>
      </c>
      <c r="AW22" s="147">
        <f t="shared" ref="AW22:BC22" si="1">AW21/$BD$21</f>
        <v>2.1657580153053566E-2</v>
      </c>
      <c r="AX22" s="147">
        <f t="shared" si="1"/>
        <v>0.32971540039013647</v>
      </c>
      <c r="AY22" s="147">
        <f t="shared" si="1"/>
        <v>0.3235132296303706</v>
      </c>
      <c r="AZ22" s="147">
        <f t="shared" si="1"/>
        <v>0.25488921122392832</v>
      </c>
      <c r="BA22" s="147">
        <f t="shared" si="1"/>
        <v>3.3711799129695387E-2</v>
      </c>
      <c r="BB22" s="147">
        <f t="shared" si="1"/>
        <v>1.9206722352823485E-2</v>
      </c>
      <c r="BC22" s="147">
        <f t="shared" si="1"/>
        <v>1.2004201470514678E-2</v>
      </c>
      <c r="BD22" s="149">
        <f>SUM(AV22:BC22)</f>
        <v>0.99999999999999978</v>
      </c>
    </row>
    <row r="23" spans="17:57" x14ac:dyDescent="0.2">
      <c r="Q23" t="s">
        <v>178</v>
      </c>
      <c r="AV23" s="147"/>
    </row>
    <row r="24" spans="17:57" ht="16.5" thickBot="1" x14ac:dyDescent="0.35">
      <c r="Q24" t="s">
        <v>242</v>
      </c>
      <c r="AU24" t="s">
        <v>408</v>
      </c>
    </row>
    <row r="25" spans="17:57" ht="13.5" thickTop="1" x14ac:dyDescent="0.2">
      <c r="Q25" s="43" t="s">
        <v>77</v>
      </c>
      <c r="R25" s="44" t="s">
        <v>180</v>
      </c>
      <c r="S25" s="44" t="s">
        <v>181</v>
      </c>
      <c r="T25" s="45" t="s">
        <v>182</v>
      </c>
      <c r="U25" s="37"/>
      <c r="V25" s="37"/>
      <c r="W25" s="44"/>
      <c r="X25" s="37" t="s">
        <v>183</v>
      </c>
      <c r="Y25" s="45" t="s">
        <v>184</v>
      </c>
      <c r="Z25" s="38" t="s">
        <v>185</v>
      </c>
      <c r="AV25" t="s">
        <v>396</v>
      </c>
      <c r="AW25" t="s">
        <v>397</v>
      </c>
      <c r="AX25" t="s">
        <v>398</v>
      </c>
      <c r="AY25" t="s">
        <v>399</v>
      </c>
      <c r="AZ25" t="s">
        <v>400</v>
      </c>
      <c r="BA25" t="s">
        <v>401</v>
      </c>
      <c r="BB25" t="s">
        <v>402</v>
      </c>
      <c r="BC25" t="s">
        <v>403</v>
      </c>
      <c r="BD25" t="s">
        <v>404</v>
      </c>
    </row>
    <row r="26" spans="17:57" ht="13.5" thickBot="1" x14ac:dyDescent="0.25">
      <c r="Q26" s="46" t="s">
        <v>186</v>
      </c>
      <c r="R26" s="47" t="s">
        <v>187</v>
      </c>
      <c r="S26" s="47" t="s">
        <v>187</v>
      </c>
      <c r="T26" s="47" t="s">
        <v>188</v>
      </c>
      <c r="U26" s="47" t="s">
        <v>189</v>
      </c>
      <c r="V26" s="47" t="s">
        <v>190</v>
      </c>
      <c r="W26" s="47" t="s">
        <v>189</v>
      </c>
      <c r="X26" s="47" t="s">
        <v>190</v>
      </c>
      <c r="Y26" s="47" t="s">
        <v>188</v>
      </c>
      <c r="Z26" s="35"/>
      <c r="AV26">
        <v>106</v>
      </c>
      <c r="AW26">
        <v>433</v>
      </c>
      <c r="AX26">
        <v>6592</v>
      </c>
      <c r="AY26">
        <v>6468</v>
      </c>
      <c r="AZ26">
        <v>5096</v>
      </c>
      <c r="BA26">
        <v>674</v>
      </c>
      <c r="BB26">
        <v>2768</v>
      </c>
      <c r="BC26">
        <v>550.20000000000005</v>
      </c>
      <c r="BD26">
        <f>SUM(AV26:BC26)</f>
        <v>22687.200000000001</v>
      </c>
      <c r="BE26" t="s">
        <v>406</v>
      </c>
    </row>
    <row r="27" spans="17:57" ht="13.5" thickTop="1" x14ac:dyDescent="0.2">
      <c r="Q27" s="48">
        <v>0.75</v>
      </c>
      <c r="R27" s="49">
        <v>23.3</v>
      </c>
      <c r="S27" s="49">
        <f t="shared" ref="S27:S33" si="2">0.95*R27</f>
        <v>22.134999999999998</v>
      </c>
      <c r="T27" s="50">
        <v>1851</v>
      </c>
      <c r="U27" s="51">
        <v>0.87</v>
      </c>
      <c r="V27" s="51">
        <v>1.76</v>
      </c>
      <c r="W27" s="28">
        <v>1.1000000000000001</v>
      </c>
      <c r="X27" s="28"/>
      <c r="Y27" s="52">
        <v>1725</v>
      </c>
      <c r="Z27" s="53">
        <f t="shared" ref="Z27:Z33" si="3">R27^3</f>
        <v>12649.337</v>
      </c>
      <c r="AV27" s="143">
        <f t="shared" ref="AV27:BC27" si="4">AV26*0.4535924</f>
        <v>48.080794400000002</v>
      </c>
      <c r="AW27" s="143">
        <f t="shared" si="4"/>
        <v>196.40550920000001</v>
      </c>
      <c r="AX27" s="143">
        <f t="shared" si="4"/>
        <v>2990.0811008000001</v>
      </c>
      <c r="AY27" s="143">
        <f t="shared" si="4"/>
        <v>2933.8356432</v>
      </c>
      <c r="AZ27" s="143">
        <f t="shared" si="4"/>
        <v>2311.5068704</v>
      </c>
      <c r="BA27" s="143">
        <f t="shared" si="4"/>
        <v>305.72127760000001</v>
      </c>
      <c r="BB27" s="143">
        <f t="shared" si="4"/>
        <v>1255.5437632000001</v>
      </c>
      <c r="BC27" s="143">
        <f t="shared" si="4"/>
        <v>249.56653848000002</v>
      </c>
      <c r="BD27">
        <f>SUM(AV27:BC27)</f>
        <v>10290.74149728</v>
      </c>
      <c r="BE27" t="s">
        <v>407</v>
      </c>
    </row>
    <row r="28" spans="17:57" x14ac:dyDescent="0.2">
      <c r="Q28" s="54">
        <v>1.5</v>
      </c>
      <c r="R28" s="55">
        <v>32.9</v>
      </c>
      <c r="S28" s="55">
        <f t="shared" si="2"/>
        <v>31.254999999999995</v>
      </c>
      <c r="T28" s="56">
        <v>5017</v>
      </c>
      <c r="U28" s="57">
        <v>1.18</v>
      </c>
      <c r="V28" s="57">
        <v>1.39</v>
      </c>
      <c r="W28" s="31">
        <v>1.5</v>
      </c>
      <c r="X28" s="31"/>
      <c r="Y28" s="58">
        <v>4651</v>
      </c>
      <c r="Z28" s="59">
        <f t="shared" si="3"/>
        <v>35611.288999999997</v>
      </c>
      <c r="AV28" s="147">
        <f t="shared" ref="AV28:BC28" si="5">AV27/$BD$27</f>
        <v>4.6722380902006417E-3</v>
      </c>
      <c r="AW28" s="147">
        <f t="shared" si="5"/>
        <v>1.9085651821291301E-2</v>
      </c>
      <c r="AX28" s="147">
        <f t="shared" si="5"/>
        <v>0.29056031594908144</v>
      </c>
      <c r="AY28" s="147">
        <f t="shared" si="5"/>
        <v>0.2850946789379033</v>
      </c>
      <c r="AZ28" s="147">
        <f t="shared" si="5"/>
        <v>0.22462005007228747</v>
      </c>
      <c r="BA28" s="147">
        <f t="shared" si="5"/>
        <v>2.9708381818822949E-2</v>
      </c>
      <c r="BB28" s="147">
        <f t="shared" si="5"/>
        <v>0.12200712295920167</v>
      </c>
      <c r="BC28" s="147">
        <f t="shared" si="5"/>
        <v>2.425156035121126E-2</v>
      </c>
      <c r="BD28" s="147">
        <f>SUM(AV28:BC28)</f>
        <v>1</v>
      </c>
    </row>
    <row r="29" spans="17:57" x14ac:dyDescent="0.2">
      <c r="Q29" s="54">
        <v>2</v>
      </c>
      <c r="R29" s="55">
        <v>38</v>
      </c>
      <c r="S29" s="55">
        <f t="shared" si="2"/>
        <v>36.1</v>
      </c>
      <c r="T29" s="56">
        <v>7597</v>
      </c>
      <c r="U29" s="57">
        <v>1.34</v>
      </c>
      <c r="V29" s="57">
        <v>1.26</v>
      </c>
      <c r="W29" s="31">
        <v>1.71</v>
      </c>
      <c r="X29" s="31"/>
      <c r="Y29" s="58">
        <v>7029</v>
      </c>
      <c r="Z29" s="59">
        <f t="shared" si="3"/>
        <v>54872</v>
      </c>
    </row>
    <row r="30" spans="17:57" x14ac:dyDescent="0.2">
      <c r="Q30" s="54">
        <v>2.2999999999999998</v>
      </c>
      <c r="R30" s="55">
        <v>40.799999999999997</v>
      </c>
      <c r="S30" s="55">
        <f t="shared" si="2"/>
        <v>38.76</v>
      </c>
      <c r="T30" s="56">
        <v>9284</v>
      </c>
      <c r="U30" s="57">
        <v>1.43</v>
      </c>
      <c r="V30" s="57">
        <v>1.2</v>
      </c>
      <c r="W30" s="31">
        <v>1.82</v>
      </c>
      <c r="X30" s="31"/>
      <c r="Y30" s="58">
        <v>8580</v>
      </c>
      <c r="Z30" s="59">
        <f t="shared" si="3"/>
        <v>67917.311999999991</v>
      </c>
      <c r="AV30" t="s">
        <v>409</v>
      </c>
      <c r="AW30" t="s">
        <v>410</v>
      </c>
      <c r="AX30" t="s">
        <v>411</v>
      </c>
      <c r="AY30" t="s">
        <v>412</v>
      </c>
      <c r="BA30" t="s">
        <v>413</v>
      </c>
      <c r="BB30" t="s">
        <v>414</v>
      </c>
    </row>
    <row r="31" spans="17:57" x14ac:dyDescent="0.2">
      <c r="Q31" s="54">
        <v>3</v>
      </c>
      <c r="R31" s="55">
        <v>46.6</v>
      </c>
      <c r="S31" s="55">
        <f t="shared" si="2"/>
        <v>44.269999999999996</v>
      </c>
      <c r="T31" s="56">
        <v>13629</v>
      </c>
      <c r="U31" s="57">
        <v>1.61</v>
      </c>
      <c r="V31" s="57">
        <v>1.08</v>
      </c>
      <c r="W31" s="31">
        <v>2.0499999999999998</v>
      </c>
      <c r="X31" s="31"/>
      <c r="Y31" s="58">
        <v>12571</v>
      </c>
      <c r="Z31" s="59">
        <f t="shared" si="3"/>
        <v>101194.696</v>
      </c>
      <c r="AU31" t="s">
        <v>221</v>
      </c>
      <c r="AV31" s="149">
        <f>AV15</f>
        <v>0.60333333333333339</v>
      </c>
      <c r="AW31" s="149">
        <f>AX28+AY28</f>
        <v>0.57565499488698468</v>
      </c>
      <c r="AX31" s="149">
        <f>AX22+AY22</f>
        <v>0.65322863002050702</v>
      </c>
      <c r="AY31" s="149">
        <f>AVERAGE(AW31:AX31)</f>
        <v>0.61444181245374585</v>
      </c>
    </row>
    <row r="32" spans="17:57" x14ac:dyDescent="0.2">
      <c r="Q32" s="54">
        <v>4</v>
      </c>
      <c r="R32" s="55">
        <v>53.8</v>
      </c>
      <c r="S32" s="55">
        <f t="shared" si="2"/>
        <v>51.109999999999992</v>
      </c>
      <c r="T32" s="56">
        <v>20685</v>
      </c>
      <c r="U32" s="57">
        <v>1.83</v>
      </c>
      <c r="V32" s="56">
        <v>0.97</v>
      </c>
      <c r="W32" s="31">
        <v>2.34</v>
      </c>
      <c r="X32" s="31"/>
      <c r="Y32" s="58">
        <v>19057</v>
      </c>
      <c r="Z32" s="59">
        <f t="shared" si="3"/>
        <v>155720.87199999997</v>
      </c>
      <c r="AU32" t="s">
        <v>385</v>
      </c>
      <c r="AV32" s="149">
        <f>AW15</f>
        <v>9.0000000000000011E-2</v>
      </c>
      <c r="AW32" s="149">
        <f>AV28+AW28+AZ28</f>
        <v>0.24837793998377941</v>
      </c>
      <c r="AX32" s="149">
        <f>AV22+AW22+AZ22</f>
        <v>0.28184864702645923</v>
      </c>
      <c r="AY32" s="149">
        <f>AVERAGE(AW32:AX32)</f>
        <v>0.26511329350511931</v>
      </c>
    </row>
    <row r="33" spans="17:58" ht="13.5" thickBot="1" x14ac:dyDescent="0.25">
      <c r="Q33" s="62">
        <v>5</v>
      </c>
      <c r="R33" s="63">
        <v>60.2</v>
      </c>
      <c r="S33" s="63">
        <f t="shared" si="2"/>
        <v>57.19</v>
      </c>
      <c r="T33" s="47">
        <v>28626</v>
      </c>
      <c r="U33" s="64">
        <v>2.02</v>
      </c>
      <c r="V33" s="47">
        <v>0.89</v>
      </c>
      <c r="W33" s="34">
        <v>2.59</v>
      </c>
      <c r="X33" s="34"/>
      <c r="Y33" s="65">
        <v>26334</v>
      </c>
      <c r="Z33" s="66">
        <f t="shared" si="3"/>
        <v>218167.20800000004</v>
      </c>
      <c r="AU33" t="s">
        <v>426</v>
      </c>
      <c r="AV33" s="149">
        <f>AX15+AY15</f>
        <v>0.22666666666666668</v>
      </c>
      <c r="AW33" s="149">
        <f>BA28</f>
        <v>2.9708381818822949E-2</v>
      </c>
      <c r="AX33" s="149">
        <f>BA22</f>
        <v>3.3711799129695387E-2</v>
      </c>
      <c r="AY33" s="149">
        <f>AVERAGE(AW33:AX33)</f>
        <v>3.171009047425917E-2</v>
      </c>
    </row>
    <row r="34" spans="17:58" ht="13.5" thickTop="1" x14ac:dyDescent="0.2">
      <c r="AB34" s="67"/>
      <c r="AU34" t="s">
        <v>388</v>
      </c>
      <c r="AV34" s="149">
        <f>AZ15</f>
        <v>0.08</v>
      </c>
      <c r="AW34" s="149">
        <f>BB28+BC28</f>
        <v>0.14625868331041292</v>
      </c>
      <c r="AX34" s="149">
        <f>BB22+BC22</f>
        <v>3.1210923823338163E-2</v>
      </c>
      <c r="AY34" s="149">
        <f>AVERAGE(AW34:AX34)</f>
        <v>8.8734803566875547E-2</v>
      </c>
    </row>
    <row r="35" spans="17:58" ht="13.5" thickBot="1" x14ac:dyDescent="0.25">
      <c r="Q35" t="s">
        <v>178</v>
      </c>
      <c r="R35" s="68"/>
      <c r="S35" s="68"/>
      <c r="T35" s="68"/>
      <c r="U35" s="68"/>
      <c r="V35" s="69"/>
    </row>
    <row r="36" spans="17:58" ht="13.5" thickTop="1" x14ac:dyDescent="0.2">
      <c r="Q36" s="43" t="s">
        <v>181</v>
      </c>
      <c r="R36" s="44" t="s">
        <v>180</v>
      </c>
      <c r="S36" s="44" t="s">
        <v>77</v>
      </c>
      <c r="T36" s="44" t="s">
        <v>193</v>
      </c>
      <c r="U36" s="44" t="s">
        <v>194</v>
      </c>
      <c r="V36" s="70" t="s">
        <v>185</v>
      </c>
    </row>
    <row r="37" spans="17:58" ht="13.5" thickBot="1" x14ac:dyDescent="0.25">
      <c r="Q37" s="46" t="s">
        <v>187</v>
      </c>
      <c r="R37" s="47" t="s">
        <v>187</v>
      </c>
      <c r="S37" s="47" t="s">
        <v>186</v>
      </c>
      <c r="T37" s="47" t="s">
        <v>195</v>
      </c>
      <c r="U37" s="47" t="s">
        <v>66</v>
      </c>
      <c r="V37" s="35"/>
      <c r="AU37" t="s">
        <v>427</v>
      </c>
    </row>
    <row r="38" spans="17:58" ht="13.5" thickTop="1" x14ac:dyDescent="0.2">
      <c r="Q38" s="71">
        <v>21</v>
      </c>
      <c r="R38" s="49">
        <f>Q38/0.95</f>
        <v>22.105263157894736</v>
      </c>
      <c r="S38" s="72">
        <f t="shared" ref="S38:S48" si="6">0.44*3.14*R38^2</f>
        <v>675.10869806094183</v>
      </c>
      <c r="T38" s="50">
        <v>2100</v>
      </c>
      <c r="U38" s="50" t="s">
        <v>196</v>
      </c>
      <c r="V38" s="53">
        <f t="shared" ref="V38:V53" si="7">R38^3</f>
        <v>10801.574573552994</v>
      </c>
      <c r="AV38" t="s">
        <v>396</v>
      </c>
      <c r="AW38" t="s">
        <v>397</v>
      </c>
      <c r="AX38" t="s">
        <v>398</v>
      </c>
      <c r="AY38" t="s">
        <v>430</v>
      </c>
      <c r="AZ38" t="s">
        <v>431</v>
      </c>
      <c r="BA38" t="s">
        <v>400</v>
      </c>
      <c r="BB38" t="s">
        <v>401</v>
      </c>
      <c r="BC38" t="s">
        <v>402</v>
      </c>
      <c r="BD38" t="s">
        <v>403</v>
      </c>
      <c r="BE38" t="s">
        <v>404</v>
      </c>
    </row>
    <row r="39" spans="17:58" x14ac:dyDescent="0.2">
      <c r="Q39" s="73">
        <v>21.5</v>
      </c>
      <c r="R39" s="55">
        <f>Q39/0.95</f>
        <v>22.631578947368421</v>
      </c>
      <c r="S39" s="74">
        <f t="shared" si="6"/>
        <v>707.63944598337957</v>
      </c>
      <c r="T39" s="56">
        <v>2650</v>
      </c>
      <c r="U39" s="56" t="s">
        <v>196</v>
      </c>
      <c r="V39" s="59">
        <f t="shared" si="7"/>
        <v>11591.631433153521</v>
      </c>
      <c r="AV39">
        <v>107</v>
      </c>
      <c r="AW39">
        <v>435</v>
      </c>
      <c r="AX39">
        <v>6634</v>
      </c>
      <c r="AY39">
        <v>1802</v>
      </c>
      <c r="AZ39">
        <v>3076</v>
      </c>
      <c r="BA39">
        <v>2768</v>
      </c>
      <c r="BB39">
        <v>680</v>
      </c>
      <c r="BC39">
        <v>550.20000000000005</v>
      </c>
      <c r="BD39">
        <v>240</v>
      </c>
      <c r="BE39">
        <f>SUM(AV39:BD39)</f>
        <v>16292.2</v>
      </c>
      <c r="BF39" t="s">
        <v>406</v>
      </c>
    </row>
    <row r="40" spans="17:58" x14ac:dyDescent="0.2">
      <c r="Q40" s="73">
        <v>22.1</v>
      </c>
      <c r="R40" s="55">
        <f>Q40/0.95</f>
        <v>23.263157894736846</v>
      </c>
      <c r="S40" s="74">
        <f t="shared" si="6"/>
        <v>747.68671024930779</v>
      </c>
      <c r="T40" s="56">
        <v>1600</v>
      </c>
      <c r="U40" s="56" t="s">
        <v>196</v>
      </c>
      <c r="V40" s="59">
        <f t="shared" si="7"/>
        <v>12589.428196530111</v>
      </c>
      <c r="AV40" s="143">
        <f t="shared" ref="AV40:BD40" si="8">AV39*0.4535924</f>
        <v>48.5343868</v>
      </c>
      <c r="AW40" s="143">
        <f t="shared" si="8"/>
        <v>197.31269399999999</v>
      </c>
      <c r="AX40" s="143">
        <f t="shared" si="8"/>
        <v>3009.1319816</v>
      </c>
      <c r="AY40" s="143">
        <f t="shared" si="8"/>
        <v>817.37350479999998</v>
      </c>
      <c r="AZ40" s="143">
        <f t="shared" si="8"/>
        <v>1395.2502224</v>
      </c>
      <c r="BA40" s="143">
        <f t="shared" si="8"/>
        <v>1255.5437632000001</v>
      </c>
      <c r="BB40" s="143">
        <f t="shared" si="8"/>
        <v>308.44283200000001</v>
      </c>
      <c r="BC40" s="143">
        <f t="shared" si="8"/>
        <v>249.56653848000002</v>
      </c>
      <c r="BD40" s="143">
        <f t="shared" si="8"/>
        <v>108.86217600000001</v>
      </c>
      <c r="BE40">
        <f>SUM(AV40:BD40)</f>
        <v>7390.0180992799997</v>
      </c>
      <c r="BF40" t="s">
        <v>407</v>
      </c>
    </row>
    <row r="41" spans="17:58" x14ac:dyDescent="0.2">
      <c r="Q41" s="73">
        <f>0.95*R41</f>
        <v>22.324999999999999</v>
      </c>
      <c r="R41" s="56">
        <v>23.5</v>
      </c>
      <c r="S41" s="74">
        <f t="shared" si="6"/>
        <v>762.98860000000013</v>
      </c>
      <c r="T41" s="56">
        <v>1450</v>
      </c>
      <c r="U41" s="56" t="s">
        <v>198</v>
      </c>
      <c r="V41" s="59">
        <f t="shared" si="7"/>
        <v>12977.875</v>
      </c>
      <c r="AV41" s="147">
        <f>AV40/$BE$40</f>
        <v>6.5675599366568057E-3</v>
      </c>
      <c r="AW41" s="147">
        <f t="shared" ref="AW41:BD41" si="9">AW40/$BE$40</f>
        <v>2.6699893200427198E-2</v>
      </c>
      <c r="AX41" s="147">
        <f t="shared" si="9"/>
        <v>0.40718871607272195</v>
      </c>
      <c r="AY41" s="147">
        <f t="shared" si="9"/>
        <v>0.11060507482108003</v>
      </c>
      <c r="AZ41" s="147">
        <f t="shared" si="9"/>
        <v>0.188802003412676</v>
      </c>
      <c r="BA41" s="147">
        <f t="shared" si="9"/>
        <v>0.16989725144547699</v>
      </c>
      <c r="BB41" s="147">
        <f t="shared" si="9"/>
        <v>4.1737764083426429E-2</v>
      </c>
      <c r="BC41" s="147">
        <f t="shared" si="9"/>
        <v>3.3770761468678266E-2</v>
      </c>
      <c r="BD41" s="147">
        <f t="shared" si="9"/>
        <v>1.4730975558856387E-2</v>
      </c>
      <c r="BE41" s="147">
        <f>SUM(AV41:BD41)</f>
        <v>1.0000000000000002</v>
      </c>
    </row>
    <row r="42" spans="17:58" x14ac:dyDescent="0.2">
      <c r="Q42" s="73">
        <v>23.3</v>
      </c>
      <c r="R42" s="55">
        <f>Q42/0.95</f>
        <v>24.526315789473685</v>
      </c>
      <c r="S42" s="74">
        <f t="shared" si="6"/>
        <v>831.08789362880907</v>
      </c>
      <c r="T42" s="56">
        <v>2800</v>
      </c>
      <c r="U42" s="56" t="s">
        <v>196</v>
      </c>
      <c r="V42" s="59">
        <f t="shared" si="7"/>
        <v>14753.564076395978</v>
      </c>
    </row>
    <row r="43" spans="17:58" x14ac:dyDescent="0.2">
      <c r="Q43" s="73">
        <f>0.95*R43</f>
        <v>23.75</v>
      </c>
      <c r="R43" s="55">
        <v>25</v>
      </c>
      <c r="S43" s="74">
        <f t="shared" si="6"/>
        <v>863.50000000000011</v>
      </c>
      <c r="T43" s="56">
        <v>3540</v>
      </c>
      <c r="U43" s="56" t="s">
        <v>210</v>
      </c>
      <c r="V43" s="59">
        <f t="shared" si="7"/>
        <v>15625</v>
      </c>
      <c r="AU43" t="s">
        <v>437</v>
      </c>
    </row>
    <row r="44" spans="17:58" x14ac:dyDescent="0.2">
      <c r="Q44" s="73">
        <v>24.1</v>
      </c>
      <c r="R44" s="55">
        <f>Q44/0.95</f>
        <v>25.368421052631582</v>
      </c>
      <c r="S44" s="74">
        <f t="shared" si="6"/>
        <v>889.13805650969562</v>
      </c>
      <c r="T44" s="56">
        <v>2400</v>
      </c>
      <c r="U44" s="56" t="s">
        <v>196</v>
      </c>
      <c r="V44" s="59">
        <f t="shared" si="7"/>
        <v>16326.01953637557</v>
      </c>
      <c r="AV44" t="s">
        <v>396</v>
      </c>
      <c r="AW44" t="s">
        <v>397</v>
      </c>
      <c r="AX44" t="s">
        <v>398</v>
      </c>
      <c r="AY44" t="s">
        <v>430</v>
      </c>
      <c r="AZ44" t="s">
        <v>431</v>
      </c>
      <c r="BA44" t="s">
        <v>400</v>
      </c>
      <c r="BB44" t="s">
        <v>401</v>
      </c>
      <c r="BC44" t="s">
        <v>402</v>
      </c>
      <c r="BD44" t="s">
        <v>403</v>
      </c>
      <c r="BE44" t="s">
        <v>404</v>
      </c>
    </row>
    <row r="45" spans="17:58" x14ac:dyDescent="0.2">
      <c r="Q45" s="73">
        <v>24.1</v>
      </c>
      <c r="R45" s="55">
        <f>Q45/0.95</f>
        <v>25.368421052631582</v>
      </c>
      <c r="S45" s="74">
        <f t="shared" si="6"/>
        <v>889.13805650969562</v>
      </c>
      <c r="T45" s="56">
        <v>2600</v>
      </c>
      <c r="U45" s="56" t="s">
        <v>196</v>
      </c>
      <c r="V45" s="59">
        <f t="shared" si="7"/>
        <v>16326.01953637557</v>
      </c>
      <c r="AV45">
        <v>107</v>
      </c>
      <c r="AW45">
        <v>435</v>
      </c>
      <c r="AX45">
        <v>6634</v>
      </c>
      <c r="AY45">
        <v>1802</v>
      </c>
      <c r="AZ45">
        <v>3076</v>
      </c>
      <c r="BA45">
        <v>4695</v>
      </c>
      <c r="BB45">
        <v>680</v>
      </c>
      <c r="BC45">
        <v>384</v>
      </c>
      <c r="BD45">
        <v>240</v>
      </c>
      <c r="BE45">
        <f>SUM(AV45:BD45)</f>
        <v>18053</v>
      </c>
      <c r="BF45" t="s">
        <v>406</v>
      </c>
    </row>
    <row r="46" spans="17:58" x14ac:dyDescent="0.2">
      <c r="Q46" s="73">
        <v>26.1</v>
      </c>
      <c r="R46" s="55">
        <f>Q46/0.95</f>
        <v>27.473684210526319</v>
      </c>
      <c r="S46" s="74">
        <f t="shared" si="6"/>
        <v>1042.8362725761776</v>
      </c>
      <c r="T46" s="56">
        <v>4000</v>
      </c>
      <c r="U46" s="56" t="s">
        <v>196</v>
      </c>
      <c r="V46" s="59">
        <f t="shared" si="7"/>
        <v>20737.228167371344</v>
      </c>
      <c r="AV46" s="143">
        <f t="shared" ref="AV46:BA46" si="10">AV45*0.4535924</f>
        <v>48.5343868</v>
      </c>
      <c r="AW46" s="143">
        <f t="shared" si="10"/>
        <v>197.31269399999999</v>
      </c>
      <c r="AX46" s="143">
        <f t="shared" si="10"/>
        <v>3009.1319816</v>
      </c>
      <c r="AY46" s="143">
        <f t="shared" si="10"/>
        <v>817.37350479999998</v>
      </c>
      <c r="AZ46" s="143">
        <f t="shared" si="10"/>
        <v>1395.2502224</v>
      </c>
      <c r="BA46" s="143">
        <f t="shared" si="10"/>
        <v>2129.6163179999999</v>
      </c>
      <c r="BB46" s="143">
        <f>BB45*0.4535924</f>
        <v>308.44283200000001</v>
      </c>
      <c r="BC46" s="143">
        <f>BC45*0.4535924</f>
        <v>174.1794816</v>
      </c>
      <c r="BD46" s="143">
        <f>BD45*0.4535924</f>
        <v>108.86217600000001</v>
      </c>
      <c r="BE46">
        <f>SUM(AV46:BD46)</f>
        <v>8188.7035971999994</v>
      </c>
      <c r="BF46" t="s">
        <v>407</v>
      </c>
    </row>
    <row r="47" spans="17:58" x14ac:dyDescent="0.2">
      <c r="Q47" s="73">
        <f>0.95*R47</f>
        <v>31.349999999999998</v>
      </c>
      <c r="R47" s="55">
        <v>33</v>
      </c>
      <c r="S47" s="74">
        <f t="shared" si="6"/>
        <v>1504.5624000000003</v>
      </c>
      <c r="T47" s="56">
        <v>3850</v>
      </c>
      <c r="U47" s="56" t="s">
        <v>211</v>
      </c>
      <c r="V47" s="59">
        <f t="shared" si="7"/>
        <v>35937</v>
      </c>
      <c r="AV47" s="147">
        <f t="shared" ref="AV47:BD47" si="11">AV46/$BE$46</f>
        <v>5.9269927435883236E-3</v>
      </c>
      <c r="AW47" s="147">
        <f t="shared" si="11"/>
        <v>2.4095718163186175E-2</v>
      </c>
      <c r="AX47" s="147">
        <f t="shared" si="11"/>
        <v>0.36747355010247607</v>
      </c>
      <c r="AY47" s="147">
        <f t="shared" si="11"/>
        <v>9.9817204896693074E-2</v>
      </c>
      <c r="AZ47" s="147">
        <f t="shared" si="11"/>
        <v>0.17038719326427743</v>
      </c>
      <c r="BA47" s="147">
        <f t="shared" si="11"/>
        <v>0.26006757879576803</v>
      </c>
      <c r="BB47" s="147">
        <f t="shared" si="11"/>
        <v>3.7666869772337012E-2</v>
      </c>
      <c r="BC47" s="147">
        <f t="shared" si="11"/>
        <v>2.1270702930260902E-2</v>
      </c>
      <c r="BD47" s="147">
        <f t="shared" si="11"/>
        <v>1.3294189331413063E-2</v>
      </c>
      <c r="BE47" s="149">
        <f>SUM(AV47:BD47)</f>
        <v>1</v>
      </c>
    </row>
    <row r="48" spans="17:58" x14ac:dyDescent="0.2">
      <c r="Q48" s="73">
        <f>0.95*R48</f>
        <v>33.25</v>
      </c>
      <c r="R48" s="55">
        <v>35</v>
      </c>
      <c r="S48" s="74">
        <f t="shared" si="6"/>
        <v>1692.4600000000003</v>
      </c>
      <c r="T48" s="56">
        <v>5600</v>
      </c>
      <c r="U48" s="56" t="s">
        <v>212</v>
      </c>
      <c r="V48" s="59">
        <f t="shared" si="7"/>
        <v>42875</v>
      </c>
    </row>
    <row r="49" spans="1:24" x14ac:dyDescent="0.2">
      <c r="Q49" s="73">
        <v>36.799999999999997</v>
      </c>
      <c r="R49" s="55">
        <v>35</v>
      </c>
      <c r="S49" s="74">
        <v>1500</v>
      </c>
      <c r="T49" s="56">
        <v>6800</v>
      </c>
      <c r="U49" s="56" t="s">
        <v>196</v>
      </c>
      <c r="V49" s="59">
        <f t="shared" si="7"/>
        <v>42875</v>
      </c>
    </row>
    <row r="50" spans="1:24" x14ac:dyDescent="0.2">
      <c r="Q50" s="73">
        <v>33.799999999999997</v>
      </c>
      <c r="R50" s="55">
        <f>Q50/0.95</f>
        <v>35.578947368421048</v>
      </c>
      <c r="S50" s="74">
        <f>0.44*3.14*R50^2</f>
        <v>1748.9142426592796</v>
      </c>
      <c r="T50" s="56">
        <v>7800</v>
      </c>
      <c r="U50" s="56" t="s">
        <v>196</v>
      </c>
      <c r="V50" s="59">
        <f t="shared" si="7"/>
        <v>45038.019536375548</v>
      </c>
    </row>
    <row r="51" spans="1:24" x14ac:dyDescent="0.2">
      <c r="Q51" s="73">
        <v>34</v>
      </c>
      <c r="R51" s="55">
        <f>Q51/0.95</f>
        <v>35.789473684210527</v>
      </c>
      <c r="S51" s="74">
        <f>0.44*3.14*R51^2</f>
        <v>1769.6726869806096</v>
      </c>
      <c r="T51" s="56">
        <v>5600</v>
      </c>
      <c r="U51" s="56" t="s">
        <v>196</v>
      </c>
      <c r="V51" s="59">
        <f t="shared" si="7"/>
        <v>45842.251057005393</v>
      </c>
    </row>
    <row r="52" spans="1:24" x14ac:dyDescent="0.2">
      <c r="Q52" s="73">
        <v>37.299999999999997</v>
      </c>
      <c r="R52" s="55">
        <f>Q52/0.95</f>
        <v>39.263157894736842</v>
      </c>
      <c r="S52" s="74">
        <f>0.44*3.14*R52^2</f>
        <v>2129.8684365650975</v>
      </c>
      <c r="T52" s="56">
        <v>6035</v>
      </c>
      <c r="U52" s="56" t="s">
        <v>196</v>
      </c>
      <c r="V52" s="59">
        <f t="shared" si="7"/>
        <v>60527.910190989947</v>
      </c>
    </row>
    <row r="53" spans="1:24" ht="13.5" thickBot="1" x14ac:dyDescent="0.25">
      <c r="A53" s="21" t="s">
        <v>405</v>
      </c>
      <c r="Q53" s="94">
        <v>38.799999999999997</v>
      </c>
      <c r="R53" s="63">
        <f>Q53/0.95</f>
        <v>40.84210526315789</v>
      </c>
      <c r="S53" s="95">
        <f>0.44*3.14*R53^2</f>
        <v>2304.6159601108029</v>
      </c>
      <c r="T53" s="47">
        <v>8500</v>
      </c>
      <c r="U53" s="47" t="s">
        <v>196</v>
      </c>
      <c r="V53" s="66">
        <f t="shared" si="7"/>
        <v>68127.799387665815</v>
      </c>
    </row>
    <row r="54" spans="1:24" ht="13.5" thickTop="1" x14ac:dyDescent="0.2"/>
    <row r="55" spans="1:24" ht="13.5" thickBot="1" x14ac:dyDescent="0.25">
      <c r="A55" t="s">
        <v>197</v>
      </c>
      <c r="Q55" s="39" t="s">
        <v>213</v>
      </c>
      <c r="R55" s="39"/>
      <c r="S55" s="39"/>
      <c r="T55" s="39"/>
      <c r="U55" s="39"/>
      <c r="V55" s="39"/>
      <c r="W55" s="96"/>
      <c r="X55" s="96"/>
    </row>
    <row r="56" spans="1:24" ht="14.25" thickTop="1" thickBot="1" x14ac:dyDescent="0.25">
      <c r="A56" s="75" t="s">
        <v>199</v>
      </c>
      <c r="B56" s="40" t="s">
        <v>200</v>
      </c>
      <c r="C56" s="40" t="s">
        <v>201</v>
      </c>
      <c r="D56" s="40" t="s">
        <v>202</v>
      </c>
      <c r="E56" s="40" t="s">
        <v>203</v>
      </c>
      <c r="F56" s="40" t="s">
        <v>204</v>
      </c>
      <c r="G56" s="40" t="s">
        <v>37</v>
      </c>
      <c r="H56" s="40" t="s">
        <v>14</v>
      </c>
      <c r="I56" s="40" t="s">
        <v>205</v>
      </c>
      <c r="J56" s="40" t="s">
        <v>206</v>
      </c>
      <c r="K56" s="40" t="s">
        <v>207</v>
      </c>
      <c r="L56" s="40" t="s">
        <v>208</v>
      </c>
      <c r="M56" s="76" t="s">
        <v>209</v>
      </c>
      <c r="Q56" s="43" t="s">
        <v>181</v>
      </c>
      <c r="R56" s="44" t="s">
        <v>214</v>
      </c>
      <c r="S56" s="44" t="s">
        <v>180</v>
      </c>
      <c r="T56" s="97" t="s">
        <v>185</v>
      </c>
      <c r="U56" s="44" t="s">
        <v>77</v>
      </c>
      <c r="V56" s="44" t="s">
        <v>193</v>
      </c>
      <c r="W56" s="44" t="s">
        <v>194</v>
      </c>
      <c r="X56" s="38"/>
    </row>
    <row r="57" spans="1:24" ht="14.25" thickTop="1" thickBot="1" x14ac:dyDescent="0.25">
      <c r="A57" s="27">
        <v>32</v>
      </c>
      <c r="B57" s="28">
        <v>30</v>
      </c>
      <c r="C57" s="77">
        <v>0.30680000000000002</v>
      </c>
      <c r="D57" s="77">
        <v>0.36780000000000002</v>
      </c>
      <c r="E57" s="77">
        <v>0.21579999999999999</v>
      </c>
      <c r="F57" s="77">
        <v>4.2799999999999998E-2</v>
      </c>
      <c r="G57" s="77">
        <v>6.6799999999999998E-2</v>
      </c>
      <c r="H57" s="78">
        <v>1.4</v>
      </c>
      <c r="I57" s="79">
        <v>4108</v>
      </c>
      <c r="J57" s="80">
        <v>12241</v>
      </c>
      <c r="K57" s="80">
        <v>85000</v>
      </c>
      <c r="L57" s="81">
        <v>9.8000000000000007</v>
      </c>
      <c r="M57" s="82">
        <f>J57/C57</f>
        <v>39898.95697522816</v>
      </c>
      <c r="Q57" s="46" t="s">
        <v>187</v>
      </c>
      <c r="R57" s="47" t="s">
        <v>187</v>
      </c>
      <c r="S57" s="47" t="s">
        <v>187</v>
      </c>
      <c r="T57" s="34"/>
      <c r="U57" s="47" t="s">
        <v>186</v>
      </c>
      <c r="V57" s="47" t="s">
        <v>195</v>
      </c>
      <c r="W57" s="47" t="s">
        <v>66</v>
      </c>
      <c r="X57" s="35"/>
    </row>
    <row r="58" spans="1:24" ht="13.5" thickTop="1" x14ac:dyDescent="0.2">
      <c r="A58" s="30">
        <v>52</v>
      </c>
      <c r="B58" s="31">
        <v>50</v>
      </c>
      <c r="C58" s="83">
        <v>0.35880000000000001</v>
      </c>
      <c r="D58" s="83">
        <v>0.31080000000000002</v>
      </c>
      <c r="E58" s="83">
        <v>0.21379999999999999</v>
      </c>
      <c r="F58" s="83">
        <v>4.7800000000000002E-2</v>
      </c>
      <c r="G58" s="83">
        <v>6.88E-2</v>
      </c>
      <c r="H58" s="84">
        <v>4</v>
      </c>
      <c r="I58" s="85">
        <v>18856</v>
      </c>
      <c r="J58" s="86">
        <v>55523</v>
      </c>
      <c r="K58" s="86">
        <v>115000</v>
      </c>
      <c r="L58" s="87">
        <v>8.1999999999999993</v>
      </c>
      <c r="M58" s="82">
        <f>J58/C58</f>
        <v>154746.37681159421</v>
      </c>
      <c r="Q58" s="27">
        <v>38.799999999999997</v>
      </c>
      <c r="R58" s="28">
        <v>80</v>
      </c>
      <c r="S58" s="28">
        <f t="shared" ref="S58:S63" si="12">R58/2</f>
        <v>40</v>
      </c>
      <c r="T58" s="28">
        <f t="shared" ref="T58:T63" si="13">S58^3</f>
        <v>64000</v>
      </c>
      <c r="U58" s="28">
        <v>2500</v>
      </c>
      <c r="V58" s="28">
        <v>8700</v>
      </c>
      <c r="W58" s="28" t="s">
        <v>196</v>
      </c>
      <c r="X58" s="29"/>
    </row>
    <row r="59" spans="1:24" ht="13.5" thickBot="1" x14ac:dyDescent="0.25">
      <c r="A59" s="33">
        <v>72</v>
      </c>
      <c r="B59" s="34">
        <v>70</v>
      </c>
      <c r="C59" s="88">
        <v>0.379</v>
      </c>
      <c r="D59" s="88">
        <v>0.28499999999999998</v>
      </c>
      <c r="E59" s="88">
        <v>0.21199999999999999</v>
      </c>
      <c r="F59" s="88">
        <v>5.6000000000000001E-2</v>
      </c>
      <c r="G59" s="88">
        <v>6.8000000000000005E-2</v>
      </c>
      <c r="H59" s="89">
        <v>7.6</v>
      </c>
      <c r="I59" s="90">
        <v>50238</v>
      </c>
      <c r="J59" s="91">
        <v>149079</v>
      </c>
      <c r="K59" s="91">
        <v>155000</v>
      </c>
      <c r="L59" s="92">
        <v>7.9</v>
      </c>
      <c r="M59" s="93">
        <f>J59/C59</f>
        <v>393348.28496042214</v>
      </c>
      <c r="Q59" s="30">
        <v>43.8</v>
      </c>
      <c r="R59" s="31">
        <v>90</v>
      </c>
      <c r="S59" s="31">
        <f t="shared" si="12"/>
        <v>45</v>
      </c>
      <c r="T59" s="31">
        <f t="shared" si="13"/>
        <v>91125</v>
      </c>
      <c r="U59" s="31">
        <v>2300</v>
      </c>
      <c r="V59" s="31">
        <v>10400</v>
      </c>
      <c r="W59" s="31" t="s">
        <v>196</v>
      </c>
      <c r="X59" s="32" t="s">
        <v>451</v>
      </c>
    </row>
    <row r="60" spans="1:24" ht="13.5" thickTop="1" x14ac:dyDescent="0.2">
      <c r="Q60" s="30">
        <v>44.8</v>
      </c>
      <c r="R60" s="31">
        <v>92</v>
      </c>
      <c r="S60" s="31">
        <f t="shared" si="12"/>
        <v>46</v>
      </c>
      <c r="T60" s="31">
        <f t="shared" si="13"/>
        <v>97336</v>
      </c>
      <c r="U60" s="31">
        <v>2750</v>
      </c>
      <c r="V60" s="31">
        <v>9980</v>
      </c>
      <c r="W60" s="31" t="s">
        <v>196</v>
      </c>
      <c r="X60" s="32" t="s">
        <v>452</v>
      </c>
    </row>
    <row r="61" spans="1:24" x14ac:dyDescent="0.2">
      <c r="Q61" s="30">
        <v>48.3</v>
      </c>
      <c r="R61" s="31">
        <v>100</v>
      </c>
      <c r="S61" s="31">
        <f t="shared" si="12"/>
        <v>50</v>
      </c>
      <c r="T61" s="31">
        <f t="shared" si="13"/>
        <v>125000</v>
      </c>
      <c r="U61" s="31">
        <v>3000</v>
      </c>
      <c r="V61" s="31">
        <v>9796</v>
      </c>
      <c r="W61" s="31" t="s">
        <v>196</v>
      </c>
      <c r="X61" s="32"/>
    </row>
    <row r="62" spans="1:24" ht="13.5" thickBot="1" x14ac:dyDescent="0.25">
      <c r="A62" t="s">
        <v>415</v>
      </c>
      <c r="Q62" s="30">
        <v>54</v>
      </c>
      <c r="R62" s="31">
        <v>110.8</v>
      </c>
      <c r="S62" s="31">
        <f t="shared" si="12"/>
        <v>55.4</v>
      </c>
      <c r="T62" s="31">
        <f t="shared" si="13"/>
        <v>170031.46399999998</v>
      </c>
      <c r="U62" s="31">
        <v>4200</v>
      </c>
      <c r="V62" s="31">
        <v>12840</v>
      </c>
      <c r="W62" s="31" t="s">
        <v>196</v>
      </c>
      <c r="X62" s="32" t="s">
        <v>215</v>
      </c>
    </row>
    <row r="63" spans="1:24" ht="14.25" thickTop="1" thickBot="1" x14ac:dyDescent="0.25">
      <c r="A63" s="75" t="s">
        <v>416</v>
      </c>
      <c r="B63" s="150" t="s">
        <v>417</v>
      </c>
      <c r="C63" s="40" t="s">
        <v>200</v>
      </c>
      <c r="D63" s="40" t="s">
        <v>206</v>
      </c>
      <c r="E63" s="40" t="s">
        <v>418</v>
      </c>
      <c r="F63" s="40" t="s">
        <v>419</v>
      </c>
      <c r="G63" s="40" t="s">
        <v>420</v>
      </c>
      <c r="H63" s="40" t="s">
        <v>421</v>
      </c>
      <c r="I63" s="40" t="s">
        <v>422</v>
      </c>
      <c r="J63" s="40" t="s">
        <v>423</v>
      </c>
      <c r="K63" s="40" t="s">
        <v>424</v>
      </c>
      <c r="L63" s="151" t="s">
        <v>425</v>
      </c>
      <c r="Q63" s="33">
        <v>61.5</v>
      </c>
      <c r="R63" s="34">
        <v>126.3</v>
      </c>
      <c r="S63" s="34">
        <f t="shared" si="12"/>
        <v>63.15</v>
      </c>
      <c r="T63" s="34">
        <f t="shared" si="13"/>
        <v>251837.30587499996</v>
      </c>
      <c r="U63" s="34">
        <v>5000</v>
      </c>
      <c r="V63" s="34">
        <v>17700</v>
      </c>
      <c r="W63" s="34" t="s">
        <v>196</v>
      </c>
      <c r="X63" s="35" t="s">
        <v>216</v>
      </c>
    </row>
    <row r="64" spans="1:24" ht="13.5" thickTop="1" x14ac:dyDescent="0.2">
      <c r="A64" s="27">
        <f>B64^3</f>
        <v>32768</v>
      </c>
      <c r="B64" s="129">
        <v>32</v>
      </c>
      <c r="C64" s="28">
        <v>30</v>
      </c>
      <c r="D64" s="80">
        <f>C57*$M57</f>
        <v>12241</v>
      </c>
      <c r="E64" s="80">
        <f>D57*$M57</f>
        <v>14674.836375488918</v>
      </c>
      <c r="F64" s="80">
        <f>E57*$M57</f>
        <v>8610.1949152542365</v>
      </c>
      <c r="G64" s="80">
        <f>F57*$M57</f>
        <v>1707.6753585397653</v>
      </c>
      <c r="H64" s="80">
        <f>G57*$M57</f>
        <v>2665.250325945241</v>
      </c>
      <c r="I64" s="152">
        <v>450</v>
      </c>
      <c r="J64" s="153">
        <f>E64/I64</f>
        <v>32.610747501086486</v>
      </c>
      <c r="K64" s="80">
        <f>M57-H64</f>
        <v>37233.706649282918</v>
      </c>
      <c r="L64" s="77">
        <f>F64/K64+G64/K64</f>
        <v>0.27711101585940845</v>
      </c>
    </row>
    <row r="65" spans="1:30" x14ac:dyDescent="0.2">
      <c r="A65" s="30">
        <f>B65^3</f>
        <v>140608</v>
      </c>
      <c r="B65" s="154">
        <v>52</v>
      </c>
      <c r="C65" s="31">
        <v>50</v>
      </c>
      <c r="D65" s="80">
        <f t="shared" ref="D65:H66" si="14">C58*$M58</f>
        <v>55523</v>
      </c>
      <c r="E65" s="80">
        <f t="shared" si="14"/>
        <v>48095.17391304348</v>
      </c>
      <c r="F65" s="80">
        <f t="shared" si="14"/>
        <v>33084.77536231884</v>
      </c>
      <c r="G65" s="80">
        <f t="shared" si="14"/>
        <v>7396.8768115942039</v>
      </c>
      <c r="H65" s="80">
        <f t="shared" si="14"/>
        <v>10646.550724637682</v>
      </c>
      <c r="I65" s="155">
        <v>1200.9000000000001</v>
      </c>
      <c r="J65" s="156">
        <f>E65/I65</f>
        <v>40.049274638224226</v>
      </c>
      <c r="K65" s="80">
        <f>M58-H65</f>
        <v>144099.82608695651</v>
      </c>
      <c r="L65" s="83">
        <f>F65/K65+G65/K65</f>
        <v>0.28092783505154639</v>
      </c>
      <c r="Q65" t="s">
        <v>217</v>
      </c>
    </row>
    <row r="66" spans="1:30" ht="13.5" thickBot="1" x14ac:dyDescent="0.25">
      <c r="A66" s="33">
        <f>B66^3</f>
        <v>373248</v>
      </c>
      <c r="B66" s="157">
        <v>72</v>
      </c>
      <c r="C66" s="34">
        <v>70</v>
      </c>
      <c r="D66" s="91">
        <f t="shared" si="14"/>
        <v>149079</v>
      </c>
      <c r="E66" s="91">
        <f t="shared" si="14"/>
        <v>112104.2612137203</v>
      </c>
      <c r="F66" s="91">
        <f t="shared" si="14"/>
        <v>83389.836411609489</v>
      </c>
      <c r="G66" s="91">
        <f t="shared" si="14"/>
        <v>22027.50395778364</v>
      </c>
      <c r="H66" s="91">
        <f t="shared" si="14"/>
        <v>26747.683377308709</v>
      </c>
      <c r="I66" s="158">
        <v>2802.5</v>
      </c>
      <c r="J66" s="159">
        <f>E66/I66</f>
        <v>40.001520504449701</v>
      </c>
      <c r="K66" s="91">
        <f>M59-H66</f>
        <v>366600.60158311343</v>
      </c>
      <c r="L66" s="88">
        <f>F66/K66+G66/K66</f>
        <v>0.28755364806866951</v>
      </c>
      <c r="Q66" t="s">
        <v>218</v>
      </c>
    </row>
    <row r="67" spans="1:30" ht="13.5" thickTop="1" x14ac:dyDescent="0.2">
      <c r="L67" s="102"/>
      <c r="M67" s="102"/>
      <c r="N67" s="102"/>
      <c r="O67" s="61"/>
      <c r="Q67" s="43" t="s">
        <v>181</v>
      </c>
      <c r="R67" s="44" t="s">
        <v>214</v>
      </c>
      <c r="S67" s="44" t="s">
        <v>180</v>
      </c>
      <c r="T67" s="44" t="s">
        <v>77</v>
      </c>
      <c r="U67" s="44" t="s">
        <v>193</v>
      </c>
      <c r="V67" s="97" t="s">
        <v>219</v>
      </c>
      <c r="W67" s="97" t="s">
        <v>206</v>
      </c>
      <c r="X67" s="44" t="s">
        <v>194</v>
      </c>
      <c r="Y67" s="37"/>
      <c r="Z67" s="38" t="s">
        <v>185</v>
      </c>
      <c r="AA67" s="98"/>
      <c r="AB67" s="99"/>
    </row>
    <row r="68" spans="1:30" ht="13.5" thickBot="1" x14ac:dyDescent="0.25">
      <c r="A68" t="s">
        <v>833</v>
      </c>
      <c r="L68" s="102"/>
      <c r="M68" s="102"/>
      <c r="N68" s="102"/>
      <c r="O68" s="61"/>
      <c r="Q68" s="46" t="s">
        <v>187</v>
      </c>
      <c r="R68" s="47" t="s">
        <v>187</v>
      </c>
      <c r="S68" s="47" t="s">
        <v>187</v>
      </c>
      <c r="T68" s="47" t="s">
        <v>186</v>
      </c>
      <c r="U68" s="47" t="s">
        <v>195</v>
      </c>
      <c r="V68" s="100" t="s">
        <v>108</v>
      </c>
      <c r="W68" s="100" t="s">
        <v>453</v>
      </c>
      <c r="X68" s="47" t="s">
        <v>66</v>
      </c>
      <c r="Y68" s="34"/>
      <c r="Z68" s="35"/>
      <c r="AA68" s="98"/>
    </row>
    <row r="69" spans="1:30" ht="14.25" thickTop="1" thickBot="1" x14ac:dyDescent="0.25">
      <c r="A69" t="s">
        <v>428</v>
      </c>
      <c r="B69">
        <v>1</v>
      </c>
      <c r="D69" t="s">
        <v>429</v>
      </c>
      <c r="E69">
        <v>1</v>
      </c>
      <c r="G69" t="s">
        <v>834</v>
      </c>
      <c r="I69">
        <v>1.0115018</v>
      </c>
      <c r="L69" s="102"/>
      <c r="M69" s="102"/>
      <c r="N69" s="102"/>
      <c r="O69" s="61"/>
      <c r="Q69" s="27">
        <v>50</v>
      </c>
      <c r="R69" s="28">
        <f>S69*2</f>
        <v>104</v>
      </c>
      <c r="S69" s="28">
        <v>52</v>
      </c>
      <c r="T69" s="28">
        <v>2.4</v>
      </c>
      <c r="U69" s="28">
        <f>8799+(384+240)/2.2</f>
        <v>9082.636363636364</v>
      </c>
      <c r="V69" s="80">
        <f>29096+4024</f>
        <v>33120</v>
      </c>
      <c r="W69" s="80">
        <f>V69*$I$69</f>
        <v>33500.939616000003</v>
      </c>
      <c r="X69" s="28" t="s">
        <v>220</v>
      </c>
      <c r="Y69" s="28"/>
      <c r="Z69" s="29">
        <f>S69^3</f>
        <v>140608</v>
      </c>
      <c r="AA69" s="101"/>
      <c r="AB69" s="102"/>
    </row>
    <row r="70" spans="1:30" ht="14.25" thickTop="1" thickBot="1" x14ac:dyDescent="0.25">
      <c r="A70" s="75" t="s">
        <v>416</v>
      </c>
      <c r="B70" s="150" t="s">
        <v>417</v>
      </c>
      <c r="C70" s="40" t="s">
        <v>200</v>
      </c>
      <c r="D70" s="40" t="s">
        <v>206</v>
      </c>
      <c r="E70" s="40" t="s">
        <v>418</v>
      </c>
      <c r="F70" s="151" t="s">
        <v>425</v>
      </c>
      <c r="G70" s="40" t="s">
        <v>432</v>
      </c>
      <c r="H70" s="40"/>
      <c r="I70" s="160" t="s">
        <v>433</v>
      </c>
      <c r="L70" s="161" t="s">
        <v>434</v>
      </c>
      <c r="M70" s="162" t="s">
        <v>435</v>
      </c>
      <c r="N70" s="163" t="s">
        <v>548</v>
      </c>
      <c r="O70" s="164" t="s">
        <v>436</v>
      </c>
      <c r="Q70" s="30">
        <v>50</v>
      </c>
      <c r="R70" s="31">
        <v>104</v>
      </c>
      <c r="S70" s="31">
        <v>52</v>
      </c>
      <c r="T70" s="31">
        <v>2.4</v>
      </c>
      <c r="U70" s="31">
        <f>7920+(384+240)/2.2</f>
        <v>8203.636363636364</v>
      </c>
      <c r="V70" s="86">
        <f>32810+4024</f>
        <v>36834</v>
      </c>
      <c r="W70" s="86">
        <f>V70*$I$69</f>
        <v>37257.657301200001</v>
      </c>
      <c r="X70" s="31" t="s">
        <v>222</v>
      </c>
      <c r="Y70" s="31"/>
      <c r="Z70" s="32">
        <f>S70^3</f>
        <v>140608</v>
      </c>
      <c r="AA70" s="101"/>
      <c r="AB70" s="102"/>
    </row>
    <row r="71" spans="1:30" ht="13.5" thickTop="1" x14ac:dyDescent="0.2">
      <c r="A71" s="27">
        <f>B71^3</f>
        <v>32768</v>
      </c>
      <c r="B71" s="129">
        <v>32</v>
      </c>
      <c r="C71" s="28">
        <v>30</v>
      </c>
      <c r="D71" s="80">
        <f>D64*$B$69</f>
        <v>12241</v>
      </c>
      <c r="E71" s="80">
        <f>E64*$E$69</f>
        <v>14674.836375488918</v>
      </c>
      <c r="F71" s="77">
        <f>L64</f>
        <v>0.27711101585940845</v>
      </c>
      <c r="G71" s="80">
        <f>(D71+E71)/(1-0.28)</f>
        <v>37383.10607706794</v>
      </c>
      <c r="H71" s="80"/>
      <c r="I71" s="165">
        <f>($B$76*$A71+$B$77+$H$76*($B71)^$H$77)/(1-AVERAGE($F$71:$F$73))</f>
        <v>39340.235606123468</v>
      </c>
      <c r="L71" s="166">
        <v>50</v>
      </c>
      <c r="M71" s="167">
        <f>(100/2)^3</f>
        <v>125000</v>
      </c>
      <c r="N71" s="153">
        <f>$B$76*$M71+(AVERAGE($V$69:$V$72)/$I$69-$B$76*$Z$69)</f>
        <v>29191.151583413506</v>
      </c>
      <c r="O71" s="168">
        <f>($E$76*$M71+$E$77+$H$76*(100/2)^$H$77)/(1-AVERAGE($F$71:$F$73))</f>
        <v>108871.23666344967</v>
      </c>
      <c r="Q71" s="30">
        <v>50</v>
      </c>
      <c r="R71" s="31">
        <v>104</v>
      </c>
      <c r="S71" s="31">
        <v>52</v>
      </c>
      <c r="T71" s="31">
        <v>2.4</v>
      </c>
      <c r="U71" s="31">
        <f>8799+(2768+550)/2.2</f>
        <v>10307.181818181818</v>
      </c>
      <c r="V71" s="86">
        <f>29096+5815</f>
        <v>34911</v>
      </c>
      <c r="W71" s="86">
        <f>V71*$I$69</f>
        <v>35312.539339800001</v>
      </c>
      <c r="X71" s="31" t="s">
        <v>223</v>
      </c>
      <c r="Y71" s="31"/>
      <c r="Z71" s="32">
        <f>S71^3</f>
        <v>140608</v>
      </c>
      <c r="AA71" s="101"/>
    </row>
    <row r="72" spans="1:30" ht="13.5" thickBot="1" x14ac:dyDescent="0.25">
      <c r="A72" s="30">
        <f>B72^3</f>
        <v>140608</v>
      </c>
      <c r="B72" s="154">
        <v>52</v>
      </c>
      <c r="C72" s="31">
        <v>50</v>
      </c>
      <c r="D72" s="86">
        <f>D65*$B$69</f>
        <v>55523</v>
      </c>
      <c r="E72" s="86">
        <f>E65*$E$69</f>
        <v>48095.17391304348</v>
      </c>
      <c r="F72" s="83">
        <f>L65</f>
        <v>0.28092783505154639</v>
      </c>
      <c r="G72" s="86">
        <f>(D72+E72)/(1-0.28)</f>
        <v>143914.13043478262</v>
      </c>
      <c r="H72" s="86"/>
      <c r="I72" s="165">
        <f>($B$76*$A72+$B$77+$H$76*($B72)^$H$77)/(1-AVERAGE($F$71:$F$73))</f>
        <v>152625.93551660361</v>
      </c>
      <c r="L72" s="169">
        <v>52</v>
      </c>
      <c r="M72" s="30">
        <f>52^3</f>
        <v>140608</v>
      </c>
      <c r="N72" s="156">
        <f>$B$76*$M72+(AVERAGE($V$69:$V$72)/$I$69-$B$76*$Z$69)</f>
        <v>35464.59334031833</v>
      </c>
      <c r="O72" s="170">
        <f>($E$76*$M72+$E$77+$H$76*$B72^$H$77)/(1-AVERAGE($F$71:$F$73))</f>
        <v>124642.64549351986</v>
      </c>
      <c r="Q72" s="33">
        <v>50</v>
      </c>
      <c r="R72" s="34">
        <v>104</v>
      </c>
      <c r="S72" s="34">
        <v>52</v>
      </c>
      <c r="T72" s="34">
        <v>2.4</v>
      </c>
      <c r="U72" s="34">
        <f>7920+(2768+550.2)/2.2</f>
        <v>9428.2727272727279</v>
      </c>
      <c r="V72" s="91">
        <f>32810+5815</f>
        <v>38625</v>
      </c>
      <c r="W72" s="91">
        <f>V72*$I$69</f>
        <v>39069.257024999999</v>
      </c>
      <c r="X72" s="34" t="s">
        <v>224</v>
      </c>
      <c r="Y72" s="34"/>
      <c r="Z72" s="35">
        <f>S72^3</f>
        <v>140608</v>
      </c>
      <c r="AA72" s="101"/>
    </row>
    <row r="73" spans="1:30" ht="14.25" thickTop="1" thickBot="1" x14ac:dyDescent="0.25">
      <c r="A73" s="33">
        <f>B73^3</f>
        <v>373248</v>
      </c>
      <c r="B73" s="157">
        <v>72</v>
      </c>
      <c r="C73" s="34">
        <v>70</v>
      </c>
      <c r="D73" s="91">
        <f>D66*$B$69</f>
        <v>149079</v>
      </c>
      <c r="E73" s="91">
        <f>E66*$E$69</f>
        <v>112104.2612137203</v>
      </c>
      <c r="F73" s="88">
        <f>L66</f>
        <v>0.28755364806866951</v>
      </c>
      <c r="G73" s="91">
        <f>(D73+E73)/(1-0.28)</f>
        <v>362754.52946350042</v>
      </c>
      <c r="H73" s="91"/>
      <c r="I73" s="171">
        <f>($B$76*$A73+$B$77+$H$76*($B73)^$H$77)/(1-AVERAGE($F$71:$F$73))</f>
        <v>377489.95316964627</v>
      </c>
      <c r="L73" s="172">
        <v>72</v>
      </c>
      <c r="M73" s="33">
        <f>72^3</f>
        <v>373248</v>
      </c>
      <c r="N73" s="159">
        <f>$B$76*$M73+(AVERAGE($V$69:$V$72)/$I$69-$B$76*$Z$69)</f>
        <v>128971.35207470701</v>
      </c>
      <c r="O73" s="173">
        <f>($E$76*$M73+$E$77+$H$76*$B73^$H$77)/(1-AVERAGE($F$71:$F$73))</f>
        <v>349506.66314656241</v>
      </c>
    </row>
    <row r="74" spans="1:30" ht="13.5" thickTop="1" x14ac:dyDescent="0.2"/>
    <row r="75" spans="1:30" ht="13.5" thickBot="1" x14ac:dyDescent="0.25">
      <c r="A75" s="558" t="s">
        <v>438</v>
      </c>
      <c r="B75" s="558"/>
      <c r="C75" s="558"/>
      <c r="D75" s="558" t="s">
        <v>439</v>
      </c>
      <c r="E75" s="558"/>
      <c r="F75" s="558"/>
      <c r="G75" s="558" t="s">
        <v>440</v>
      </c>
      <c r="H75" s="558"/>
      <c r="Q75" t="s">
        <v>130</v>
      </c>
    </row>
    <row r="76" spans="1:30" ht="13.5" thickTop="1" x14ac:dyDescent="0.2">
      <c r="A76" s="540" t="s">
        <v>441</v>
      </c>
      <c r="B76" s="559">
        <f>SLOPE(D71:D73,A71:A73)</f>
        <v>0.40193758052952494</v>
      </c>
      <c r="C76" s="560"/>
      <c r="D76" s="561" t="s">
        <v>441</v>
      </c>
      <c r="E76" s="559">
        <f>SLOPE(N71:N73,M71:M73)</f>
        <v>0.40193758052952488</v>
      </c>
      <c r="F76" s="560"/>
      <c r="G76" s="561" t="s">
        <v>82</v>
      </c>
      <c r="H76" s="541">
        <v>2.7444999999999999</v>
      </c>
      <c r="Q76" t="s">
        <v>225</v>
      </c>
    </row>
    <row r="77" spans="1:30" ht="13.5" thickBot="1" x14ac:dyDescent="0.25">
      <c r="A77" s="542" t="s">
        <v>442</v>
      </c>
      <c r="B77" s="562">
        <f>INTERCEPT(D71:D73,A71:A73)</f>
        <v>-955.24267312367738</v>
      </c>
      <c r="C77" s="560"/>
      <c r="D77" s="563" t="s">
        <v>442</v>
      </c>
      <c r="E77" s="564">
        <f>INTERCEPT(N71:N73,M71:M73)</f>
        <v>-21051.045982777105</v>
      </c>
      <c r="F77" s="560"/>
      <c r="G77" s="563" t="s">
        <v>390</v>
      </c>
      <c r="H77" s="543">
        <v>2.5024999999999999</v>
      </c>
      <c r="Q77" t="s">
        <v>132</v>
      </c>
    </row>
    <row r="78" spans="1:30" ht="13.5" thickTop="1" x14ac:dyDescent="0.2">
      <c r="Q78" s="43" t="s">
        <v>214</v>
      </c>
      <c r="R78" s="44" t="s">
        <v>180</v>
      </c>
      <c r="S78" s="44" t="s">
        <v>77</v>
      </c>
      <c r="T78" s="44" t="s">
        <v>193</v>
      </c>
      <c r="U78" s="97" t="s">
        <v>226</v>
      </c>
      <c r="V78" s="44" t="s">
        <v>227</v>
      </c>
      <c r="W78" s="44" t="s">
        <v>193</v>
      </c>
      <c r="X78" s="44" t="s">
        <v>193</v>
      </c>
      <c r="Y78" s="97" t="s">
        <v>219</v>
      </c>
      <c r="Z78" s="44" t="s">
        <v>228</v>
      </c>
      <c r="AA78" s="70" t="s">
        <v>185</v>
      </c>
    </row>
    <row r="79" spans="1:30" ht="15" thickBot="1" x14ac:dyDescent="0.25">
      <c r="A79" t="s">
        <v>443</v>
      </c>
      <c r="Q79" s="46" t="s">
        <v>187</v>
      </c>
      <c r="R79" s="47" t="s">
        <v>187</v>
      </c>
      <c r="S79" s="47" t="s">
        <v>186</v>
      </c>
      <c r="T79" s="47" t="s">
        <v>195</v>
      </c>
      <c r="U79" s="100" t="s">
        <v>108</v>
      </c>
      <c r="V79" s="47" t="s">
        <v>66</v>
      </c>
      <c r="W79" s="47" t="s">
        <v>195</v>
      </c>
      <c r="X79" s="47" t="s">
        <v>243</v>
      </c>
      <c r="Y79" s="100" t="s">
        <v>108</v>
      </c>
      <c r="Z79" s="365" t="s">
        <v>66</v>
      </c>
    </row>
    <row r="80" spans="1:30" ht="14.25" thickTop="1" thickBot="1" x14ac:dyDescent="0.25">
      <c r="A80" s="75" t="s">
        <v>444</v>
      </c>
      <c r="B80" s="150" t="s">
        <v>445</v>
      </c>
      <c r="C80" s="40" t="s">
        <v>417</v>
      </c>
      <c r="D80" s="76" t="s">
        <v>446</v>
      </c>
      <c r="Q80" s="27">
        <v>50</v>
      </c>
      <c r="R80" s="28">
        <f>Q80/2</f>
        <v>25</v>
      </c>
      <c r="S80" s="28">
        <v>0.75</v>
      </c>
      <c r="T80" s="28">
        <v>1818</v>
      </c>
      <c r="U80" s="80">
        <f>64074/3</f>
        <v>21358</v>
      </c>
      <c r="V80" s="28" t="s">
        <v>229</v>
      </c>
      <c r="W80" s="28">
        <v>868</v>
      </c>
      <c r="X80" s="28">
        <f>W80/1000</f>
        <v>0.86799999999999999</v>
      </c>
      <c r="Y80" s="80">
        <f>44000/3</f>
        <v>14666.666666666666</v>
      </c>
      <c r="Z80" s="37" t="s">
        <v>230</v>
      </c>
      <c r="AA80" s="38">
        <f>R80^3</f>
        <v>15625</v>
      </c>
      <c r="AD80" s="103"/>
    </row>
    <row r="81" spans="1:44" ht="13.5" thickTop="1" x14ac:dyDescent="0.2">
      <c r="A81" s="27">
        <v>50</v>
      </c>
      <c r="B81" s="129">
        <f>C81^3</f>
        <v>15625</v>
      </c>
      <c r="C81" s="28">
        <f>A81/2</f>
        <v>25</v>
      </c>
      <c r="D81" s="174">
        <f>64074/3</f>
        <v>21358</v>
      </c>
      <c r="Q81" s="30">
        <v>70</v>
      </c>
      <c r="R81" s="31">
        <f>Q81/2</f>
        <v>35</v>
      </c>
      <c r="S81" s="31">
        <v>1.5</v>
      </c>
      <c r="T81" s="31">
        <v>4230</v>
      </c>
      <c r="U81" s="86">
        <f>147791/3</f>
        <v>49263.666666666664</v>
      </c>
      <c r="V81" s="31" t="s">
        <v>229</v>
      </c>
      <c r="W81" s="31">
        <v>2281</v>
      </c>
      <c r="X81" s="31">
        <f>W81/1000</f>
        <v>2.2810000000000001</v>
      </c>
      <c r="Y81" s="86">
        <f>112000/3</f>
        <v>37333.333333333336</v>
      </c>
      <c r="Z81" s="31" t="s">
        <v>230</v>
      </c>
      <c r="AA81" s="32">
        <f>R81^3</f>
        <v>42875</v>
      </c>
      <c r="AD81" s="103"/>
    </row>
    <row r="82" spans="1:44" x14ac:dyDescent="0.2">
      <c r="A82" s="30">
        <v>70</v>
      </c>
      <c r="B82" s="129">
        <f>C82^3</f>
        <v>42875</v>
      </c>
      <c r="C82" s="31">
        <f>A82/2</f>
        <v>35</v>
      </c>
      <c r="D82" s="175">
        <f>147791/3</f>
        <v>49263.666666666664</v>
      </c>
      <c r="Q82" s="30">
        <v>99</v>
      </c>
      <c r="R82" s="31">
        <f>Q82/2</f>
        <v>49.5</v>
      </c>
      <c r="S82" s="31">
        <v>3</v>
      </c>
      <c r="T82" s="31">
        <v>12936</v>
      </c>
      <c r="U82" s="86">
        <f>437464/3</f>
        <v>145821.33333333334</v>
      </c>
      <c r="V82" s="31" t="s">
        <v>229</v>
      </c>
      <c r="W82" s="31">
        <v>5463</v>
      </c>
      <c r="X82" s="31">
        <f>W82/1000</f>
        <v>5.4630000000000001</v>
      </c>
      <c r="Y82" s="86">
        <f>262000/3</f>
        <v>87333.333333333328</v>
      </c>
      <c r="Z82" s="31" t="s">
        <v>230</v>
      </c>
      <c r="AA82" s="32">
        <f>R82^3</f>
        <v>121287.375</v>
      </c>
      <c r="AD82" s="103"/>
    </row>
    <row r="83" spans="1:44" ht="13.5" thickBot="1" x14ac:dyDescent="0.25">
      <c r="A83" s="30">
        <v>99</v>
      </c>
      <c r="B83" s="129">
        <f>C83^3</f>
        <v>121287.375</v>
      </c>
      <c r="C83" s="31">
        <f>A83/2</f>
        <v>49.5</v>
      </c>
      <c r="D83" s="175">
        <f>437464/3</f>
        <v>145821.33333333334</v>
      </c>
      <c r="Q83" s="33">
        <v>128</v>
      </c>
      <c r="R83" s="34">
        <f>Q83/2</f>
        <v>64</v>
      </c>
      <c r="S83" s="34">
        <v>5</v>
      </c>
      <c r="T83" s="34">
        <v>27239</v>
      </c>
      <c r="U83" s="91">
        <f>905903/3</f>
        <v>301967.66666666669</v>
      </c>
      <c r="V83" s="34" t="s">
        <v>229</v>
      </c>
      <c r="W83" s="34"/>
      <c r="X83" s="34"/>
      <c r="Y83" s="34"/>
      <c r="Z83" s="34"/>
      <c r="AA83" s="35">
        <f>R83^3</f>
        <v>262144</v>
      </c>
      <c r="AD83" s="103"/>
    </row>
    <row r="84" spans="1:44" ht="14.25" thickTop="1" thickBot="1" x14ac:dyDescent="0.25">
      <c r="A84" s="33">
        <v>128</v>
      </c>
      <c r="B84" s="34">
        <f>C84^3</f>
        <v>262144</v>
      </c>
      <c r="C84" s="34">
        <f>A84/2</f>
        <v>64</v>
      </c>
      <c r="D84" s="176">
        <f>905903/3</f>
        <v>301967.66666666669</v>
      </c>
    </row>
    <row r="85" spans="1:44" ht="14.25" thickTop="1" thickBot="1" x14ac:dyDescent="0.25">
      <c r="Q85" s="819" t="s">
        <v>137</v>
      </c>
      <c r="R85" s="819"/>
      <c r="S85" s="819"/>
      <c r="T85" s="819"/>
      <c r="U85" s="819"/>
      <c r="V85" s="819"/>
      <c r="W85" s="819"/>
      <c r="X85" s="819"/>
    </row>
    <row r="86" spans="1:44" ht="15.75" customHeight="1" thickTop="1" thickBot="1" x14ac:dyDescent="0.25">
      <c r="A86" t="s">
        <v>447</v>
      </c>
      <c r="Q86" s="819"/>
      <c r="R86" s="820" t="s">
        <v>214</v>
      </c>
      <c r="S86" s="821" t="s">
        <v>180</v>
      </c>
      <c r="T86" s="821" t="s">
        <v>77</v>
      </c>
      <c r="U86" s="821" t="s">
        <v>193</v>
      </c>
      <c r="V86" s="821" t="s">
        <v>226</v>
      </c>
      <c r="W86" s="821" t="s">
        <v>194</v>
      </c>
      <c r="X86" s="822" t="s">
        <v>180</v>
      </c>
    </row>
    <row r="87" spans="1:44" ht="14.25" thickTop="1" thickBot="1" x14ac:dyDescent="0.25">
      <c r="A87" s="75" t="s">
        <v>444</v>
      </c>
      <c r="B87" s="150" t="s">
        <v>445</v>
      </c>
      <c r="C87" s="40" t="s">
        <v>417</v>
      </c>
      <c r="D87" s="76" t="s">
        <v>448</v>
      </c>
      <c r="Q87" s="819"/>
      <c r="R87" s="823" t="s">
        <v>187</v>
      </c>
      <c r="S87" s="824" t="s">
        <v>187</v>
      </c>
      <c r="T87" s="824" t="s">
        <v>186</v>
      </c>
      <c r="U87" s="824" t="s">
        <v>195</v>
      </c>
      <c r="V87" s="824" t="s">
        <v>108</v>
      </c>
      <c r="W87" s="824" t="s">
        <v>66</v>
      </c>
      <c r="X87" s="825"/>
    </row>
    <row r="88" spans="1:44" ht="14.25" thickTop="1" thickBot="1" x14ac:dyDescent="0.25">
      <c r="A88" s="36">
        <v>93</v>
      </c>
      <c r="B88" s="177">
        <f>C88^3</f>
        <v>100544.625</v>
      </c>
      <c r="C88" s="37">
        <f>A88/2</f>
        <v>46.5</v>
      </c>
      <c r="D88" s="174">
        <v>99900</v>
      </c>
      <c r="E88" t="s">
        <v>449</v>
      </c>
      <c r="Q88" s="819"/>
      <c r="R88" s="826">
        <v>93</v>
      </c>
      <c r="S88" s="827">
        <f>R88/2</f>
        <v>46.5</v>
      </c>
      <c r="T88" s="827">
        <v>2.5</v>
      </c>
      <c r="U88" s="827">
        <v>10000</v>
      </c>
      <c r="V88" s="827"/>
      <c r="W88" s="827" t="s">
        <v>229</v>
      </c>
      <c r="X88" s="828">
        <f>S88^3</f>
        <v>100544.625</v>
      </c>
    </row>
    <row r="89" spans="1:44" ht="13.5" thickTop="1" x14ac:dyDescent="0.2">
      <c r="A89" s="178">
        <v>89.5</v>
      </c>
      <c r="B89" s="128">
        <f>C89^3</f>
        <v>89614.671875</v>
      </c>
      <c r="C89" s="179">
        <f>A89/2</f>
        <v>44.75</v>
      </c>
      <c r="D89" s="180">
        <f>410880/3</f>
        <v>136960</v>
      </c>
      <c r="E89" t="s">
        <v>450</v>
      </c>
    </row>
    <row r="90" spans="1:44" ht="13.5" thickBot="1" x14ac:dyDescent="0.25">
      <c r="A90" s="33">
        <v>92.5</v>
      </c>
      <c r="B90" s="157">
        <f>C90^3</f>
        <v>98931.640625</v>
      </c>
      <c r="C90" s="34">
        <f>A90/2</f>
        <v>46.25</v>
      </c>
      <c r="D90" s="176">
        <f>392690/3</f>
        <v>130896.66666666667</v>
      </c>
      <c r="E90" t="s">
        <v>450</v>
      </c>
      <c r="Q90" t="s">
        <v>142</v>
      </c>
    </row>
    <row r="91" spans="1:44" ht="13.5" thickTop="1" x14ac:dyDescent="0.2">
      <c r="R91" s="43" t="s">
        <v>214</v>
      </c>
      <c r="S91" s="44" t="s">
        <v>180</v>
      </c>
      <c r="T91" s="44" t="s">
        <v>77</v>
      </c>
      <c r="U91" s="44" t="s">
        <v>193</v>
      </c>
      <c r="V91" s="97" t="s">
        <v>226</v>
      </c>
      <c r="W91" s="44" t="s">
        <v>194</v>
      </c>
      <c r="X91" s="37"/>
      <c r="Y91" s="70" t="s">
        <v>185</v>
      </c>
    </row>
    <row r="92" spans="1:44" ht="17.25" customHeight="1" thickBot="1" x14ac:dyDescent="0.25">
      <c r="R92" s="46" t="s">
        <v>187</v>
      </c>
      <c r="S92" s="47" t="s">
        <v>187</v>
      </c>
      <c r="T92" s="47" t="s">
        <v>186</v>
      </c>
      <c r="U92" s="47" t="s">
        <v>195</v>
      </c>
      <c r="V92" s="100" t="s">
        <v>108</v>
      </c>
      <c r="W92" s="47" t="s">
        <v>66</v>
      </c>
      <c r="X92" s="34"/>
      <c r="Y92" s="35"/>
    </row>
    <row r="93" spans="1:44" ht="15.75" customHeight="1" thickTop="1" x14ac:dyDescent="0.2">
      <c r="Q93" s="106"/>
      <c r="R93" s="107">
        <v>120</v>
      </c>
      <c r="S93" s="108">
        <f t="shared" ref="S93:S98" si="15">R93/2</f>
        <v>60</v>
      </c>
      <c r="T93" s="109">
        <v>5</v>
      </c>
      <c r="U93" s="109">
        <v>21170</v>
      </c>
      <c r="V93" s="108"/>
      <c r="W93" s="108" t="s">
        <v>231</v>
      </c>
      <c r="X93" s="108" t="s">
        <v>232</v>
      </c>
      <c r="Y93" s="110">
        <f t="shared" ref="Y93:Y98" si="16">S93^3</f>
        <v>216000</v>
      </c>
    </row>
    <row r="94" spans="1:44" x14ac:dyDescent="0.2">
      <c r="Q94" s="106"/>
      <c r="R94" s="111">
        <v>128</v>
      </c>
      <c r="S94" s="112">
        <f t="shared" si="15"/>
        <v>64</v>
      </c>
      <c r="T94" s="113">
        <v>5</v>
      </c>
      <c r="U94" s="113">
        <v>27812</v>
      </c>
      <c r="V94" s="112"/>
      <c r="W94" s="112" t="s">
        <v>231</v>
      </c>
      <c r="X94" s="112" t="s">
        <v>233</v>
      </c>
      <c r="Y94" s="114">
        <f t="shared" si="16"/>
        <v>262144</v>
      </c>
    </row>
    <row r="95" spans="1:44" x14ac:dyDescent="0.2">
      <c r="Q95" s="106"/>
      <c r="R95" s="111">
        <v>118</v>
      </c>
      <c r="S95" s="112">
        <f t="shared" si="15"/>
        <v>59</v>
      </c>
      <c r="T95" s="113">
        <v>5</v>
      </c>
      <c r="U95" s="113">
        <v>13813</v>
      </c>
      <c r="V95" s="112"/>
      <c r="W95" s="112" t="s">
        <v>234</v>
      </c>
      <c r="X95" s="112" t="s">
        <v>235</v>
      </c>
      <c r="Y95" s="114">
        <f t="shared" si="16"/>
        <v>205379</v>
      </c>
      <c r="AJ95" s="635" t="s">
        <v>1197</v>
      </c>
      <c r="AK95" t="s">
        <v>12</v>
      </c>
      <c r="AL95" t="s">
        <v>434</v>
      </c>
      <c r="AM95" t="s">
        <v>445</v>
      </c>
      <c r="AN95" t="s">
        <v>1195</v>
      </c>
      <c r="AO95" t="s">
        <v>1193</v>
      </c>
      <c r="AP95" t="s">
        <v>1200</v>
      </c>
      <c r="AQ95" t="s">
        <v>1192</v>
      </c>
      <c r="AR95" t="s">
        <v>1191</v>
      </c>
    </row>
    <row r="96" spans="1:44" x14ac:dyDescent="0.2">
      <c r="Q96" s="106"/>
      <c r="R96" s="111">
        <v>129</v>
      </c>
      <c r="S96" s="112">
        <f t="shared" si="15"/>
        <v>64.5</v>
      </c>
      <c r="T96" s="113">
        <v>6</v>
      </c>
      <c r="U96" s="113">
        <v>17905</v>
      </c>
      <c r="V96" s="112"/>
      <c r="W96" s="112" t="s">
        <v>236</v>
      </c>
      <c r="X96" s="112" t="s">
        <v>237</v>
      </c>
      <c r="Y96" s="114">
        <f t="shared" si="16"/>
        <v>268336.125</v>
      </c>
      <c r="AI96" s="1330" t="s">
        <v>1196</v>
      </c>
      <c r="AJ96" s="635" t="s">
        <v>1198</v>
      </c>
      <c r="AK96">
        <v>126</v>
      </c>
      <c r="AL96">
        <f>AK96/2</f>
        <v>63</v>
      </c>
      <c r="AM96">
        <f>AL96^3</f>
        <v>250047</v>
      </c>
      <c r="AN96" s="39">
        <f>PI()*(AK96/2)^2</f>
        <v>12468.981242097889</v>
      </c>
      <c r="AO96">
        <v>87.596000000000004</v>
      </c>
      <c r="AP96">
        <v>17650.669999999998</v>
      </c>
      <c r="AQ96">
        <v>134.59100000000001</v>
      </c>
      <c r="AR96">
        <f>SUM(AO96:AQ96)</f>
        <v>17872.857</v>
      </c>
    </row>
    <row r="97" spans="17:44" x14ac:dyDescent="0.2">
      <c r="Q97" s="106"/>
      <c r="R97" s="111">
        <v>116</v>
      </c>
      <c r="S97" s="112">
        <f t="shared" si="15"/>
        <v>58</v>
      </c>
      <c r="T97" s="113">
        <v>5</v>
      </c>
      <c r="U97" s="113">
        <v>16500</v>
      </c>
      <c r="V97" s="112"/>
      <c r="W97" s="112" t="s">
        <v>238</v>
      </c>
      <c r="X97" s="112" t="s">
        <v>239</v>
      </c>
      <c r="Y97" s="114">
        <f t="shared" si="16"/>
        <v>195112</v>
      </c>
      <c r="AI97" s="1331"/>
      <c r="AJ97" s="635" t="s">
        <v>547</v>
      </c>
      <c r="AK97">
        <v>126</v>
      </c>
      <c r="AL97">
        <f>AK97/2</f>
        <v>63</v>
      </c>
      <c r="AM97">
        <f>AL97^3</f>
        <v>250047</v>
      </c>
      <c r="AN97" s="39">
        <f>PI()*(AK97/2)^2</f>
        <v>12468.981242097889</v>
      </c>
      <c r="AO97">
        <v>87.596000000000004</v>
      </c>
      <c r="AP97">
        <v>17650.669999999998</v>
      </c>
      <c r="AQ97">
        <v>167.81100000000001</v>
      </c>
      <c r="AR97">
        <f>SUM(AO97:AQ97)</f>
        <v>17906.077000000001</v>
      </c>
    </row>
    <row r="98" spans="17:44" ht="13.5" thickBot="1" x14ac:dyDescent="0.25">
      <c r="Q98" s="106"/>
      <c r="R98" s="115">
        <v>126</v>
      </c>
      <c r="S98" s="116">
        <f t="shared" si="15"/>
        <v>63</v>
      </c>
      <c r="T98" s="117">
        <v>5</v>
      </c>
      <c r="U98" s="117">
        <v>17740</v>
      </c>
      <c r="V98" s="116"/>
      <c r="W98" s="116" t="s">
        <v>240</v>
      </c>
      <c r="X98" s="116" t="s">
        <v>241</v>
      </c>
      <c r="Y98" s="118">
        <f t="shared" si="16"/>
        <v>250047</v>
      </c>
      <c r="AI98" s="1330" t="s">
        <v>1199</v>
      </c>
      <c r="AJ98" s="635" t="s">
        <v>1198</v>
      </c>
      <c r="AK98">
        <v>149</v>
      </c>
      <c r="AL98">
        <f>AK98/2</f>
        <v>74.5</v>
      </c>
      <c r="AM98">
        <f>AL98^3</f>
        <v>413493.625</v>
      </c>
      <c r="AN98" s="39">
        <f>PI()*(AK98/2)^2</f>
        <v>17436.624625586748</v>
      </c>
      <c r="AO98">
        <v>129.70699999999999</v>
      </c>
      <c r="AP98">
        <v>26976.47</v>
      </c>
      <c r="AQ98">
        <v>230.80600000000001</v>
      </c>
      <c r="AR98">
        <f>SUM(AO98:AQ98)</f>
        <v>27336.983</v>
      </c>
    </row>
    <row r="99" spans="17:44" ht="13.5" thickTop="1" x14ac:dyDescent="0.2">
      <c r="AI99" s="1330"/>
      <c r="AJ99" s="635" t="s">
        <v>547</v>
      </c>
      <c r="AK99">
        <v>149</v>
      </c>
      <c r="AL99">
        <f>AK99/2</f>
        <v>74.5</v>
      </c>
      <c r="AM99">
        <f>AL99^3</f>
        <v>413493.625</v>
      </c>
      <c r="AN99" s="39">
        <f>PI()*(AK99/2)^2</f>
        <v>17436.624625586748</v>
      </c>
      <c r="AO99">
        <v>129.70699999999999</v>
      </c>
      <c r="AP99">
        <v>26976.47</v>
      </c>
      <c r="AQ99">
        <v>277.97699999999998</v>
      </c>
      <c r="AR99">
        <f>SUM(AO99:AQ99)</f>
        <v>27384.153999999999</v>
      </c>
    </row>
    <row r="100" spans="17:44" ht="13.5" thickBot="1" x14ac:dyDescent="0.25">
      <c r="Q100" t="s">
        <v>144</v>
      </c>
    </row>
    <row r="101" spans="17:44" ht="13.5" thickTop="1" x14ac:dyDescent="0.2">
      <c r="R101" s="43" t="s">
        <v>214</v>
      </c>
      <c r="S101" s="44" t="s">
        <v>180</v>
      </c>
      <c r="T101" s="44" t="s">
        <v>77</v>
      </c>
      <c r="U101" s="44" t="s">
        <v>193</v>
      </c>
      <c r="V101" s="97" t="s">
        <v>226</v>
      </c>
      <c r="W101" s="44" t="s">
        <v>194</v>
      </c>
      <c r="X101" s="37"/>
      <c r="Y101" s="70" t="s">
        <v>185</v>
      </c>
      <c r="Z101" s="98" t="s">
        <v>152</v>
      </c>
    </row>
    <row r="102" spans="17:44" ht="13.5" thickBot="1" x14ac:dyDescent="0.25">
      <c r="R102" s="46" t="s">
        <v>187</v>
      </c>
      <c r="S102" s="47" t="s">
        <v>187</v>
      </c>
      <c r="T102" s="47" t="s">
        <v>186</v>
      </c>
      <c r="U102" s="47" t="s">
        <v>195</v>
      </c>
      <c r="V102" s="100" t="s">
        <v>108</v>
      </c>
      <c r="W102" s="47" t="s">
        <v>66</v>
      </c>
      <c r="X102" s="34"/>
      <c r="Y102" s="35"/>
      <c r="AF102" s="19"/>
      <c r="AG102" s="19"/>
      <c r="AH102" s="19"/>
      <c r="AI102" s="19"/>
    </row>
    <row r="103" spans="17:44" ht="13.5" thickTop="1" x14ac:dyDescent="0.2">
      <c r="R103" s="107">
        <v>52</v>
      </c>
      <c r="S103" s="108">
        <v>25.3</v>
      </c>
      <c r="T103" s="109">
        <v>0.85</v>
      </c>
      <c r="U103" s="109">
        <v>1900</v>
      </c>
      <c r="V103" s="108"/>
      <c r="W103" s="108" t="s">
        <v>145</v>
      </c>
      <c r="X103" s="108" t="s">
        <v>146</v>
      </c>
      <c r="Y103" s="110">
        <f t="shared" ref="Y103:Y108" si="17">S103^3</f>
        <v>16194.277000000002</v>
      </c>
      <c r="Z103" t="s">
        <v>153</v>
      </c>
      <c r="AA103" t="s">
        <v>156</v>
      </c>
      <c r="AF103" s="19"/>
      <c r="AG103" s="19"/>
      <c r="AH103" s="19"/>
      <c r="AI103" s="19"/>
    </row>
    <row r="104" spans="17:44" x14ac:dyDescent="0.2">
      <c r="R104" s="111">
        <v>58</v>
      </c>
      <c r="S104" s="112">
        <v>28.3</v>
      </c>
      <c r="T104" s="113">
        <v>0.85</v>
      </c>
      <c r="U104" s="113">
        <v>2400</v>
      </c>
      <c r="V104" s="112"/>
      <c r="W104" s="112" t="s">
        <v>145</v>
      </c>
      <c r="X104" s="112" t="s">
        <v>147</v>
      </c>
      <c r="Y104" s="114">
        <f t="shared" si="17"/>
        <v>22665.187000000002</v>
      </c>
      <c r="Z104" t="s">
        <v>154</v>
      </c>
      <c r="AA104" t="s">
        <v>156</v>
      </c>
    </row>
    <row r="105" spans="17:44" x14ac:dyDescent="0.2">
      <c r="R105" s="111">
        <v>80</v>
      </c>
      <c r="S105" s="112">
        <v>39</v>
      </c>
      <c r="T105" s="113">
        <v>2</v>
      </c>
      <c r="U105" s="113">
        <v>6500</v>
      </c>
      <c r="V105" s="112"/>
      <c r="W105" s="112" t="s">
        <v>145</v>
      </c>
      <c r="X105" s="112" t="s">
        <v>148</v>
      </c>
      <c r="Y105" s="114">
        <f t="shared" si="17"/>
        <v>59319</v>
      </c>
      <c r="Z105" t="s">
        <v>153</v>
      </c>
      <c r="AA105" t="s">
        <v>157</v>
      </c>
    </row>
    <row r="106" spans="17:44" x14ac:dyDescent="0.2">
      <c r="R106" s="111">
        <v>83</v>
      </c>
      <c r="S106" s="112">
        <v>40.5</v>
      </c>
      <c r="T106" s="113">
        <v>2</v>
      </c>
      <c r="U106" s="113">
        <v>7300</v>
      </c>
      <c r="V106" s="112"/>
      <c r="W106" s="112" t="s">
        <v>145</v>
      </c>
      <c r="X106" s="112" t="s">
        <v>149</v>
      </c>
      <c r="Y106" s="114">
        <f t="shared" si="17"/>
        <v>66430.125</v>
      </c>
      <c r="Z106" t="s">
        <v>155</v>
      </c>
      <c r="AA106" t="s">
        <v>158</v>
      </c>
    </row>
    <row r="107" spans="17:44" x14ac:dyDescent="0.2">
      <c r="R107" s="111">
        <v>87</v>
      </c>
      <c r="S107" s="112">
        <v>42.5</v>
      </c>
      <c r="T107" s="113">
        <v>2</v>
      </c>
      <c r="U107" s="113">
        <v>6150</v>
      </c>
      <c r="V107" s="112"/>
      <c r="W107" s="112" t="s">
        <v>145</v>
      </c>
      <c r="X107" s="112" t="s">
        <v>150</v>
      </c>
      <c r="Y107" s="114">
        <f t="shared" si="17"/>
        <v>76765.625</v>
      </c>
      <c r="Z107" t="s">
        <v>155</v>
      </c>
      <c r="AA107" t="s">
        <v>159</v>
      </c>
    </row>
    <row r="108" spans="17:44" ht="13.5" thickBot="1" x14ac:dyDescent="0.25">
      <c r="R108" s="115">
        <v>90</v>
      </c>
      <c r="S108" s="116">
        <v>44</v>
      </c>
      <c r="T108" s="117">
        <v>2</v>
      </c>
      <c r="U108" s="117">
        <v>5800</v>
      </c>
      <c r="V108" s="116"/>
      <c r="W108" s="116" t="s">
        <v>145</v>
      </c>
      <c r="X108" s="116" t="s">
        <v>151</v>
      </c>
      <c r="Y108" s="118">
        <f t="shared" si="17"/>
        <v>85184</v>
      </c>
      <c r="Z108" t="s">
        <v>160</v>
      </c>
      <c r="AA108" t="s">
        <v>159</v>
      </c>
      <c r="AF108" s="19"/>
      <c r="AG108" s="19"/>
      <c r="AH108" s="19"/>
      <c r="AI108" s="19"/>
    </row>
    <row r="109" spans="17:44" ht="13.5" thickTop="1" x14ac:dyDescent="0.2">
      <c r="AF109" s="19"/>
      <c r="AG109" s="19"/>
      <c r="AH109" s="19"/>
      <c r="AI109" s="19"/>
    </row>
    <row r="110" spans="17:44" x14ac:dyDescent="0.2">
      <c r="AF110" s="19"/>
      <c r="AG110" s="19"/>
      <c r="AH110" s="19"/>
      <c r="AI110" s="19"/>
    </row>
    <row r="112" spans="17:44" x14ac:dyDescent="0.2">
      <c r="AF112" s="19"/>
      <c r="AG112" s="19"/>
      <c r="AH112" s="19"/>
      <c r="AI112" s="19"/>
    </row>
    <row r="114" spans="32:35" x14ac:dyDescent="0.2">
      <c r="AF114" s="19"/>
      <c r="AG114" s="19"/>
      <c r="AH114" s="19"/>
      <c r="AI114" s="19"/>
    </row>
    <row r="115" spans="32:35" x14ac:dyDescent="0.2">
      <c r="AF115" s="19"/>
      <c r="AG115" s="19"/>
      <c r="AH115" s="19"/>
      <c r="AI115" s="19"/>
    </row>
  </sheetData>
  <mergeCells count="2">
    <mergeCell ref="AI96:AI97"/>
    <mergeCell ref="AI98:AI99"/>
  </mergeCells>
  <phoneticPr fontId="3" type="noConversion"/>
  <pageMargins left="0.75" right="0.75" top="1" bottom="1" header="0.5" footer="0.5"/>
  <pageSetup orientation="portrait" horizontalDpi="300" verticalDpi="300"/>
  <headerFooter alignWithMargins="0"/>
  <drawing r:id="rId1"/>
  <legacyDrawing r:id="rId2"/>
  <extLst>
    <ext xmlns:mx="http://schemas.microsoft.com/office/mac/excel/2008/main" uri="{64002731-A6B0-56B0-2670-7721B7C09600}">
      <mx:PLV Mode="0" OnePage="0" WScale="0"/>
    </ext>
  </extLst>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50"/>
  </sheetPr>
  <dimension ref="A1:E14"/>
  <sheetViews>
    <sheetView workbookViewId="0">
      <selection activeCell="C10" sqref="C10"/>
    </sheetView>
  </sheetViews>
  <sheetFormatPr defaultColWidth="8.85546875" defaultRowHeight="12.75" x14ac:dyDescent="0.2"/>
  <cols>
    <col min="1" max="1" width="34.42578125" customWidth="1"/>
  </cols>
  <sheetData>
    <row r="1" spans="1:5" x14ac:dyDescent="0.2">
      <c r="A1" s="1" t="str">
        <f>'Input &amp; Summary'!A1</f>
        <v>Based on Combined Land Based-Offshore Turbine Cost Model. V2.01.12</v>
      </c>
      <c r="B1" s="139"/>
      <c r="C1" s="139"/>
      <c r="D1" s="139"/>
      <c r="E1" s="139"/>
    </row>
    <row r="2" spans="1:5" ht="38.25" x14ac:dyDescent="0.2">
      <c r="A2" s="555" t="str">
        <f>'Input &amp; Summary'!A2</f>
        <v>Note:  This Model Contains Proprietary or Wind Technology Protected Data, and Should Not Be Released Outside of the DOE/NREL/SNL, until Further Notice.</v>
      </c>
      <c r="B2" s="139"/>
      <c r="C2" s="139"/>
      <c r="D2" s="139"/>
      <c r="E2" s="139"/>
    </row>
    <row r="4" spans="1:5" x14ac:dyDescent="0.2">
      <c r="A4" s="21" t="s">
        <v>861</v>
      </c>
    </row>
    <row r="5" spans="1:5" ht="13.5" thickBot="1" x14ac:dyDescent="0.25">
      <c r="A5" s="635"/>
    </row>
    <row r="6" spans="1:5" ht="39" thickBot="1" x14ac:dyDescent="0.25">
      <c r="B6" s="480" t="s">
        <v>602</v>
      </c>
    </row>
    <row r="7" spans="1:5" ht="13.5" thickBot="1" x14ac:dyDescent="0.25">
      <c r="A7" s="221" t="s">
        <v>248</v>
      </c>
      <c r="B7" s="466">
        <f>'Input &amp; Summary'!B7</f>
        <v>1910</v>
      </c>
    </row>
    <row r="8" spans="1:5" ht="13.5" thickBot="1" x14ac:dyDescent="0.25"/>
    <row r="9" spans="1:5" ht="13.5" thickBot="1" x14ac:dyDescent="0.25">
      <c r="A9" s="21"/>
      <c r="B9" s="468" t="s">
        <v>100</v>
      </c>
    </row>
    <row r="10" spans="1:5" ht="13.5" thickBot="1" x14ac:dyDescent="0.25">
      <c r="A10" s="472" t="s">
        <v>862</v>
      </c>
      <c r="B10" s="590">
        <f>B7*B14</f>
        <v>47750</v>
      </c>
      <c r="C10" s="470">
        <f>'PPI Calculation'!D189</f>
        <v>1.4676119030648609</v>
      </c>
      <c r="D10" s="22" t="s">
        <v>739</v>
      </c>
    </row>
    <row r="11" spans="1:5" ht="13.5" thickBot="1" x14ac:dyDescent="0.25">
      <c r="A11" s="472" t="s">
        <v>652</v>
      </c>
      <c r="B11" s="590">
        <f>B10*C10</f>
        <v>70078.468371347102</v>
      </c>
      <c r="C11" s="550">
        <f>'Input &amp; Summary'!F7</f>
        <v>2010</v>
      </c>
      <c r="D11" s="567" t="s">
        <v>648</v>
      </c>
    </row>
    <row r="14" spans="1:5" x14ac:dyDescent="0.2">
      <c r="A14" s="142" t="s">
        <v>863</v>
      </c>
      <c r="B14" s="647">
        <v>25</v>
      </c>
    </row>
  </sheetData>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50"/>
  </sheetPr>
  <dimension ref="A1:E14"/>
  <sheetViews>
    <sheetView workbookViewId="0">
      <selection activeCell="E14" sqref="E14"/>
    </sheetView>
  </sheetViews>
  <sheetFormatPr defaultColWidth="8.85546875" defaultRowHeight="12.75" x14ac:dyDescent="0.2"/>
  <cols>
    <col min="1" max="1" width="34.42578125" customWidth="1"/>
  </cols>
  <sheetData>
    <row r="1" spans="1:5" x14ac:dyDescent="0.2">
      <c r="A1" s="1" t="str">
        <f>'Input &amp; Summary'!A1</f>
        <v>Based on Combined Land Based-Offshore Turbine Cost Model. V2.01.12</v>
      </c>
      <c r="B1" s="139"/>
      <c r="C1" s="139"/>
      <c r="D1" s="139"/>
      <c r="E1" s="139"/>
    </row>
    <row r="2" spans="1:5" ht="38.25" x14ac:dyDescent="0.2">
      <c r="A2" s="555" t="str">
        <f>'Input &amp; Summary'!A2</f>
        <v>Note:  This Model Contains Proprietary or Wind Technology Protected Data, and Should Not Be Released Outside of the DOE/NREL/SNL, until Further Notice.</v>
      </c>
      <c r="B2" s="139"/>
      <c r="C2" s="139"/>
      <c r="D2" s="139"/>
      <c r="E2" s="139"/>
    </row>
    <row r="4" spans="1:5" x14ac:dyDescent="0.2">
      <c r="A4" s="21" t="s">
        <v>869</v>
      </c>
    </row>
    <row r="5" spans="1:5" ht="13.5" thickBot="1" x14ac:dyDescent="0.25">
      <c r="A5" s="635"/>
    </row>
    <row r="6" spans="1:5" ht="39" thickBot="1" x14ac:dyDescent="0.25">
      <c r="B6" s="480" t="s">
        <v>602</v>
      </c>
    </row>
    <row r="7" spans="1:5" ht="13.5" thickBot="1" x14ac:dyDescent="0.25">
      <c r="A7" s="221" t="s">
        <v>248</v>
      </c>
      <c r="B7" s="466">
        <f>'Input &amp; Summary'!B7</f>
        <v>1910</v>
      </c>
    </row>
    <row r="8" spans="1:5" ht="13.5" thickBot="1" x14ac:dyDescent="0.25"/>
    <row r="9" spans="1:5" ht="13.5" thickBot="1" x14ac:dyDescent="0.25">
      <c r="A9" s="21"/>
      <c r="B9" s="468" t="s">
        <v>100</v>
      </c>
    </row>
    <row r="10" spans="1:5" ht="13.5" thickBot="1" x14ac:dyDescent="0.25">
      <c r="A10" s="472" t="s">
        <v>871</v>
      </c>
      <c r="B10" s="590">
        <f>B7*B14</f>
        <v>147070</v>
      </c>
      <c r="C10" s="470">
        <f>'PPI Calculation'!D171</f>
        <v>1.1665150136487714</v>
      </c>
      <c r="D10" s="22" t="s">
        <v>590</v>
      </c>
    </row>
    <row r="11" spans="1:5" ht="13.5" thickBot="1" x14ac:dyDescent="0.25">
      <c r="A11" s="472" t="s">
        <v>652</v>
      </c>
      <c r="B11" s="590">
        <f>B10*C10</f>
        <v>171559.36305732481</v>
      </c>
      <c r="C11" s="550">
        <f>'Input &amp; Summary'!F7</f>
        <v>2010</v>
      </c>
      <c r="D11" s="567" t="s">
        <v>648</v>
      </c>
    </row>
    <row r="14" spans="1:5" x14ac:dyDescent="0.2">
      <c r="A14" s="142" t="s">
        <v>854</v>
      </c>
      <c r="B14" s="647">
        <v>77</v>
      </c>
    </row>
  </sheetData>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50"/>
  </sheetPr>
  <dimension ref="A1:E14"/>
  <sheetViews>
    <sheetView workbookViewId="0">
      <selection activeCell="C11" sqref="C11"/>
    </sheetView>
  </sheetViews>
  <sheetFormatPr defaultColWidth="8.85546875" defaultRowHeight="12.75" x14ac:dyDescent="0.2"/>
  <cols>
    <col min="1" max="1" width="34.42578125" customWidth="1"/>
    <col min="2" max="2" width="10.140625" bestFit="1" customWidth="1"/>
  </cols>
  <sheetData>
    <row r="1" spans="1:5" x14ac:dyDescent="0.2">
      <c r="A1" s="1" t="str">
        <f>'Input &amp; Summary'!A1</f>
        <v>Based on Combined Land Based-Offshore Turbine Cost Model. V2.01.12</v>
      </c>
      <c r="B1" s="139"/>
      <c r="C1" s="139"/>
      <c r="D1" s="139"/>
      <c r="E1" s="139"/>
    </row>
    <row r="2" spans="1:5" ht="38.25" x14ac:dyDescent="0.2">
      <c r="A2" s="555" t="str">
        <f>'Input &amp; Summary'!A2</f>
        <v>Note:  This Model Contains Proprietary or Wind Technology Protected Data, and Should Not Be Released Outside of the DOE/NREL/SNL, until Further Notice.</v>
      </c>
      <c r="B2" s="139"/>
      <c r="C2" s="139"/>
      <c r="D2" s="139"/>
      <c r="E2" s="139"/>
    </row>
    <row r="4" spans="1:5" x14ac:dyDescent="0.2">
      <c r="A4" s="21" t="s">
        <v>877</v>
      </c>
    </row>
    <row r="5" spans="1:5" ht="13.5" thickBot="1" x14ac:dyDescent="0.25">
      <c r="A5" s="635"/>
    </row>
    <row r="6" spans="1:5" ht="39" thickBot="1" x14ac:dyDescent="0.25">
      <c r="B6" s="480" t="s">
        <v>602</v>
      </c>
    </row>
    <row r="7" spans="1:5" ht="13.5" thickBot="1" x14ac:dyDescent="0.25">
      <c r="A7" s="221" t="s">
        <v>248</v>
      </c>
      <c r="B7" s="466">
        <f>'Input &amp; Summary'!B7</f>
        <v>1910</v>
      </c>
    </row>
    <row r="8" spans="1:5" ht="13.5" thickBot="1" x14ac:dyDescent="0.25"/>
    <row r="9" spans="1:5" ht="13.5" thickBot="1" x14ac:dyDescent="0.25">
      <c r="A9" s="21"/>
      <c r="B9" s="468" t="s">
        <v>100</v>
      </c>
    </row>
    <row r="10" spans="1:5" ht="13.5" thickBot="1" x14ac:dyDescent="0.25">
      <c r="A10" s="472" t="s">
        <v>878</v>
      </c>
      <c r="B10" s="590">
        <f>B7*B14</f>
        <v>191000</v>
      </c>
      <c r="C10" s="470">
        <f>'PPI Calculation'!D189</f>
        <v>1.4676119030648609</v>
      </c>
      <c r="D10" s="22" t="s">
        <v>739</v>
      </c>
    </row>
    <row r="11" spans="1:5" ht="13.5" thickBot="1" x14ac:dyDescent="0.25">
      <c r="A11" s="472" t="s">
        <v>652</v>
      </c>
      <c r="B11" s="590">
        <f>B10*C10</f>
        <v>280313.87348538841</v>
      </c>
      <c r="C11" s="550">
        <f>'Input &amp; Summary'!F7</f>
        <v>2010</v>
      </c>
      <c r="D11" s="567" t="s">
        <v>648</v>
      </c>
    </row>
    <row r="14" spans="1:5" x14ac:dyDescent="0.2">
      <c r="A14" s="142" t="s">
        <v>879</v>
      </c>
      <c r="B14" s="647">
        <v>100</v>
      </c>
    </row>
  </sheetData>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50"/>
  </sheetPr>
  <dimension ref="A1:E14"/>
  <sheetViews>
    <sheetView workbookViewId="0">
      <selection activeCell="E16" sqref="E16"/>
    </sheetView>
  </sheetViews>
  <sheetFormatPr defaultColWidth="8.85546875" defaultRowHeight="12.75" x14ac:dyDescent="0.2"/>
  <cols>
    <col min="1" max="1" width="34.42578125" customWidth="1"/>
    <col min="2" max="2" width="10.42578125" customWidth="1"/>
  </cols>
  <sheetData>
    <row r="1" spans="1:5" x14ac:dyDescent="0.2">
      <c r="A1" s="1" t="str">
        <f>'Input &amp; Summary'!A1</f>
        <v>Based on Combined Land Based-Offshore Turbine Cost Model. V2.01.12</v>
      </c>
      <c r="B1" s="139"/>
      <c r="C1" s="139"/>
      <c r="D1" s="139"/>
      <c r="E1" s="139"/>
    </row>
    <row r="2" spans="1:5" ht="38.25" x14ac:dyDescent="0.2">
      <c r="A2" s="555" t="str">
        <f>'Input &amp; Summary'!A2</f>
        <v>Note:  This Model Contains Proprietary or Wind Technology Protected Data, and Should Not Be Released Outside of the DOE/NREL/SNL, until Further Notice.</v>
      </c>
      <c r="B2" s="139"/>
      <c r="C2" s="139"/>
      <c r="D2" s="139"/>
      <c r="E2" s="139"/>
    </row>
    <row r="4" spans="1:5" x14ac:dyDescent="0.2">
      <c r="A4" s="21" t="s">
        <v>880</v>
      </c>
    </row>
    <row r="5" spans="1:5" ht="13.5" thickBot="1" x14ac:dyDescent="0.25">
      <c r="A5" s="635" t="s">
        <v>759</v>
      </c>
    </row>
    <row r="6" spans="1:5" ht="39" thickBot="1" x14ac:dyDescent="0.25">
      <c r="B6" s="480" t="s">
        <v>602</v>
      </c>
    </row>
    <row r="7" spans="1:5" ht="13.5" thickBot="1" x14ac:dyDescent="0.25">
      <c r="A7" s="221" t="s">
        <v>248</v>
      </c>
      <c r="B7" s="466">
        <f>'Input &amp; Summary'!B7</f>
        <v>1910</v>
      </c>
    </row>
    <row r="8" spans="1:5" ht="13.5" thickBot="1" x14ac:dyDescent="0.25"/>
    <row r="9" spans="1:5" ht="13.5" thickBot="1" x14ac:dyDescent="0.25">
      <c r="A9" s="21"/>
      <c r="B9" s="468" t="s">
        <v>100</v>
      </c>
    </row>
    <row r="10" spans="1:5" ht="13.5" thickBot="1" x14ac:dyDescent="0.25">
      <c r="A10" s="472" t="s">
        <v>765</v>
      </c>
      <c r="B10" s="590">
        <f>B7*B14</f>
        <v>553900</v>
      </c>
      <c r="C10" s="470">
        <f>'PPI Calculation'!D221</f>
        <v>1.7169987025414939</v>
      </c>
      <c r="D10" s="22" t="s">
        <v>739</v>
      </c>
    </row>
    <row r="11" spans="1:5" ht="13.5" thickBot="1" x14ac:dyDescent="0.25">
      <c r="A11" s="472" t="s">
        <v>652</v>
      </c>
      <c r="B11" s="590">
        <f>B10*C10</f>
        <v>951045.58133773343</v>
      </c>
      <c r="C11" s="550">
        <f>'Input &amp; Summary'!F7</f>
        <v>2010</v>
      </c>
      <c r="D11" s="567" t="s">
        <v>648</v>
      </c>
    </row>
    <row r="14" spans="1:5" x14ac:dyDescent="0.2">
      <c r="A14" s="142" t="s">
        <v>761</v>
      </c>
      <c r="B14" s="646">
        <v>290</v>
      </c>
    </row>
  </sheetData>
  <phoneticPr fontId="3"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99"/>
  </sheetPr>
  <dimension ref="B1:V9"/>
  <sheetViews>
    <sheetView workbookViewId="0"/>
  </sheetViews>
  <sheetFormatPr defaultColWidth="8.85546875" defaultRowHeight="12.75" x14ac:dyDescent="0.2"/>
  <cols>
    <col min="1" max="1" width="1.140625" customWidth="1"/>
    <col min="3" max="6" width="11.7109375" customWidth="1"/>
    <col min="7" max="7" width="5.7109375" customWidth="1"/>
    <col min="8" max="8" width="7.140625" bestFit="1" customWidth="1"/>
    <col min="9" max="9" width="10.140625" bestFit="1" customWidth="1"/>
    <col min="10" max="10" width="6.28515625" bestFit="1" customWidth="1"/>
    <col min="11" max="11" width="8.85546875" bestFit="1" customWidth="1"/>
    <col min="12" max="12" width="10.140625" bestFit="1" customWidth="1"/>
    <col min="13" max="13" width="6.28515625" bestFit="1" customWidth="1"/>
    <col min="14" max="14" width="8.85546875" bestFit="1" customWidth="1"/>
    <col min="15" max="15" width="10.140625" bestFit="1" customWidth="1"/>
    <col min="16" max="16" width="6.28515625" bestFit="1" customWidth="1"/>
    <col min="17" max="17" width="8.85546875" bestFit="1" customWidth="1"/>
    <col min="18" max="18" width="10.140625" bestFit="1" customWidth="1"/>
    <col min="19" max="19" width="6.28515625" bestFit="1" customWidth="1"/>
    <col min="20" max="20" width="8.85546875" bestFit="1" customWidth="1"/>
  </cols>
  <sheetData>
    <row r="1" spans="2:22" ht="6" customHeight="1" thickBot="1" x14ac:dyDescent="0.25"/>
    <row r="2" spans="2:22" ht="13.5" thickBot="1" x14ac:dyDescent="0.25">
      <c r="I2" s="1355" t="s">
        <v>1364</v>
      </c>
      <c r="J2" s="1356"/>
      <c r="K2" s="1357"/>
      <c r="L2" s="1355" t="s">
        <v>1366</v>
      </c>
      <c r="M2" s="1356"/>
      <c r="N2" s="1357"/>
      <c r="O2" s="1355" t="s">
        <v>1367</v>
      </c>
      <c r="P2" s="1356"/>
      <c r="Q2" s="1357"/>
      <c r="R2" s="1355" t="s">
        <v>1365</v>
      </c>
      <c r="S2" s="1356"/>
      <c r="T2" s="1357"/>
    </row>
    <row r="3" spans="2:22" ht="18.75" thickBot="1" x14ac:dyDescent="0.4">
      <c r="C3" s="1026" t="s">
        <v>1364</v>
      </c>
      <c r="D3" s="1027" t="s">
        <v>1206</v>
      </c>
      <c r="E3" s="1049" t="s">
        <v>1369</v>
      </c>
      <c r="F3" s="1028" t="s">
        <v>1368</v>
      </c>
      <c r="H3" s="1029" t="s">
        <v>1370</v>
      </c>
      <c r="I3" s="939" t="s">
        <v>1371</v>
      </c>
      <c r="J3" s="205" t="s">
        <v>1372</v>
      </c>
      <c r="K3" s="941" t="s">
        <v>1373</v>
      </c>
      <c r="L3" s="939" t="s">
        <v>1371</v>
      </c>
      <c r="M3" s="205" t="s">
        <v>1372</v>
      </c>
      <c r="N3" s="941" t="s">
        <v>1373</v>
      </c>
      <c r="O3" s="939" t="s">
        <v>1371</v>
      </c>
      <c r="P3" s="205" t="s">
        <v>1372</v>
      </c>
      <c r="Q3" s="941" t="s">
        <v>1373</v>
      </c>
      <c r="R3" s="939" t="s">
        <v>1371</v>
      </c>
      <c r="S3" s="205" t="s">
        <v>1372</v>
      </c>
      <c r="T3" s="941" t="s">
        <v>1373</v>
      </c>
    </row>
    <row r="4" spans="2:22" x14ac:dyDescent="0.2">
      <c r="B4" s="1029" t="s">
        <v>813</v>
      </c>
      <c r="C4" s="1030">
        <v>1.2894274449875391E-2</v>
      </c>
      <c r="D4" s="1031">
        <v>1.3307334562839045E-2</v>
      </c>
      <c r="E4" s="1031">
        <v>1.5473717106191873E-2</v>
      </c>
      <c r="F4" s="1032">
        <v>1.0071854519359659E-2</v>
      </c>
      <c r="H4" s="1033">
        <v>1</v>
      </c>
      <c r="I4" s="1034">
        <v>0.90200000000000002</v>
      </c>
      <c r="J4" s="1035">
        <f>($H4-($C$4+$C$5*$H4+$C$6*$H4^2))/$H4</f>
        <v>0.90201044301465383</v>
      </c>
      <c r="K4" s="1036">
        <f>ABS(J4-I4)</f>
        <v>1.0443014653804816E-5</v>
      </c>
      <c r="L4" s="1034">
        <v>0.88900000000000001</v>
      </c>
      <c r="M4" s="1035">
        <f>($H4-($D$4+$D$5*$H4+$D$6*$H4^2))/$H4</f>
        <v>0.88907894914012042</v>
      </c>
      <c r="N4" s="1036">
        <f>ABS(M4-L4)</f>
        <v>7.89491401204101E-5</v>
      </c>
      <c r="O4" s="1034">
        <v>0.88200000000000001</v>
      </c>
      <c r="P4" s="1035">
        <f>($H4-($E$4+$E$5*$H4+$E$6*$H4^2))/$H4</f>
        <v>0.88199786904477873</v>
      </c>
      <c r="Q4" s="1036">
        <f>ABS(P4-O4)</f>
        <v>2.1309552212800398E-6</v>
      </c>
      <c r="R4" s="1034">
        <v>0.90100000000000002</v>
      </c>
      <c r="S4" s="1035">
        <f>($H4-($F$4+$F$5*$H4+$F$6*$H4^2))/$H4</f>
        <v>0.90094238546614913</v>
      </c>
      <c r="T4" s="1036">
        <f>ABS(S4-R4)</f>
        <v>5.7614533850891547E-5</v>
      </c>
    </row>
    <row r="5" spans="2:22" x14ac:dyDescent="0.2">
      <c r="B5" s="953" t="s">
        <v>814</v>
      </c>
      <c r="C5" s="1037">
        <v>8.5095282535470773E-2</v>
      </c>
      <c r="D5" s="1038">
        <v>3.6547061795117138E-2</v>
      </c>
      <c r="E5" s="1038">
        <v>4.4630774343240642E-2</v>
      </c>
      <c r="F5" s="1039">
        <v>1.9995434426715326E-2</v>
      </c>
      <c r="H5" s="1033">
        <v>0.75</v>
      </c>
      <c r="I5" s="1034">
        <v>0.90300000000000002</v>
      </c>
      <c r="J5" s="1035">
        <f>($H5-($C$4+$C$5*$H5+$C$6*$H5^2))/$H5</f>
        <v>0.89771235153136208</v>
      </c>
      <c r="K5" s="1036">
        <f>ABS(J5-I5)</f>
        <v>5.2876484686379399E-3</v>
      </c>
      <c r="L5" s="1034">
        <v>0.9</v>
      </c>
      <c r="M5" s="1035">
        <f>($H5-($D$4+$D$5*$H5+$D$6*$H5^2))/$H5</f>
        <v>0.89990983457798823</v>
      </c>
      <c r="N5" s="1036">
        <f>ABS(M5-L5)</f>
        <v>9.0165422011789786E-5</v>
      </c>
      <c r="O5" s="1034">
        <v>0.89100000000000001</v>
      </c>
      <c r="P5" s="1035">
        <f>($H5-($E$4+$E$5*$H5+$E$6*$H5^2))/$H5</f>
        <v>0.89131437321916207</v>
      </c>
      <c r="Q5" s="1036">
        <f>ABS(P5-O5)</f>
        <v>3.1437321916205629E-4</v>
      </c>
      <c r="R5" s="1034">
        <v>0.91400000000000003</v>
      </c>
      <c r="S5" s="1035">
        <f>($H5-($F$4+$F$5*$H5+$F$6*$H5^2))/$H5</f>
        <v>0.91483268202330648</v>
      </c>
      <c r="T5" s="1036">
        <f>ABS(S5-R5)</f>
        <v>8.3268202330644137E-4</v>
      </c>
    </row>
    <row r="6" spans="2:22" ht="13.5" thickBot="1" x14ac:dyDescent="0.25">
      <c r="B6" s="954" t="s">
        <v>815</v>
      </c>
      <c r="C6" s="1040">
        <v>0</v>
      </c>
      <c r="D6" s="1041">
        <v>6.1066654501923376E-2</v>
      </c>
      <c r="E6" s="1041">
        <v>5.7897639505788738E-2</v>
      </c>
      <c r="F6" s="1042">
        <v>6.8990325587775916E-2</v>
      </c>
      <c r="H6" s="1033">
        <v>0.5</v>
      </c>
      <c r="I6" s="1034">
        <v>0.88900000000000001</v>
      </c>
      <c r="J6" s="1035">
        <f>($H6-($C$4+$C$5*$H6+$C$6*$H6^2))/$H6</f>
        <v>0.88911616856477849</v>
      </c>
      <c r="K6" s="1036">
        <f>ABS(J6-I6)</f>
        <v>1.1616856477847382E-4</v>
      </c>
      <c r="L6" s="1034">
        <v>0.90800000000000003</v>
      </c>
      <c r="M6" s="1035">
        <f>($H6-($D$4+$D$5*$H6+$D$6*$H6^2))/$H6</f>
        <v>0.90630494182824306</v>
      </c>
      <c r="N6" s="1036">
        <f>ABS(M6-L6)</f>
        <v>1.695058171756969E-3</v>
      </c>
      <c r="O6" s="1034">
        <v>0.89800000000000002</v>
      </c>
      <c r="P6" s="1035">
        <f>($H6-($E$4+$E$5*$H6+$E$6*$H6^2))/$H6</f>
        <v>0.89547297169148121</v>
      </c>
      <c r="Q6" s="1036">
        <f>ABS(P6-O6)</f>
        <v>2.5270283085188083E-3</v>
      </c>
      <c r="R6" s="1034">
        <v>0.92400000000000004</v>
      </c>
      <c r="S6" s="1035">
        <f>($H6-($F$4+$F$5*$H6+$F$6*$H6^2))/$H6</f>
        <v>0.92536569374067734</v>
      </c>
      <c r="T6" s="1036">
        <f>ABS(S6-R6)</f>
        <v>1.3656937406772984E-3</v>
      </c>
      <c r="V6" s="41"/>
    </row>
    <row r="7" spans="2:22" x14ac:dyDescent="0.2">
      <c r="H7" s="1033">
        <v>0.25</v>
      </c>
      <c r="I7" s="1034">
        <v>0.84799999999999998</v>
      </c>
      <c r="J7" s="1035">
        <f>($H7-($C$4+$C$5*$H7+$C$6*$H7^2))/$H7</f>
        <v>0.86332761966502769</v>
      </c>
      <c r="K7" s="1036">
        <f>ABS(J7-I7)</f>
        <v>1.5327619665027714E-2</v>
      </c>
      <c r="L7" s="1034">
        <v>0.89300000000000002</v>
      </c>
      <c r="M7" s="1035">
        <f>($H7-($D$4+$D$5*$H7+$D$6*$H7^2))/$H7</f>
        <v>0.89495693632804585</v>
      </c>
      <c r="N7" s="1036">
        <f>ABS(M7-L7)</f>
        <v>1.956936328045833E-3</v>
      </c>
      <c r="O7" s="1034">
        <v>0.879</v>
      </c>
      <c r="P7" s="1035">
        <f>($H7-($E$4+$E$5*$H7+$E$6*$H7^2))/$H7</f>
        <v>0.87899994735554465</v>
      </c>
      <c r="Q7" s="1036">
        <f>ABS(P7-O7)</f>
        <v>5.2644455350581154E-8</v>
      </c>
      <c r="R7" s="1034">
        <v>0.92700000000000005</v>
      </c>
      <c r="S7" s="1035">
        <f>($H7-($F$4+$F$5*$H7+$F$6*$H7^2))/$H7</f>
        <v>0.92246956609890207</v>
      </c>
      <c r="T7" s="1036">
        <f>ABS(S7-R7)</f>
        <v>4.5304339010979744E-3</v>
      </c>
    </row>
    <row r="8" spans="2:22" ht="13.5" thickBot="1" x14ac:dyDescent="0.25">
      <c r="H8" s="1043">
        <v>0.06</v>
      </c>
      <c r="I8" s="1044">
        <v>0.7</v>
      </c>
      <c r="J8" s="1045">
        <f>($H8-($C$4+$C$5*$H8+$C$6*$H8^2))/$H8</f>
        <v>0.70000014329993931</v>
      </c>
      <c r="K8" s="1046">
        <f>ABS(J8-I8)</f>
        <v>1.4329993935913166E-7</v>
      </c>
      <c r="L8" s="1044">
        <v>0.73799999999999999</v>
      </c>
      <c r="M8" s="1045">
        <f>($H8-($D$4+$D$5*$H8+$D$6*$H8^2))/$H8</f>
        <v>0.7380000295541167</v>
      </c>
      <c r="N8" s="1046">
        <f>ABS(M8-L8)</f>
        <v>2.9554116709462619E-8</v>
      </c>
      <c r="O8" s="1044">
        <v>0.69399999999999995</v>
      </c>
      <c r="P8" s="1045">
        <f>($H8-($E$4+$E$5*$H8+$E$6*$H8^2))/$H8</f>
        <v>0.69400008218321418</v>
      </c>
      <c r="Q8" s="1046">
        <f>ABS(P8-O8)</f>
        <v>8.2183214233921831E-8</v>
      </c>
      <c r="R8" s="1044">
        <v>0.80800000000000005</v>
      </c>
      <c r="S8" s="1045">
        <f>($H8-($F$4+$F$5*$H8+$F$6*$H8^2))/$H8</f>
        <v>0.80800090404869052</v>
      </c>
      <c r="T8" s="1046">
        <f>ABS(S8-R8)</f>
        <v>9.04048690464343E-7</v>
      </c>
    </row>
    <row r="9" spans="2:22" x14ac:dyDescent="0.2">
      <c r="J9" s="1047" t="s">
        <v>404</v>
      </c>
      <c r="K9" s="1048">
        <f>SUM(K4:K8)</f>
        <v>2.0742023013037292E-2</v>
      </c>
      <c r="M9" s="1047" t="s">
        <v>404</v>
      </c>
      <c r="N9" s="1048">
        <f>SUM(N4:N8)</f>
        <v>3.8211386160517113E-3</v>
      </c>
      <c r="P9" s="1047" t="s">
        <v>404</v>
      </c>
      <c r="Q9" s="1048">
        <f>SUM(Q4:Q8)</f>
        <v>2.8436673105717292E-3</v>
      </c>
      <c r="S9" s="1047" t="s">
        <v>404</v>
      </c>
      <c r="T9" s="1048">
        <f>SUM(T4:T8)</f>
        <v>6.7873282476230701E-3</v>
      </c>
    </row>
  </sheetData>
  <mergeCells count="4">
    <mergeCell ref="I2:K2"/>
    <mergeCell ref="L2:N2"/>
    <mergeCell ref="O2:Q2"/>
    <mergeCell ref="R2:T2"/>
  </mergeCells>
  <pageMargins left="0.7" right="0.7" top="0.75" bottom="0.75" header="0.3" footer="0.3"/>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tabColor indexed="43"/>
  </sheetPr>
  <dimension ref="A1:DQ380"/>
  <sheetViews>
    <sheetView tabSelected="1" topLeftCell="A50" workbookViewId="0">
      <selection activeCell="S81" sqref="S81"/>
    </sheetView>
  </sheetViews>
  <sheetFormatPr defaultColWidth="8.85546875" defaultRowHeight="12.75" x14ac:dyDescent="0.2"/>
  <cols>
    <col min="1" max="1" width="25.42578125" style="7" bestFit="1" customWidth="1"/>
    <col min="2" max="2" width="10.7109375" style="3" customWidth="1"/>
    <col min="3" max="3" width="10.85546875" customWidth="1"/>
    <col min="4" max="4" width="10.85546875" style="1153" customWidth="1"/>
    <col min="5" max="6" width="12.7109375" bestFit="1" customWidth="1"/>
    <col min="7" max="7" width="8.85546875" bestFit="1" customWidth="1"/>
    <col min="8" max="8" width="8.85546875" style="1153" customWidth="1"/>
    <col min="9" max="9" width="10.140625" customWidth="1"/>
    <col min="10" max="10" width="10.42578125" bestFit="1" customWidth="1"/>
    <col min="11" max="11" width="9.85546875" customWidth="1"/>
    <col min="12" max="12" width="13.28515625" bestFit="1" customWidth="1"/>
    <col min="13" max="13" width="12.140625" bestFit="1" customWidth="1"/>
    <col min="14" max="14" width="11.7109375" bestFit="1" customWidth="1"/>
    <col min="15" max="15" width="12.140625" bestFit="1" customWidth="1"/>
    <col min="16" max="20" width="12.140625" style="1153" customWidth="1"/>
    <col min="21" max="22" width="12.140625" customWidth="1"/>
    <col min="23" max="23" width="10.42578125" customWidth="1"/>
    <col min="24" max="24" width="10.7109375" customWidth="1"/>
    <col min="25" max="25" width="10.85546875" customWidth="1"/>
    <col min="26" max="29" width="11.42578125" customWidth="1"/>
    <col min="30" max="30" width="10.42578125" customWidth="1"/>
  </cols>
  <sheetData>
    <row r="1" spans="1:28" ht="13.35" customHeight="1" x14ac:dyDescent="0.2">
      <c r="A1" s="551" t="s">
        <v>87</v>
      </c>
      <c r="B1" s="552">
        <f>'Input &amp; Summary'!B13</f>
        <v>7.25</v>
      </c>
      <c r="C1" t="s">
        <v>44</v>
      </c>
      <c r="F1" s="4"/>
      <c r="G1" s="5" t="s">
        <v>45</v>
      </c>
      <c r="H1" s="5"/>
      <c r="I1" s="5" t="s">
        <v>46</v>
      </c>
      <c r="J1" s="6"/>
      <c r="K1" s="6"/>
      <c r="L1" s="6"/>
      <c r="M1" s="6"/>
      <c r="N1" s="6"/>
      <c r="O1" s="6"/>
      <c r="P1" s="1253"/>
      <c r="Q1" s="1251"/>
      <c r="R1" s="1253"/>
      <c r="S1" s="1253"/>
      <c r="T1" s="1251"/>
      <c r="U1" s="6"/>
      <c r="V1" s="6"/>
      <c r="W1" s="6"/>
      <c r="X1" s="7"/>
      <c r="AA1" s="658"/>
      <c r="AB1" s="659"/>
    </row>
    <row r="2" spans="1:28" ht="13.35" customHeight="1" x14ac:dyDescent="0.2">
      <c r="A2" s="551" t="s">
        <v>47</v>
      </c>
      <c r="B2" s="685">
        <v>2</v>
      </c>
      <c r="F2" s="8"/>
      <c r="G2">
        <v>0</v>
      </c>
      <c r="I2" s="9">
        <f t="shared" ref="I2:I22" si="0">IF(ISERROR((G2-($B$19+$B$20*G2+$B$21*G2^2))/G2),0,(G2-($B$19+$B$20*G2+$B$21*G2^2))/G2)</f>
        <v>0</v>
      </c>
      <c r="J2" s="10"/>
      <c r="K2" s="10"/>
      <c r="L2" s="10"/>
      <c r="M2" s="10"/>
      <c r="N2" s="10"/>
      <c r="O2" s="10"/>
      <c r="P2" s="10"/>
      <c r="Q2" s="10"/>
      <c r="R2" s="10"/>
      <c r="S2" s="10"/>
      <c r="T2" s="10"/>
      <c r="U2" s="10"/>
      <c r="V2" s="10"/>
      <c r="W2" s="10"/>
      <c r="X2" s="660"/>
      <c r="AA2" s="658"/>
      <c r="AB2" s="659"/>
    </row>
    <row r="3" spans="1:28" ht="13.35" customHeight="1" x14ac:dyDescent="0.2">
      <c r="A3" s="553" t="s">
        <v>48</v>
      </c>
      <c r="B3" s="554">
        <f>'Input &amp; Summary'!B7</f>
        <v>1910</v>
      </c>
      <c r="C3" t="s">
        <v>49</v>
      </c>
      <c r="F3" s="10"/>
      <c r="G3">
        <v>0.05</v>
      </c>
      <c r="I3" s="9">
        <f t="shared" si="0"/>
        <v>0.65701922846702143</v>
      </c>
      <c r="J3" s="12"/>
      <c r="K3" s="12"/>
      <c r="L3" s="12"/>
      <c r="M3" s="12"/>
      <c r="N3" s="12"/>
      <c r="O3" s="12"/>
      <c r="P3" s="12"/>
      <c r="Q3" s="12"/>
      <c r="R3" s="12"/>
      <c r="S3" s="12"/>
      <c r="T3" s="12"/>
      <c r="U3" s="12"/>
      <c r="V3" s="12"/>
      <c r="W3" s="12"/>
      <c r="X3" s="660"/>
      <c r="AB3" s="659"/>
    </row>
    <row r="4" spans="1:28" ht="13.35" customHeight="1" x14ac:dyDescent="0.2">
      <c r="A4" s="551" t="s">
        <v>50</v>
      </c>
      <c r="B4" s="552">
        <f>'Input &amp; Summary'!B8</f>
        <v>96.9</v>
      </c>
      <c r="C4" t="s">
        <v>51</v>
      </c>
      <c r="F4" s="10"/>
      <c r="G4">
        <v>0.1</v>
      </c>
      <c r="I4" s="9">
        <f t="shared" si="0"/>
        <v>0.7859619729657753</v>
      </c>
      <c r="J4" s="12"/>
      <c r="K4" s="12"/>
      <c r="L4" s="12"/>
      <c r="M4" s="12"/>
      <c r="N4" s="12"/>
      <c r="O4" s="12"/>
      <c r="P4" s="12"/>
      <c r="Q4" s="12"/>
      <c r="R4" s="12"/>
      <c r="S4" s="12"/>
      <c r="T4" s="12"/>
      <c r="U4" s="12"/>
      <c r="V4" s="12"/>
      <c r="W4" s="12"/>
      <c r="X4" s="660"/>
    </row>
    <row r="5" spans="1:28" ht="13.35" customHeight="1" x14ac:dyDescent="0.2">
      <c r="A5" s="551" t="s">
        <v>52</v>
      </c>
      <c r="B5" s="552">
        <f>'Input &amp; Summary'!B9</f>
        <v>82.7</v>
      </c>
      <c r="C5" t="s">
        <v>51</v>
      </c>
      <c r="F5" s="10"/>
      <c r="G5">
        <v>0.15</v>
      </c>
      <c r="I5" s="9">
        <f t="shared" si="0"/>
        <v>0.8289428877986933</v>
      </c>
      <c r="J5" s="12"/>
      <c r="K5" s="12"/>
      <c r="L5" s="12"/>
      <c r="M5" s="12"/>
      <c r="N5" s="12"/>
      <c r="O5" s="12"/>
      <c r="P5" s="12"/>
      <c r="Q5" s="12"/>
      <c r="R5" s="12"/>
      <c r="S5" s="12"/>
      <c r="T5" s="12"/>
      <c r="U5" s="12"/>
      <c r="V5" s="12"/>
      <c r="W5" s="12"/>
      <c r="X5" s="660"/>
    </row>
    <row r="6" spans="1:28" ht="13.35" customHeight="1" x14ac:dyDescent="0.2">
      <c r="A6" s="551" t="s">
        <v>53</v>
      </c>
      <c r="B6" s="686">
        <f>'Input &amp; Summary'!B16</f>
        <v>450</v>
      </c>
      <c r="C6" t="s">
        <v>51</v>
      </c>
      <c r="F6" s="10"/>
      <c r="G6">
        <v>0.2</v>
      </c>
      <c r="I6" s="9">
        <f t="shared" si="0"/>
        <v>0.85043334521515224</v>
      </c>
      <c r="J6" s="12"/>
      <c r="K6" s="12"/>
      <c r="L6" s="12"/>
      <c r="M6" s="12"/>
      <c r="N6" s="12"/>
      <c r="O6" s="12"/>
      <c r="P6" s="12"/>
      <c r="Q6" s="12"/>
      <c r="R6" s="12"/>
      <c r="S6" s="12"/>
      <c r="T6" s="12"/>
      <c r="U6" s="12"/>
      <c r="V6" s="12"/>
      <c r="W6" s="12"/>
      <c r="X6" s="660"/>
    </row>
    <row r="7" spans="1:28" ht="13.35" customHeight="1" x14ac:dyDescent="0.2">
      <c r="A7" s="551" t="s">
        <v>56</v>
      </c>
      <c r="B7" s="685">
        <f>'Input &amp; Summary'!B17</f>
        <v>0.47</v>
      </c>
      <c r="E7" s="14"/>
      <c r="F7" s="10"/>
      <c r="G7">
        <v>0.25</v>
      </c>
      <c r="I7" s="9">
        <f t="shared" si="0"/>
        <v>0.86332761966502769</v>
      </c>
      <c r="J7" s="12"/>
      <c r="K7" s="12"/>
      <c r="L7" s="12"/>
      <c r="M7" s="12"/>
      <c r="N7" s="12"/>
      <c r="O7" s="12"/>
      <c r="P7" s="12"/>
      <c r="Q7" s="12"/>
      <c r="R7" s="12"/>
      <c r="S7" s="12"/>
      <c r="T7" s="12"/>
      <c r="U7" s="12"/>
      <c r="V7" s="12"/>
      <c r="W7" s="12"/>
      <c r="X7" s="660"/>
    </row>
    <row r="8" spans="1:28" ht="13.35" customHeight="1" x14ac:dyDescent="0.2">
      <c r="A8" s="551" t="s">
        <v>808</v>
      </c>
      <c r="B8" s="552">
        <f>'Input &amp; Summary'!B19</f>
        <v>8</v>
      </c>
      <c r="F8" s="10"/>
      <c r="G8">
        <v>0.3</v>
      </c>
      <c r="I8" s="9">
        <f t="shared" si="0"/>
        <v>0.87192380263161118</v>
      </c>
      <c r="J8" s="12"/>
      <c r="K8" s="12"/>
      <c r="L8" s="12"/>
      <c r="M8" s="12"/>
      <c r="N8" s="12"/>
      <c r="O8" s="12"/>
      <c r="P8" s="12"/>
      <c r="Q8" s="12"/>
      <c r="R8" s="12"/>
      <c r="S8" s="12"/>
      <c r="T8" s="12"/>
      <c r="U8" s="12"/>
      <c r="V8" s="12"/>
      <c r="W8" s="12"/>
      <c r="X8" s="660"/>
    </row>
    <row r="9" spans="1:28" ht="13.35" customHeight="1" x14ac:dyDescent="0.2">
      <c r="A9" s="551" t="s">
        <v>809</v>
      </c>
      <c r="B9" s="552">
        <f>'Input &amp; Summary'!B18</f>
        <v>80</v>
      </c>
      <c r="C9" t="s">
        <v>44</v>
      </c>
      <c r="F9" s="10"/>
      <c r="G9">
        <v>0.35</v>
      </c>
      <c r="I9" s="9">
        <f t="shared" si="0"/>
        <v>0.87806393332202815</v>
      </c>
      <c r="J9" s="12"/>
      <c r="K9" s="12"/>
      <c r="L9" s="12"/>
      <c r="M9" s="12"/>
      <c r="N9" s="12"/>
      <c r="O9" s="12"/>
      <c r="P9" s="12"/>
      <c r="Q9" s="12"/>
      <c r="R9" s="12"/>
      <c r="S9" s="12"/>
      <c r="T9" s="12"/>
      <c r="U9" s="12"/>
      <c r="V9" s="12"/>
      <c r="W9" s="12"/>
      <c r="X9" s="660"/>
    </row>
    <row r="10" spans="1:28" ht="13.35" customHeight="1" x14ac:dyDescent="0.2">
      <c r="A10" s="2" t="s">
        <v>810</v>
      </c>
      <c r="B10" s="661">
        <v>0.05</v>
      </c>
      <c r="F10" s="10"/>
      <c r="G10">
        <v>0.4</v>
      </c>
      <c r="I10" s="9">
        <f t="shared" si="0"/>
        <v>0.88266903133984076</v>
      </c>
      <c r="J10" s="12"/>
      <c r="K10" s="12"/>
      <c r="L10" s="12"/>
      <c r="M10" s="12"/>
      <c r="N10" s="12"/>
      <c r="O10" s="12"/>
      <c r="P10" s="12"/>
      <c r="Q10" s="12"/>
      <c r="R10" s="12"/>
      <c r="S10" s="12"/>
      <c r="T10" s="12"/>
      <c r="U10" s="12"/>
      <c r="V10" s="12"/>
      <c r="W10" s="12"/>
      <c r="X10" s="660"/>
    </row>
    <row r="11" spans="1:28" ht="13.35" customHeight="1" x14ac:dyDescent="0.2">
      <c r="A11" s="2" t="s">
        <v>57</v>
      </c>
      <c r="B11" s="3">
        <v>4</v>
      </c>
      <c r="C11" t="s">
        <v>44</v>
      </c>
      <c r="F11" s="10"/>
      <c r="G11">
        <v>0.45</v>
      </c>
      <c r="I11" s="9">
        <f t="shared" si="0"/>
        <v>0.88625077424258392</v>
      </c>
      <c r="J11" s="12"/>
      <c r="K11" s="12"/>
      <c r="L11" s="12"/>
      <c r="M11" s="12"/>
      <c r="N11" s="12"/>
      <c r="O11" s="12"/>
      <c r="P11" s="12"/>
      <c r="Q11" s="12"/>
      <c r="R11" s="12"/>
      <c r="S11" s="12"/>
      <c r="T11" s="12"/>
      <c r="U11" s="12"/>
      <c r="V11" s="12"/>
      <c r="W11" s="12"/>
      <c r="X11" s="660"/>
    </row>
    <row r="12" spans="1:28" ht="13.35" customHeight="1" x14ac:dyDescent="0.2">
      <c r="A12" s="2" t="s">
        <v>58</v>
      </c>
      <c r="B12" s="3">
        <v>25</v>
      </c>
      <c r="C12" t="s">
        <v>44</v>
      </c>
      <c r="F12" s="10"/>
      <c r="G12">
        <v>0.5</v>
      </c>
      <c r="I12" s="9">
        <f t="shared" si="0"/>
        <v>0.88911616856477849</v>
      </c>
      <c r="J12" s="12"/>
      <c r="K12" s="12"/>
      <c r="L12" s="12"/>
      <c r="M12" s="12"/>
      <c r="N12" s="12"/>
      <c r="O12" s="12"/>
      <c r="P12" s="12"/>
      <c r="Q12" s="12"/>
      <c r="R12" s="12"/>
      <c r="S12" s="12"/>
      <c r="T12" s="12"/>
      <c r="U12" s="12"/>
      <c r="V12" s="12"/>
      <c r="W12" s="12"/>
      <c r="X12" s="660"/>
    </row>
    <row r="13" spans="1:28" ht="13.35" customHeight="1" x14ac:dyDescent="0.2">
      <c r="A13" s="551" t="s">
        <v>59</v>
      </c>
      <c r="B13" s="687">
        <f>'Input &amp; Summary'!B15</f>
        <v>0.14299999999999999</v>
      </c>
      <c r="F13" s="10"/>
      <c r="G13">
        <v>0.55000000000000004</v>
      </c>
      <c r="I13" s="9">
        <f t="shared" si="0"/>
        <v>0.89146058210111945</v>
      </c>
      <c r="J13" s="12"/>
      <c r="K13" s="12"/>
      <c r="L13" s="12"/>
      <c r="M13" s="12"/>
      <c r="N13" s="12"/>
      <c r="O13" s="12"/>
      <c r="P13" s="12"/>
      <c r="Q13" s="12"/>
      <c r="R13" s="12"/>
      <c r="S13" s="12"/>
      <c r="T13" s="12"/>
      <c r="U13" s="12"/>
      <c r="V13" s="12"/>
      <c r="W13" s="12"/>
      <c r="X13" s="660"/>
    </row>
    <row r="14" spans="1:28" ht="13.35" customHeight="1" x14ac:dyDescent="0.2">
      <c r="A14" s="2" t="s">
        <v>811</v>
      </c>
      <c r="B14" s="662">
        <f>(30/PI())*B9/(B4/2)</f>
        <v>15.76767238062121</v>
      </c>
      <c r="C14" s="690" t="str">
        <f>IF(L28&gt;B14*PI()/30,"Error","OK")</f>
        <v>OK</v>
      </c>
      <c r="D14" s="1256"/>
      <c r="E14">
        <f>B15*B16^3/2</f>
        <v>274.96817956538405</v>
      </c>
      <c r="F14" s="10"/>
      <c r="G14">
        <v>0.6</v>
      </c>
      <c r="I14" s="9">
        <f t="shared" si="0"/>
        <v>0.89341426004807034</v>
      </c>
      <c r="J14" s="12"/>
      <c r="K14" s="12"/>
      <c r="L14" s="12"/>
      <c r="M14" s="12"/>
      <c r="N14" s="12"/>
      <c r="O14" s="12"/>
      <c r="P14" s="12"/>
      <c r="Q14" s="12"/>
      <c r="R14" s="12"/>
      <c r="S14" s="12"/>
      <c r="T14" s="12"/>
      <c r="U14" s="12"/>
      <c r="V14" s="12"/>
      <c r="W14" s="12"/>
      <c r="X14" s="660"/>
    </row>
    <row r="15" spans="1:28" ht="13.35" customHeight="1" x14ac:dyDescent="0.2">
      <c r="A15" s="2" t="s">
        <v>54</v>
      </c>
      <c r="B15" s="13">
        <f>(101300*(1-((0.0065*(B6+B5))/288.15))^(9.80665/(0.0065*287.15)))/(287.15*(288.15-0.0065*(B6+B5)))</f>
        <v>1.1629115464932083</v>
      </c>
      <c r="C15" t="s">
        <v>55</v>
      </c>
      <c r="F15" s="10"/>
      <c r="G15">
        <v>0.65</v>
      </c>
      <c r="I15" s="9">
        <f t="shared" si="0"/>
        <v>0.89506737215702858</v>
      </c>
      <c r="J15" s="12"/>
      <c r="K15" s="12"/>
      <c r="L15" s="12"/>
      <c r="M15" s="12"/>
      <c r="N15" s="12"/>
      <c r="O15" s="12"/>
      <c r="P15" s="12"/>
      <c r="Q15" s="12"/>
      <c r="R15" s="12"/>
      <c r="S15" s="12"/>
      <c r="T15" s="12"/>
      <c r="U15" s="12"/>
      <c r="V15" s="12"/>
      <c r="W15" s="12"/>
      <c r="X15" s="660"/>
    </row>
    <row r="16" spans="1:28" ht="13.35" customHeight="1" x14ac:dyDescent="0.2">
      <c r="A16" s="2" t="s">
        <v>60</v>
      </c>
      <c r="B16" s="15">
        <f>((B5/50)^B13)*B1</f>
        <v>7.7909171106820896</v>
      </c>
      <c r="F16" s="10"/>
      <c r="G16">
        <v>0.7</v>
      </c>
      <c r="I16" s="9">
        <f t="shared" si="0"/>
        <v>0.89648432539327871</v>
      </c>
      <c r="J16" s="12"/>
      <c r="K16" s="12"/>
      <c r="L16" s="12"/>
      <c r="M16" s="12"/>
      <c r="N16" s="12"/>
      <c r="O16" s="12"/>
      <c r="P16" s="12"/>
      <c r="Q16" s="12"/>
      <c r="R16" s="12"/>
      <c r="S16" s="12"/>
      <c r="T16" s="12"/>
      <c r="U16" s="12"/>
      <c r="V16" s="12"/>
      <c r="W16" s="12"/>
      <c r="X16" s="660"/>
    </row>
    <row r="17" spans="1:24" ht="13.35" customHeight="1" x14ac:dyDescent="0.2">
      <c r="A17" s="2" t="s">
        <v>812</v>
      </c>
      <c r="B17" s="13">
        <f>B3/I22</f>
        <v>2117.4921141893815</v>
      </c>
      <c r="C17" t="s">
        <v>49</v>
      </c>
      <c r="F17" s="10"/>
      <c r="G17">
        <v>0.75</v>
      </c>
      <c r="I17" s="9">
        <f t="shared" si="0"/>
        <v>0.89771235153136208</v>
      </c>
      <c r="J17" s="12"/>
      <c r="K17" s="12"/>
      <c r="L17" s="12"/>
      <c r="M17" s="12"/>
      <c r="N17" s="12"/>
      <c r="O17" s="12"/>
      <c r="P17" s="12"/>
      <c r="Q17" s="12"/>
      <c r="R17" s="12"/>
      <c r="S17" s="12"/>
      <c r="T17" s="12"/>
      <c r="U17" s="12"/>
      <c r="V17" s="12"/>
      <c r="W17" s="12"/>
      <c r="X17" s="660"/>
    </row>
    <row r="18" spans="1:24" ht="13.35" customHeight="1" x14ac:dyDescent="0.2">
      <c r="A18" s="2" t="s">
        <v>61</v>
      </c>
      <c r="B18" s="16">
        <f>0.33*((2*B17*1000/(B15*(PI()*B4^2/4)*B7))^(1/3))+0.67*(((1/(1.5*B15*PI()*B4^2*0.25*B7*O25^2))*(1000*(B17-O26)))+O25)</f>
        <v>10.16862880696292</v>
      </c>
      <c r="C18" t="s">
        <v>44</v>
      </c>
      <c r="E18" s="663">
        <f>(((2*B17*1000/(B15*(PI()*B4^2/4)*B7))^(1/3)))</f>
        <v>10.166152193987987</v>
      </c>
      <c r="F18" s="664">
        <f>(((1/(1.5*B15*PI()*B4^2*0.25*B7*O25^2))*(1000*(B17-O26)))+O25)</f>
        <v>10.169848631264005</v>
      </c>
      <c r="G18">
        <v>0.8</v>
      </c>
      <c r="I18" s="9">
        <f t="shared" si="0"/>
        <v>0.89878687440218497</v>
      </c>
      <c r="J18" s="12"/>
      <c r="K18" s="12"/>
      <c r="L18" s="12"/>
      <c r="M18" s="12"/>
      <c r="N18" s="12"/>
      <c r="O18" s="12"/>
      <c r="P18" s="12"/>
      <c r="Q18" s="12"/>
      <c r="R18" s="12"/>
      <c r="S18" s="12"/>
      <c r="T18" s="12"/>
      <c r="U18" s="12"/>
      <c r="V18" s="12"/>
      <c r="W18" s="12"/>
      <c r="X18" s="660"/>
    </row>
    <row r="19" spans="1:24" x14ac:dyDescent="0.2">
      <c r="A19" s="553" t="s">
        <v>62</v>
      </c>
      <c r="B19" s="688">
        <f>HLOOKUP('Input &amp; Summary'!B24,'Cost &amp; Mass Functions'!M141:P144,2)</f>
        <v>1.2894274449875391E-2</v>
      </c>
      <c r="C19" t="s">
        <v>813</v>
      </c>
      <c r="E19" s="658">
        <v>0.02</v>
      </c>
      <c r="F19" s="10"/>
      <c r="G19">
        <v>0.85</v>
      </c>
      <c r="I19" s="9">
        <f t="shared" si="0"/>
        <v>0.89973498281761699</v>
      </c>
      <c r="J19" s="12"/>
      <c r="K19" s="12"/>
      <c r="L19" s="12"/>
      <c r="M19" s="12"/>
      <c r="N19" s="12"/>
      <c r="O19" s="12"/>
      <c r="P19" s="12"/>
      <c r="Q19" s="12"/>
      <c r="R19" s="12"/>
      <c r="S19" s="12"/>
      <c r="T19" s="12"/>
      <c r="U19" s="12"/>
      <c r="V19" s="12"/>
      <c r="W19" s="12"/>
      <c r="X19" s="660"/>
    </row>
    <row r="20" spans="1:24" x14ac:dyDescent="0.2">
      <c r="A20" s="689"/>
      <c r="B20" s="688">
        <f>HLOOKUP('Input &amp; Summary'!B24,'Cost &amp; Mass Functions'!M141:P144,3)</f>
        <v>8.5095282535470773E-2</v>
      </c>
      <c r="C20" t="s">
        <v>814</v>
      </c>
      <c r="E20" s="658">
        <v>5.5E-2</v>
      </c>
      <c r="F20" s="10"/>
      <c r="G20">
        <v>0.9</v>
      </c>
      <c r="I20" s="9">
        <f t="shared" si="0"/>
        <v>0.90057774585355665</v>
      </c>
      <c r="J20" s="12"/>
      <c r="K20" s="12"/>
      <c r="L20" s="12"/>
      <c r="M20" s="12"/>
      <c r="N20" s="12"/>
      <c r="O20" s="12"/>
      <c r="P20" s="12"/>
      <c r="Q20" s="12"/>
      <c r="R20" s="12"/>
      <c r="S20" s="12"/>
      <c r="T20" s="12"/>
      <c r="U20" s="12"/>
      <c r="V20" s="12"/>
      <c r="W20" s="12"/>
      <c r="X20" s="660"/>
    </row>
    <row r="21" spans="1:24" x14ac:dyDescent="0.2">
      <c r="A21" s="689"/>
      <c r="B21" s="688">
        <f>HLOOKUP('Input &amp; Summary'!B24,'Cost &amp; Mass Functions'!M141:P144,4)</f>
        <v>0</v>
      </c>
      <c r="C21" t="s">
        <v>815</v>
      </c>
      <c r="E21" s="658">
        <v>0</v>
      </c>
      <c r="F21" s="10"/>
      <c r="G21">
        <v>0.95</v>
      </c>
      <c r="I21" s="9">
        <f t="shared" si="0"/>
        <v>0.90133179699097621</v>
      </c>
      <c r="J21" s="12"/>
      <c r="K21" s="12"/>
      <c r="L21" s="12"/>
      <c r="M21" s="12"/>
      <c r="N21" s="12"/>
      <c r="O21" s="12"/>
      <c r="P21" s="12"/>
      <c r="Q21" s="12"/>
      <c r="R21" s="12"/>
      <c r="S21" s="12"/>
      <c r="T21" s="12"/>
      <c r="U21" s="12"/>
      <c r="V21" s="12"/>
      <c r="W21" s="12"/>
      <c r="X21" s="660"/>
    </row>
    <row r="22" spans="1:24" x14ac:dyDescent="0.2">
      <c r="A22" s="551" t="s">
        <v>63</v>
      </c>
      <c r="B22" s="579">
        <f>'Input &amp; Summary'!B20</f>
        <v>0</v>
      </c>
      <c r="F22" s="10"/>
      <c r="G22">
        <v>1</v>
      </c>
      <c r="I22" s="9">
        <f t="shared" si="0"/>
        <v>0.90201044301465383</v>
      </c>
      <c r="J22" s="12"/>
      <c r="K22" s="12"/>
      <c r="L22" s="12"/>
      <c r="M22" s="12"/>
      <c r="N22" s="12"/>
      <c r="O22" s="12"/>
      <c r="P22" s="12"/>
      <c r="Q22" s="12"/>
      <c r="R22" s="12"/>
      <c r="S22" s="12"/>
      <c r="T22" s="12"/>
      <c r="U22" s="12"/>
      <c r="V22" s="12"/>
      <c r="W22" s="12"/>
      <c r="X22" s="660"/>
    </row>
    <row r="23" spans="1:24" ht="13.5" thickBot="1" x14ac:dyDescent="0.25">
      <c r="A23" s="551" t="s">
        <v>64</v>
      </c>
      <c r="B23" s="579">
        <v>0</v>
      </c>
    </row>
    <row r="24" spans="1:24" x14ac:dyDescent="0.2">
      <c r="A24" s="553" t="s">
        <v>65</v>
      </c>
      <c r="B24" s="579">
        <v>1</v>
      </c>
      <c r="G24" s="665" t="s">
        <v>816</v>
      </c>
      <c r="H24" s="1255"/>
      <c r="I24" s="226"/>
      <c r="J24" s="226"/>
      <c r="K24" s="226"/>
      <c r="L24" s="226"/>
      <c r="M24" s="666"/>
      <c r="N24" s="667" t="s">
        <v>817</v>
      </c>
      <c r="O24" s="227"/>
      <c r="P24" s="1050"/>
      <c r="Q24" s="1050"/>
      <c r="R24" s="1050"/>
      <c r="S24" s="1050"/>
      <c r="T24" s="1050"/>
      <c r="U24" s="1050"/>
      <c r="V24" s="1050"/>
    </row>
    <row r="25" spans="1:24" ht="13.5" thickBot="1" x14ac:dyDescent="0.25">
      <c r="A25" s="3"/>
      <c r="B25" s="3" t="s">
        <v>66</v>
      </c>
      <c r="C25" s="3" t="s">
        <v>74</v>
      </c>
      <c r="D25" s="3"/>
      <c r="E25" s="3" t="s">
        <v>818</v>
      </c>
      <c r="G25" s="668" t="s">
        <v>819</v>
      </c>
      <c r="H25" s="270"/>
      <c r="I25" s="669">
        <f>B9/(B4/2)</f>
        <v>1.6511867905056758</v>
      </c>
      <c r="J25" s="39"/>
      <c r="K25" s="270" t="s">
        <v>820</v>
      </c>
      <c r="L25" s="670">
        <f>I28</f>
        <v>447675.53733084834</v>
      </c>
      <c r="M25" s="39"/>
      <c r="N25" s="270" t="s">
        <v>70</v>
      </c>
      <c r="O25" s="671">
        <f>(L28*B4)/(2*B8)</f>
        <v>9.9747450961712385</v>
      </c>
      <c r="P25" s="670"/>
      <c r="Q25" s="670"/>
      <c r="R25" s="670"/>
      <c r="S25" s="670"/>
      <c r="T25" s="670"/>
      <c r="U25" s="670"/>
      <c r="V25" s="670"/>
    </row>
    <row r="26" spans="1:24" x14ac:dyDescent="0.2">
      <c r="A26" s="672" t="s">
        <v>67</v>
      </c>
      <c r="B26" s="673">
        <f>SUM(G51:G211)*(1-B22)*(1-B23)*(8760*B24)/4000</f>
        <v>7819.4738218039483</v>
      </c>
      <c r="C26" s="16">
        <f>SUM(F51:F211)*8760/4000</f>
        <v>14121.747774293362</v>
      </c>
      <c r="D26" s="16"/>
      <c r="E26" s="16">
        <f>SUM(E51:E211)*8760/4000</f>
        <v>20103.956987437872</v>
      </c>
      <c r="F26">
        <f>B26/B3*1000</f>
        <v>4093.9653517298157</v>
      </c>
      <c r="G26" s="668" t="s">
        <v>821</v>
      </c>
      <c r="H26" s="270"/>
      <c r="I26" s="39">
        <f>I25/(1+B10)</f>
        <v>1.5725588481006436</v>
      </c>
      <c r="J26" s="39"/>
      <c r="K26" s="270" t="s">
        <v>822</v>
      </c>
      <c r="L26" s="670">
        <f>-I27/(I25-I26)</f>
        <v>-16309801.864710497</v>
      </c>
      <c r="M26" s="39"/>
      <c r="N26" s="270" t="s">
        <v>255</v>
      </c>
      <c r="O26" s="674">
        <f>I28*L28^3/1000</f>
        <v>2000.1262000249244</v>
      </c>
      <c r="P26" s="39"/>
      <c r="Q26" s="39"/>
      <c r="R26" s="39"/>
      <c r="S26" s="39"/>
      <c r="T26" s="39"/>
      <c r="U26" s="39"/>
      <c r="V26" s="39"/>
    </row>
    <row r="27" spans="1:24" x14ac:dyDescent="0.2">
      <c r="A27" s="675" t="s">
        <v>68</v>
      </c>
      <c r="B27" s="676">
        <f>B26/(B3*8.76)</f>
        <v>0.46734764289153152</v>
      </c>
      <c r="C27">
        <f>0.75*C26</f>
        <v>10591.310830720022</v>
      </c>
      <c r="G27" s="668" t="s">
        <v>823</v>
      </c>
      <c r="H27" s="270"/>
      <c r="I27" s="39">
        <f>B17*1000/I25</f>
        <v>1282406.1616559443</v>
      </c>
      <c r="J27" s="39"/>
      <c r="K27" s="270" t="s">
        <v>824</v>
      </c>
      <c r="L27" s="670">
        <f>(I27*I26)/(I25-I26)</f>
        <v>25648123.233118869</v>
      </c>
      <c r="M27" s="39"/>
      <c r="N27" s="39"/>
      <c r="O27" s="674"/>
      <c r="P27" s="39"/>
      <c r="Q27" s="39"/>
      <c r="R27" s="39"/>
      <c r="S27" s="39"/>
      <c r="T27" s="39"/>
      <c r="U27" s="39"/>
      <c r="V27" s="39"/>
    </row>
    <row r="28" spans="1:24" ht="13.5" thickBot="1" x14ac:dyDescent="0.25">
      <c r="A28" s="677" t="s">
        <v>69</v>
      </c>
      <c r="B28" s="678">
        <f>B26/C26</f>
        <v>0.55371855855110164</v>
      </c>
      <c r="G28" s="679" t="s">
        <v>825</v>
      </c>
      <c r="H28" s="681"/>
      <c r="I28" s="680">
        <f>(B15*PI()*B4^5*B7)/(64*B8^3)</f>
        <v>447675.53733084834</v>
      </c>
      <c r="J28" s="680"/>
      <c r="K28" s="681" t="s">
        <v>826</v>
      </c>
      <c r="L28" s="682">
        <f>-(L26/(2*L25))-(SQRT(L26^2-4*L25*L27)/(2*L25))</f>
        <v>1.6470167341459216</v>
      </c>
      <c r="M28" s="680"/>
      <c r="N28" s="680"/>
      <c r="O28" s="683"/>
      <c r="P28" s="39"/>
      <c r="Q28" s="39"/>
      <c r="R28" s="39"/>
      <c r="S28" s="39"/>
      <c r="T28" s="39"/>
      <c r="U28" s="39"/>
      <c r="V28" s="39"/>
    </row>
    <row r="37" spans="25:97" x14ac:dyDescent="0.2">
      <c r="Y37" t="s">
        <v>825</v>
      </c>
      <c r="Z37" s="14">
        <f>B2</f>
        <v>2</v>
      </c>
    </row>
    <row r="38" spans="25:97" x14ac:dyDescent="0.2">
      <c r="Y38" t="s">
        <v>1522</v>
      </c>
      <c r="Z38">
        <f>$B$16/EXP(GAMMALN(1+1/$B$2))</f>
        <v>8.7911085602616339</v>
      </c>
    </row>
    <row r="48" spans="25:97" ht="12.75" customHeight="1" x14ac:dyDescent="0.2">
      <c r="CQ48" s="1124"/>
      <c r="CR48" s="1124"/>
      <c r="CS48" s="1124"/>
    </row>
    <row r="49" spans="1:121" ht="12.75" customHeight="1" x14ac:dyDescent="0.2">
      <c r="CQ49" s="1124"/>
      <c r="CR49" s="1124"/>
      <c r="CS49" s="1124"/>
    </row>
    <row r="50" spans="1:121" ht="90" x14ac:dyDescent="0.25">
      <c r="A50" s="18" t="s">
        <v>70</v>
      </c>
      <c r="B50" s="2" t="s">
        <v>71</v>
      </c>
      <c r="C50" s="2" t="s">
        <v>72</v>
      </c>
      <c r="D50" s="2"/>
      <c r="E50" s="2" t="s">
        <v>73</v>
      </c>
      <c r="F50" s="2" t="s">
        <v>74</v>
      </c>
      <c r="G50" s="2" t="s">
        <v>75</v>
      </c>
      <c r="H50" s="2" t="s">
        <v>1525</v>
      </c>
      <c r="I50" s="1051" t="str">
        <f>HLOOKUP('Input &amp; Summary'!$B$6,TurbineProfiles,ROW(I50)-49,0)</f>
        <v>Idealized Turbine power</v>
      </c>
      <c r="J50" s="2" t="s">
        <v>76</v>
      </c>
      <c r="K50" s="2" t="s">
        <v>46</v>
      </c>
      <c r="L50" s="2" t="s">
        <v>827</v>
      </c>
      <c r="M50" s="2" t="s">
        <v>828</v>
      </c>
      <c r="N50" s="2" t="s">
        <v>829</v>
      </c>
      <c r="O50" s="2" t="s">
        <v>1523</v>
      </c>
      <c r="P50" s="1257" t="s">
        <v>1529</v>
      </c>
      <c r="Q50" s="2" t="s">
        <v>1524</v>
      </c>
      <c r="R50" s="2" t="s">
        <v>1526</v>
      </c>
      <c r="S50" s="1257" t="s">
        <v>1528</v>
      </c>
      <c r="T50" s="1258" t="s">
        <v>1527</v>
      </c>
      <c r="U50" s="1054" t="s">
        <v>1130</v>
      </c>
      <c r="V50" s="1125" t="s">
        <v>1446</v>
      </c>
      <c r="W50" s="1125" t="s">
        <v>1449</v>
      </c>
      <c r="X50" s="1125" t="s">
        <v>1450</v>
      </c>
      <c r="Y50" s="1125" t="s">
        <v>1447</v>
      </c>
      <c r="Z50" s="1125" t="s">
        <v>1451</v>
      </c>
      <c r="AA50" s="1125" t="s">
        <v>1452</v>
      </c>
      <c r="AB50" s="1125" t="s">
        <v>1448</v>
      </c>
      <c r="AC50" s="1125" t="s">
        <v>1453</v>
      </c>
      <c r="AD50" s="1125" t="s">
        <v>1454</v>
      </c>
      <c r="AE50" s="1126" t="s">
        <v>1374</v>
      </c>
      <c r="AF50" s="1126" t="s">
        <v>1375</v>
      </c>
      <c r="AG50" s="1127" t="s">
        <v>1475</v>
      </c>
      <c r="AH50" s="1127" t="s">
        <v>1376</v>
      </c>
      <c r="AI50" s="1057" t="s">
        <v>1377</v>
      </c>
      <c r="AJ50" s="1126" t="s">
        <v>1210</v>
      </c>
      <c r="AK50" s="1127" t="s">
        <v>1378</v>
      </c>
      <c r="AL50" s="1127" t="s">
        <v>1476</v>
      </c>
      <c r="AM50" s="1127" t="s">
        <v>1477</v>
      </c>
      <c r="AN50" s="1127" t="s">
        <v>1478</v>
      </c>
      <c r="AO50" s="1127" t="s">
        <v>1479</v>
      </c>
      <c r="AP50" s="1126" t="s">
        <v>1379</v>
      </c>
      <c r="AQ50" s="1126" t="s">
        <v>1480</v>
      </c>
      <c r="AR50" s="1126" t="s">
        <v>1481</v>
      </c>
      <c r="AS50" s="1126" t="s">
        <v>1482</v>
      </c>
      <c r="AT50" s="1127" t="s">
        <v>1380</v>
      </c>
      <c r="AU50" s="1127" t="s">
        <v>1381</v>
      </c>
      <c r="AV50" s="1127" t="s">
        <v>1382</v>
      </c>
      <c r="AW50" s="1126" t="s">
        <v>1383</v>
      </c>
      <c r="AX50" s="1127" t="s">
        <v>1384</v>
      </c>
      <c r="AY50" s="1127" t="s">
        <v>1385</v>
      </c>
      <c r="AZ50" s="1127" t="s">
        <v>1386</v>
      </c>
      <c r="BA50" s="1127" t="s">
        <v>1387</v>
      </c>
      <c r="BB50" s="1127" t="s">
        <v>1388</v>
      </c>
      <c r="BC50" s="1127" t="s">
        <v>1389</v>
      </c>
      <c r="BD50" s="1127" t="s">
        <v>1390</v>
      </c>
      <c r="BE50" s="1127" t="s">
        <v>1391</v>
      </c>
      <c r="BF50" s="1127" t="s">
        <v>627</v>
      </c>
      <c r="BG50" s="1127" t="s">
        <v>1129</v>
      </c>
      <c r="BH50" s="1126" t="s">
        <v>1392</v>
      </c>
      <c r="BI50" s="1126" t="s">
        <v>1393</v>
      </c>
      <c r="BJ50" s="1058" t="s">
        <v>1483</v>
      </c>
      <c r="BK50" s="1126" t="s">
        <v>1484</v>
      </c>
      <c r="BL50" s="1126" t="s">
        <v>1485</v>
      </c>
      <c r="BM50" s="1126" t="s">
        <v>1486</v>
      </c>
      <c r="BN50" s="1126" t="s">
        <v>1487</v>
      </c>
      <c r="BO50" s="1126" t="s">
        <v>1394</v>
      </c>
      <c r="BP50" s="1126" t="s">
        <v>1395</v>
      </c>
      <c r="BQ50" s="1126" t="s">
        <v>1396</v>
      </c>
      <c r="BR50" s="1127" t="s">
        <v>1397</v>
      </c>
      <c r="BS50" s="1127" t="s">
        <v>1398</v>
      </c>
      <c r="BT50" s="1126" t="s">
        <v>1399</v>
      </c>
      <c r="BU50" s="1126" t="s">
        <v>1400</v>
      </c>
      <c r="BV50" s="1126" t="s">
        <v>1401</v>
      </c>
      <c r="BW50" s="1127" t="s">
        <v>1402</v>
      </c>
      <c r="BX50" s="1127" t="s">
        <v>1403</v>
      </c>
      <c r="BY50" s="1127" t="s">
        <v>1404</v>
      </c>
      <c r="BZ50" s="1058" t="s">
        <v>1405</v>
      </c>
      <c r="CA50" s="1127" t="s">
        <v>1488</v>
      </c>
      <c r="CB50" s="1127" t="s">
        <v>1489</v>
      </c>
      <c r="CC50" s="1126" t="s">
        <v>1406</v>
      </c>
      <c r="CD50" s="1127" t="s">
        <v>1407</v>
      </c>
      <c r="CE50" s="1127" t="s">
        <v>1408</v>
      </c>
      <c r="CF50" s="1127" t="s">
        <v>1209</v>
      </c>
      <c r="CG50" s="1127" t="s">
        <v>1490</v>
      </c>
      <c r="CH50" s="1126" t="s">
        <v>1491</v>
      </c>
      <c r="CI50" s="1126" t="s">
        <v>1492</v>
      </c>
      <c r="CJ50" s="1126" t="s">
        <v>1493</v>
      </c>
      <c r="CK50" s="1126" t="s">
        <v>1494</v>
      </c>
      <c r="CL50" s="1126" t="s">
        <v>1495</v>
      </c>
      <c r="CM50" s="1127" t="s">
        <v>1496</v>
      </c>
      <c r="CN50" s="1127" t="s">
        <v>1497</v>
      </c>
      <c r="CO50" s="1127" t="s">
        <v>1498</v>
      </c>
      <c r="CP50" s="1127" t="s">
        <v>1499</v>
      </c>
      <c r="CQ50" s="1127" t="s">
        <v>1500</v>
      </c>
      <c r="CR50" s="1127" t="s">
        <v>1501</v>
      </c>
      <c r="CS50" s="1127" t="s">
        <v>1409</v>
      </c>
      <c r="CT50" s="1127" t="s">
        <v>1410</v>
      </c>
      <c r="CU50" s="1127" t="s">
        <v>1411</v>
      </c>
      <c r="CV50" s="1126" t="s">
        <v>1412</v>
      </c>
      <c r="CW50" s="18" t="s">
        <v>1413</v>
      </c>
      <c r="CX50" s="18" t="s">
        <v>1414</v>
      </c>
      <c r="CY50" s="18" t="s">
        <v>1415</v>
      </c>
      <c r="CZ50" s="997" t="s">
        <v>1416</v>
      </c>
      <c r="DA50" s="997" t="s">
        <v>1502</v>
      </c>
      <c r="DB50" s="997" t="s">
        <v>1417</v>
      </c>
      <c r="DC50" t="s">
        <v>1418</v>
      </c>
      <c r="DD50" t="s">
        <v>1503</v>
      </c>
      <c r="DE50" t="s">
        <v>1504</v>
      </c>
      <c r="DF50" t="s">
        <v>1419</v>
      </c>
      <c r="DG50" t="s">
        <v>1420</v>
      </c>
      <c r="DH50" t="s">
        <v>1505</v>
      </c>
      <c r="DI50" t="s">
        <v>1506</v>
      </c>
      <c r="DJ50" t="s">
        <v>1507</v>
      </c>
      <c r="DK50" t="s">
        <v>1421</v>
      </c>
      <c r="DL50" t="s">
        <v>1508</v>
      </c>
      <c r="DM50" t="s">
        <v>1422</v>
      </c>
      <c r="DN50" t="s">
        <v>1423</v>
      </c>
      <c r="DO50" t="s">
        <v>1509</v>
      </c>
      <c r="DP50" t="s">
        <v>1510</v>
      </c>
      <c r="DQ50" t="s">
        <v>70</v>
      </c>
    </row>
    <row r="51" spans="1:121" x14ac:dyDescent="0.2">
      <c r="A51" s="14">
        <v>0</v>
      </c>
      <c r="B51" s="684">
        <f t="shared" ref="B51:B82" si="1">((PI()*$A51)/(2*$B$16*$B$16))*EXP(((-PI()*$A51*$A51)/(4*$B$16*$B$16)))</f>
        <v>0</v>
      </c>
      <c r="C51" s="684">
        <f>WEIBULL(A51,$B$2,$B$16/EXP(GAMMALN(1+1/$B$2)),FALSE)</f>
        <v>0</v>
      </c>
      <c r="D51" s="684">
        <f>C51/4</f>
        <v>0</v>
      </c>
      <c r="E51" s="684">
        <f t="shared" ref="E51:E82" si="2">((0.5*$B$15*0.25*PI()*$B$4^2*A51^3)*C51/(1000))*16/27</f>
        <v>0</v>
      </c>
      <c r="F51" s="684">
        <f t="shared" ref="F51:F82" si="3">((0.5*$B$15*0.25*PI()*$B$4^2*A51^3)*C51/(1000))*$B$7*K51</f>
        <v>0</v>
      </c>
      <c r="G51" s="684">
        <f>$I51*$C51</f>
        <v>0</v>
      </c>
      <c r="H51" s="684">
        <f>G51/4</f>
        <v>0</v>
      </c>
      <c r="I51" s="1052">
        <f>HLOOKUP('Input &amp; Summary'!$B$6,TurbineProfiles,ROW(I51)-49,0)</f>
        <v>0</v>
      </c>
      <c r="J51" s="684">
        <f t="shared" ref="J51:J82" si="4">IF(AND(A51 &gt; $B$11,A51&lt;$B$12),IF(A51&gt;$B$18,N51,IF(A51&gt;=$O$25,M51,L51)),0)</f>
        <v>0</v>
      </c>
      <c r="K51" s="9">
        <f t="shared" ref="K51:K82" si="5">IF(ISERROR(((J51/$B$17)-($B$19+$B$20*(J51/$B$17)+$B$21*(J51/$B$17)^2))/(J51/$B$17)),0,((J51/$B$17)-($B$19+$B$20*(J51/$B$17)+$B$21*(J51/$B$17)^2))/(J51/$B$17))</f>
        <v>0</v>
      </c>
      <c r="L51" s="14">
        <f t="shared" ref="L51:L82" si="6">$I$28*(A51*$B$8/($B$4/2))^3/1000</f>
        <v>0</v>
      </c>
      <c r="M51" s="684">
        <f t="shared" ref="M51:M82" si="7">IF(A51&gt;=$O$25,($B$17-$O$26)/($B$18-$O$25)*(A51-$O$25)+$O$26,0)</f>
        <v>0</v>
      </c>
      <c r="N51" s="684">
        <f>$B$17</f>
        <v>2117.4921141893815</v>
      </c>
      <c r="O51" s="684">
        <f>WEIBULL(A51,$B$2,$B$16/EXP(GAMMALN(1+1/$B$2)),TRUE)</f>
        <v>0</v>
      </c>
      <c r="P51" s="684">
        <f>C51*I51*1/4</f>
        <v>0</v>
      </c>
      <c r="Q51" s="684">
        <f>0</f>
        <v>0</v>
      </c>
      <c r="R51" s="684">
        <v>0</v>
      </c>
      <c r="S51" s="684">
        <f>R51*I51</f>
        <v>0</v>
      </c>
      <c r="T51" s="684">
        <f>Q51*I51</f>
        <v>0</v>
      </c>
      <c r="U51" s="14">
        <f>J51*K51</f>
        <v>0</v>
      </c>
      <c r="V51">
        <v>0</v>
      </c>
      <c r="W51">
        <v>0</v>
      </c>
      <c r="X51">
        <v>0</v>
      </c>
      <c r="Y51">
        <v>0</v>
      </c>
      <c r="Z51">
        <v>0</v>
      </c>
      <c r="AA51">
        <v>0</v>
      </c>
      <c r="AB51">
        <v>0</v>
      </c>
      <c r="AC51">
        <v>0</v>
      </c>
      <c r="AD51">
        <v>0</v>
      </c>
      <c r="AE51" s="143">
        <v>0</v>
      </c>
      <c r="AF51" s="143">
        <v>0</v>
      </c>
      <c r="AG51" s="143">
        <v>0</v>
      </c>
      <c r="AH51" s="143">
        <v>0</v>
      </c>
      <c r="AI51" s="995">
        <v>0</v>
      </c>
      <c r="AJ51" s="143">
        <v>0</v>
      </c>
      <c r="AK51" s="143">
        <v>0</v>
      </c>
      <c r="AL51" s="143">
        <v>0</v>
      </c>
      <c r="AM51" s="143">
        <v>0</v>
      </c>
      <c r="AN51" s="143">
        <v>0</v>
      </c>
      <c r="AO51" s="143">
        <v>0</v>
      </c>
      <c r="AP51" s="143">
        <v>0</v>
      </c>
      <c r="AQ51" s="143">
        <v>0</v>
      </c>
      <c r="AR51" s="143">
        <v>0</v>
      </c>
      <c r="AS51" s="143">
        <v>0</v>
      </c>
      <c r="AT51" s="143">
        <v>0</v>
      </c>
      <c r="AU51" s="143">
        <v>0</v>
      </c>
      <c r="AV51" s="143">
        <v>0</v>
      </c>
      <c r="AW51" s="143">
        <v>0</v>
      </c>
      <c r="AX51" s="143">
        <v>0</v>
      </c>
      <c r="AY51" s="143">
        <v>0</v>
      </c>
      <c r="AZ51" s="143">
        <v>0</v>
      </c>
      <c r="BA51" s="143">
        <v>0</v>
      </c>
      <c r="BB51" s="143">
        <v>0</v>
      </c>
      <c r="BC51" s="143">
        <v>0</v>
      </c>
      <c r="BD51" s="143">
        <v>0</v>
      </c>
      <c r="BE51" s="143">
        <v>0</v>
      </c>
      <c r="BF51" s="143">
        <v>0</v>
      </c>
      <c r="BG51" s="143">
        <v>0</v>
      </c>
      <c r="BH51" s="143">
        <v>0</v>
      </c>
      <c r="BI51" s="143">
        <v>0</v>
      </c>
      <c r="BJ51" s="995">
        <v>0</v>
      </c>
      <c r="BK51" s="143">
        <v>0</v>
      </c>
      <c r="BL51" s="143">
        <v>0</v>
      </c>
      <c r="BM51" s="143">
        <v>0</v>
      </c>
      <c r="BN51" s="143">
        <v>0</v>
      </c>
      <c r="BO51" s="143">
        <v>0</v>
      </c>
      <c r="BP51" s="143">
        <v>0</v>
      </c>
      <c r="BQ51" s="143">
        <v>0</v>
      </c>
      <c r="BR51" s="143">
        <v>0</v>
      </c>
      <c r="BS51" s="143">
        <v>0</v>
      </c>
      <c r="BT51" s="143">
        <v>0</v>
      </c>
      <c r="BU51" s="143">
        <v>0</v>
      </c>
      <c r="BV51" s="143">
        <v>0</v>
      </c>
      <c r="BW51" s="143">
        <v>0</v>
      </c>
      <c r="BX51" s="143">
        <v>0</v>
      </c>
      <c r="BY51" s="143">
        <v>0</v>
      </c>
      <c r="BZ51" s="995">
        <v>0</v>
      </c>
      <c r="CA51" s="143">
        <v>0</v>
      </c>
      <c r="CB51">
        <v>0</v>
      </c>
      <c r="CC51" s="143">
        <v>0</v>
      </c>
      <c r="CD51" s="143">
        <v>0</v>
      </c>
      <c r="CE51" s="143">
        <v>0</v>
      </c>
      <c r="CF51" s="143">
        <v>0</v>
      </c>
      <c r="CG51" s="143">
        <v>0</v>
      </c>
      <c r="CH51" s="143">
        <v>0</v>
      </c>
      <c r="CI51" s="143">
        <v>0</v>
      </c>
      <c r="CJ51" s="143">
        <v>0</v>
      </c>
      <c r="CK51" s="143">
        <v>0</v>
      </c>
      <c r="CL51" s="143">
        <v>0</v>
      </c>
      <c r="CM51" s="143">
        <v>0</v>
      </c>
      <c r="CN51" s="143">
        <v>0</v>
      </c>
      <c r="CO51" s="143">
        <v>0</v>
      </c>
      <c r="CP51" s="143">
        <v>0</v>
      </c>
      <c r="CQ51" s="143">
        <v>0</v>
      </c>
      <c r="CR51" s="143">
        <v>0</v>
      </c>
      <c r="CS51" s="143">
        <v>0</v>
      </c>
      <c r="CT51" s="143">
        <v>0</v>
      </c>
      <c r="CU51" s="143">
        <v>0</v>
      </c>
      <c r="CV51" s="143">
        <v>0</v>
      </c>
      <c r="CW51" s="14">
        <v>0</v>
      </c>
      <c r="CX51" s="14">
        <v>0</v>
      </c>
      <c r="CY51" s="14">
        <v>0</v>
      </c>
      <c r="CZ51" s="995">
        <v>0</v>
      </c>
      <c r="DA51" s="995">
        <v>0</v>
      </c>
      <c r="DB51" s="995">
        <v>0</v>
      </c>
      <c r="DC51">
        <v>0</v>
      </c>
      <c r="DD51">
        <v>0</v>
      </c>
      <c r="DE51">
        <v>0</v>
      </c>
      <c r="DF51">
        <v>0</v>
      </c>
      <c r="DG51">
        <v>0</v>
      </c>
      <c r="DH51">
        <v>0</v>
      </c>
      <c r="DI51">
        <v>0</v>
      </c>
      <c r="DJ51">
        <v>0</v>
      </c>
      <c r="DK51">
        <v>0</v>
      </c>
      <c r="DL51">
        <v>0</v>
      </c>
      <c r="DM51">
        <v>0</v>
      </c>
      <c r="DN51">
        <v>0</v>
      </c>
      <c r="DO51">
        <v>0</v>
      </c>
      <c r="DP51">
        <v>0</v>
      </c>
      <c r="DQ51">
        <v>0</v>
      </c>
    </row>
    <row r="52" spans="1:121" x14ac:dyDescent="0.2">
      <c r="A52" s="14">
        <v>0.25</v>
      </c>
      <c r="B52" s="684">
        <f t="shared" si="1"/>
        <v>6.464448796393206E-3</v>
      </c>
      <c r="C52" s="684">
        <f t="shared" ref="C52:C82" si="8">WEIBULL(A52,$B$2,$B$16/EXP(GAMMALN(1+1/$B$2)),FALSE)</f>
        <v>6.4644487963932051E-3</v>
      </c>
      <c r="D52" s="684">
        <f t="shared" ref="D52:D115" si="9">C52/4</f>
        <v>1.6161121990983013E-3</v>
      </c>
      <c r="E52" s="684">
        <f t="shared" si="2"/>
        <v>2.5666217296580087E-4</v>
      </c>
      <c r="F52" s="684">
        <f t="shared" si="3"/>
        <v>0</v>
      </c>
      <c r="G52" s="684">
        <f t="shared" ref="G52:G115" si="10">$I52*$C52</f>
        <v>0</v>
      </c>
      <c r="H52" s="684">
        <f t="shared" ref="H52:H115" si="11">G52/4</f>
        <v>0</v>
      </c>
      <c r="I52" s="1052">
        <f>HLOOKUP('Input &amp; Summary'!$B$6,TurbineProfiles,ROW(I52)-49,0)</f>
        <v>0</v>
      </c>
      <c r="J52" s="684">
        <f t="shared" si="4"/>
        <v>0</v>
      </c>
      <c r="K52" s="9">
        <f t="shared" si="5"/>
        <v>0</v>
      </c>
      <c r="L52" s="14">
        <f t="shared" si="6"/>
        <v>3.1489952561319472E-2</v>
      </c>
      <c r="M52" s="684">
        <f t="shared" si="7"/>
        <v>0</v>
      </c>
      <c r="N52" s="684">
        <f t="shared" ref="N52:N115" si="12">$B$17</f>
        <v>2117.4921141893815</v>
      </c>
      <c r="O52" s="684">
        <f t="shared" ref="O52:O115" si="13">WEIBULL(A52,$B$2,$B$16/EXP(GAMMALN(1+1/$B$2)),TRUE)</f>
        <v>8.0838292910887053E-4</v>
      </c>
      <c r="P52" s="684">
        <f t="shared" ref="P52:P115" si="14">C52*I52*1/4</f>
        <v>0</v>
      </c>
      <c r="Q52" s="684">
        <f>O52-O51</f>
        <v>8.0838292910887053E-4</v>
      </c>
      <c r="R52" s="684">
        <f>WEIBULL((A52+0.125),$B$2,$B$16/EXP(GAMMALN(1+1/$B$2)),TRUE) - WEIBULL((A52-0.125),$B$2,$B$16/EXP(GAMMALN(1+1/$B$2)),TRUE)</f>
        <v>1.6157856667874783E-3</v>
      </c>
      <c r="S52" s="684">
        <f t="shared" ref="S52:S115" si="15">R52*I52</f>
        <v>0</v>
      </c>
      <c r="T52" s="684">
        <f t="shared" ref="T52:T115" si="16">Q52*I52</f>
        <v>0</v>
      </c>
      <c r="U52" s="14">
        <f t="shared" ref="U52:U115" si="17">J52*K52</f>
        <v>0</v>
      </c>
      <c r="V52">
        <v>0</v>
      </c>
      <c r="W52">
        <v>0</v>
      </c>
      <c r="X52">
        <v>0</v>
      </c>
      <c r="Y52">
        <v>0</v>
      </c>
      <c r="Z52">
        <v>0</v>
      </c>
      <c r="AA52">
        <v>0</v>
      </c>
      <c r="AB52">
        <v>0</v>
      </c>
      <c r="AC52">
        <v>0</v>
      </c>
      <c r="AD52">
        <v>0</v>
      </c>
      <c r="AE52" s="143">
        <v>0</v>
      </c>
      <c r="AF52" s="143">
        <v>0</v>
      </c>
      <c r="AG52" s="143">
        <v>0</v>
      </c>
      <c r="AH52" s="143">
        <v>0</v>
      </c>
      <c r="AI52" s="995">
        <v>0</v>
      </c>
      <c r="AJ52" s="143">
        <v>0</v>
      </c>
      <c r="AK52" s="143">
        <v>0</v>
      </c>
      <c r="AL52" s="143">
        <v>0</v>
      </c>
      <c r="AM52" s="143">
        <v>0</v>
      </c>
      <c r="AN52" s="143">
        <v>0</v>
      </c>
      <c r="AO52" s="143">
        <v>0</v>
      </c>
      <c r="AP52" s="143">
        <v>0</v>
      </c>
      <c r="AQ52" s="143">
        <v>0</v>
      </c>
      <c r="AR52" s="143">
        <v>0</v>
      </c>
      <c r="AS52" s="143">
        <v>0</v>
      </c>
      <c r="AT52" s="143">
        <v>0</v>
      </c>
      <c r="AU52" s="143">
        <v>0</v>
      </c>
      <c r="AV52" s="143">
        <v>0</v>
      </c>
      <c r="AW52" s="143">
        <v>0</v>
      </c>
      <c r="AX52" s="143">
        <v>0</v>
      </c>
      <c r="AY52" s="143">
        <v>0</v>
      </c>
      <c r="AZ52" s="143">
        <v>0</v>
      </c>
      <c r="BA52" s="143">
        <v>0</v>
      </c>
      <c r="BB52" s="143">
        <v>0</v>
      </c>
      <c r="BC52" s="143">
        <v>0</v>
      </c>
      <c r="BD52" s="143">
        <v>0</v>
      </c>
      <c r="BE52" s="143">
        <v>0</v>
      </c>
      <c r="BF52" s="143">
        <v>0</v>
      </c>
      <c r="BG52" s="143">
        <v>0</v>
      </c>
      <c r="BH52" s="143">
        <v>0</v>
      </c>
      <c r="BI52" s="143">
        <v>0</v>
      </c>
      <c r="BJ52" s="995">
        <v>0</v>
      </c>
      <c r="BK52" s="143">
        <v>0</v>
      </c>
      <c r="BL52" s="143">
        <v>0</v>
      </c>
      <c r="BM52" s="143">
        <v>0</v>
      </c>
      <c r="BN52" s="143">
        <v>0</v>
      </c>
      <c r="BO52" s="143">
        <v>0</v>
      </c>
      <c r="BP52" s="143">
        <v>0</v>
      </c>
      <c r="BQ52" s="143">
        <v>0</v>
      </c>
      <c r="BR52" s="143">
        <v>0</v>
      </c>
      <c r="BS52" s="143">
        <v>0</v>
      </c>
      <c r="BT52" s="143">
        <v>0</v>
      </c>
      <c r="BU52" s="143">
        <v>0</v>
      </c>
      <c r="BV52" s="143">
        <v>0</v>
      </c>
      <c r="BW52" s="143">
        <v>0</v>
      </c>
      <c r="BX52" s="143">
        <v>0</v>
      </c>
      <c r="BY52" s="143">
        <v>0</v>
      </c>
      <c r="BZ52" s="995">
        <v>0</v>
      </c>
      <c r="CA52" s="143">
        <v>0</v>
      </c>
      <c r="CB52">
        <v>0</v>
      </c>
      <c r="CC52" s="143">
        <v>0</v>
      </c>
      <c r="CD52" s="143">
        <v>0</v>
      </c>
      <c r="CE52" s="143">
        <v>0</v>
      </c>
      <c r="CF52" s="143">
        <v>0</v>
      </c>
      <c r="CG52" s="143">
        <v>0</v>
      </c>
      <c r="CH52" s="143">
        <v>0</v>
      </c>
      <c r="CI52" s="143">
        <v>0</v>
      </c>
      <c r="CJ52" s="143">
        <v>0</v>
      </c>
      <c r="CK52" s="143">
        <v>0</v>
      </c>
      <c r="CL52" s="143">
        <v>0</v>
      </c>
      <c r="CM52" s="143">
        <v>0</v>
      </c>
      <c r="CN52" s="143">
        <v>0</v>
      </c>
      <c r="CO52" s="143">
        <v>0</v>
      </c>
      <c r="CP52" s="143">
        <v>0</v>
      </c>
      <c r="CQ52" s="143">
        <v>0</v>
      </c>
      <c r="CR52" s="143">
        <v>0</v>
      </c>
      <c r="CS52" s="143">
        <v>0</v>
      </c>
      <c r="CT52" s="143">
        <v>0</v>
      </c>
      <c r="CU52" s="143">
        <v>0</v>
      </c>
      <c r="CV52" s="143">
        <v>0</v>
      </c>
      <c r="CW52" s="14">
        <v>0</v>
      </c>
      <c r="CX52" s="14">
        <v>0</v>
      </c>
      <c r="CY52" s="14">
        <v>0</v>
      </c>
      <c r="CZ52" s="995">
        <v>0</v>
      </c>
      <c r="DA52" s="995">
        <v>0</v>
      </c>
      <c r="DB52" s="995">
        <v>0</v>
      </c>
      <c r="DC52">
        <v>0</v>
      </c>
      <c r="DD52">
        <v>0</v>
      </c>
      <c r="DE52">
        <v>0</v>
      </c>
      <c r="DF52">
        <v>0</v>
      </c>
      <c r="DG52">
        <v>0</v>
      </c>
      <c r="DH52">
        <v>0</v>
      </c>
      <c r="DI52">
        <v>0</v>
      </c>
      <c r="DJ52">
        <v>0</v>
      </c>
      <c r="DK52">
        <v>0</v>
      </c>
      <c r="DL52">
        <v>0</v>
      </c>
      <c r="DM52">
        <v>0</v>
      </c>
      <c r="DN52">
        <v>0</v>
      </c>
      <c r="DO52">
        <v>0</v>
      </c>
      <c r="DP52">
        <v>0</v>
      </c>
      <c r="DQ52">
        <v>0.25</v>
      </c>
    </row>
    <row r="53" spans="1:121" x14ac:dyDescent="0.2">
      <c r="A53" s="14">
        <v>0.5</v>
      </c>
      <c r="B53" s="684">
        <f t="shared" si="1"/>
        <v>1.2897568432080727E-2</v>
      </c>
      <c r="C53" s="684">
        <f t="shared" si="8"/>
        <v>1.2897568432080725E-2</v>
      </c>
      <c r="D53" s="684">
        <f t="shared" si="9"/>
        <v>3.2243921080201813E-3</v>
      </c>
      <c r="E53" s="684">
        <f t="shared" si="2"/>
        <v>4.0966437127322296E-3</v>
      </c>
      <c r="F53" s="684">
        <f t="shared" si="3"/>
        <v>0</v>
      </c>
      <c r="G53" s="684">
        <f t="shared" si="10"/>
        <v>0</v>
      </c>
      <c r="H53" s="684">
        <f t="shared" si="11"/>
        <v>0</v>
      </c>
      <c r="I53" s="1052">
        <f>HLOOKUP('Input &amp; Summary'!$B$6,TurbineProfiles,ROW(I53)-49,0)</f>
        <v>0</v>
      </c>
      <c r="J53" s="684">
        <f t="shared" si="4"/>
        <v>0</v>
      </c>
      <c r="K53" s="9">
        <f t="shared" si="5"/>
        <v>0</v>
      </c>
      <c r="L53" s="14">
        <f t="shared" si="6"/>
        <v>0.25191962049055577</v>
      </c>
      <c r="M53" s="684">
        <f t="shared" si="7"/>
        <v>0</v>
      </c>
      <c r="N53" s="684">
        <f t="shared" si="12"/>
        <v>2117.4921141893815</v>
      </c>
      <c r="O53" s="684">
        <f t="shared" si="13"/>
        <v>3.2296129313058694E-3</v>
      </c>
      <c r="P53" s="684">
        <f t="shared" si="14"/>
        <v>0</v>
      </c>
      <c r="Q53" s="684">
        <f t="shared" ref="Q53:Q116" si="18">O53-O52</f>
        <v>2.421230002196999E-3</v>
      </c>
      <c r="R53" s="684">
        <f t="shared" ref="R53:R116" si="19">WEIBULL((A53+0.125),$B$2,$B$16/EXP(GAMMALN(1+1/$B$2)),TRUE) - WEIBULL((A53-0.125),$B$2,$B$16/EXP(GAMMALN(1+1/$B$2)),TRUE)</f>
        <v>3.2237416800794247E-3</v>
      </c>
      <c r="S53" s="684">
        <f t="shared" si="15"/>
        <v>0</v>
      </c>
      <c r="T53" s="684">
        <f t="shared" si="16"/>
        <v>0</v>
      </c>
      <c r="U53" s="14">
        <f t="shared" si="17"/>
        <v>0</v>
      </c>
      <c r="V53">
        <v>0</v>
      </c>
      <c r="W53">
        <v>0</v>
      </c>
      <c r="X53">
        <v>0</v>
      </c>
      <c r="Y53">
        <v>0</v>
      </c>
      <c r="Z53">
        <v>0</v>
      </c>
      <c r="AA53">
        <v>0</v>
      </c>
      <c r="AB53">
        <v>0</v>
      </c>
      <c r="AC53">
        <v>0</v>
      </c>
      <c r="AD53">
        <v>0</v>
      </c>
      <c r="AE53" s="143">
        <v>0</v>
      </c>
      <c r="AF53" s="143">
        <v>0</v>
      </c>
      <c r="AG53" s="143">
        <v>0</v>
      </c>
      <c r="AH53" s="143">
        <v>0</v>
      </c>
      <c r="AI53" s="995">
        <v>0</v>
      </c>
      <c r="AJ53" s="143">
        <v>0</v>
      </c>
      <c r="AK53" s="143">
        <v>0</v>
      </c>
      <c r="AL53" s="143">
        <v>0</v>
      </c>
      <c r="AM53" s="143">
        <v>0</v>
      </c>
      <c r="AN53" s="143">
        <v>0</v>
      </c>
      <c r="AO53" s="143">
        <v>0</v>
      </c>
      <c r="AP53" s="143">
        <v>0</v>
      </c>
      <c r="AQ53" s="143">
        <v>0</v>
      </c>
      <c r="AR53" s="143">
        <v>0</v>
      </c>
      <c r="AS53" s="143">
        <v>0</v>
      </c>
      <c r="AT53" s="143">
        <v>0</v>
      </c>
      <c r="AU53" s="143">
        <v>0</v>
      </c>
      <c r="AV53" s="143">
        <v>0</v>
      </c>
      <c r="AW53" s="143">
        <v>0</v>
      </c>
      <c r="AX53" s="143">
        <v>0</v>
      </c>
      <c r="AY53" s="143">
        <v>0</v>
      </c>
      <c r="AZ53" s="143">
        <v>0</v>
      </c>
      <c r="BA53" s="143">
        <v>0</v>
      </c>
      <c r="BB53" s="143">
        <v>0</v>
      </c>
      <c r="BC53" s="143">
        <v>0</v>
      </c>
      <c r="BD53" s="143">
        <v>0</v>
      </c>
      <c r="BE53" s="143">
        <v>0</v>
      </c>
      <c r="BF53" s="143">
        <v>0</v>
      </c>
      <c r="BG53" s="143">
        <v>0</v>
      </c>
      <c r="BH53" s="143">
        <v>0</v>
      </c>
      <c r="BI53" s="143">
        <v>0</v>
      </c>
      <c r="BJ53" s="995">
        <v>0</v>
      </c>
      <c r="BK53" s="143">
        <v>0</v>
      </c>
      <c r="BL53" s="143">
        <v>0</v>
      </c>
      <c r="BM53" s="143">
        <v>0</v>
      </c>
      <c r="BN53" s="143">
        <v>0</v>
      </c>
      <c r="BO53" s="143">
        <v>0</v>
      </c>
      <c r="BP53" s="143">
        <v>0</v>
      </c>
      <c r="BQ53" s="143">
        <v>0</v>
      </c>
      <c r="BR53" s="143">
        <v>0</v>
      </c>
      <c r="BS53" s="143">
        <v>0</v>
      </c>
      <c r="BT53" s="143">
        <v>0</v>
      </c>
      <c r="BU53" s="143">
        <v>0</v>
      </c>
      <c r="BV53" s="143">
        <v>0</v>
      </c>
      <c r="BW53" s="143">
        <v>0</v>
      </c>
      <c r="BX53" s="143">
        <v>0</v>
      </c>
      <c r="BY53" s="143">
        <v>0</v>
      </c>
      <c r="BZ53" s="995">
        <v>0</v>
      </c>
      <c r="CA53" s="143">
        <v>0</v>
      </c>
      <c r="CB53">
        <v>0</v>
      </c>
      <c r="CC53" s="143">
        <v>0</v>
      </c>
      <c r="CD53" s="143">
        <v>0</v>
      </c>
      <c r="CE53" s="143">
        <v>0</v>
      </c>
      <c r="CF53" s="143">
        <v>0</v>
      </c>
      <c r="CG53" s="143">
        <v>0</v>
      </c>
      <c r="CH53" s="143">
        <v>0</v>
      </c>
      <c r="CI53" s="143">
        <v>0</v>
      </c>
      <c r="CJ53" s="143">
        <v>0</v>
      </c>
      <c r="CK53" s="143">
        <v>0</v>
      </c>
      <c r="CL53" s="143">
        <v>0</v>
      </c>
      <c r="CM53" s="143">
        <v>0</v>
      </c>
      <c r="CN53" s="143">
        <v>0</v>
      </c>
      <c r="CO53" s="143">
        <v>0</v>
      </c>
      <c r="CP53" s="143">
        <v>0</v>
      </c>
      <c r="CQ53" s="143">
        <v>0</v>
      </c>
      <c r="CR53" s="143">
        <v>0</v>
      </c>
      <c r="CS53" s="143">
        <v>0</v>
      </c>
      <c r="CT53" s="143">
        <v>0</v>
      </c>
      <c r="CU53" s="143">
        <v>0</v>
      </c>
      <c r="CV53" s="143">
        <v>0</v>
      </c>
      <c r="CW53" s="14">
        <v>0</v>
      </c>
      <c r="CX53" s="14">
        <v>0</v>
      </c>
      <c r="CY53" s="14">
        <v>0</v>
      </c>
      <c r="CZ53" s="995">
        <v>0</v>
      </c>
      <c r="DA53" s="995">
        <v>0</v>
      </c>
      <c r="DB53" s="995">
        <v>0</v>
      </c>
      <c r="DC53">
        <v>0</v>
      </c>
      <c r="DD53">
        <v>0</v>
      </c>
      <c r="DE53">
        <v>0</v>
      </c>
      <c r="DF53">
        <v>0</v>
      </c>
      <c r="DG53">
        <v>0</v>
      </c>
      <c r="DH53">
        <v>0</v>
      </c>
      <c r="DI53">
        <v>0</v>
      </c>
      <c r="DJ53">
        <v>0</v>
      </c>
      <c r="DK53">
        <v>0</v>
      </c>
      <c r="DL53">
        <v>0</v>
      </c>
      <c r="DM53">
        <v>0</v>
      </c>
      <c r="DN53">
        <v>0</v>
      </c>
      <c r="DO53">
        <v>0</v>
      </c>
      <c r="DP53">
        <v>0</v>
      </c>
      <c r="DQ53">
        <v>0.5</v>
      </c>
    </row>
    <row r="54" spans="1:121" x14ac:dyDescent="0.2">
      <c r="A54" s="14">
        <v>0.75</v>
      </c>
      <c r="B54" s="684">
        <f t="shared" si="1"/>
        <v>1.9268282664974129E-2</v>
      </c>
      <c r="C54" s="684">
        <f t="shared" si="8"/>
        <v>1.9268282664974129E-2</v>
      </c>
      <c r="D54" s="684">
        <f t="shared" si="9"/>
        <v>4.8170706662435323E-3</v>
      </c>
      <c r="E54" s="684">
        <f t="shared" si="2"/>
        <v>2.0655567899851228E-2</v>
      </c>
      <c r="F54" s="684">
        <f t="shared" si="3"/>
        <v>0</v>
      </c>
      <c r="G54" s="684">
        <f t="shared" si="10"/>
        <v>0</v>
      </c>
      <c r="H54" s="684">
        <f t="shared" si="11"/>
        <v>0</v>
      </c>
      <c r="I54" s="1052">
        <f>HLOOKUP('Input &amp; Summary'!$B$6,TurbineProfiles,ROW(I54)-49,0)</f>
        <v>0</v>
      </c>
      <c r="J54" s="684">
        <f t="shared" si="4"/>
        <v>0</v>
      </c>
      <c r="K54" s="9">
        <f t="shared" si="5"/>
        <v>0</v>
      </c>
      <c r="L54" s="14">
        <f t="shared" si="6"/>
        <v>0.85022871915562548</v>
      </c>
      <c r="M54" s="684">
        <f t="shared" si="7"/>
        <v>0</v>
      </c>
      <c r="N54" s="684">
        <f t="shared" si="12"/>
        <v>2117.4921141893815</v>
      </c>
      <c r="O54" s="684">
        <f t="shared" si="13"/>
        <v>7.2519652958690107E-3</v>
      </c>
      <c r="P54" s="684">
        <f t="shared" si="14"/>
        <v>0</v>
      </c>
      <c r="Q54" s="684">
        <f t="shared" si="18"/>
        <v>4.0223523645631417E-3</v>
      </c>
      <c r="R54" s="684">
        <f t="shared" si="19"/>
        <v>4.8161015862437416E-3</v>
      </c>
      <c r="S54" s="684">
        <f t="shared" si="15"/>
        <v>0</v>
      </c>
      <c r="T54" s="684">
        <f t="shared" si="16"/>
        <v>0</v>
      </c>
      <c r="U54" s="14">
        <f t="shared" si="17"/>
        <v>0</v>
      </c>
      <c r="V54">
        <v>0</v>
      </c>
      <c r="W54">
        <v>0</v>
      </c>
      <c r="X54">
        <v>0</v>
      </c>
      <c r="Y54">
        <v>0</v>
      </c>
      <c r="Z54">
        <v>0</v>
      </c>
      <c r="AA54">
        <v>0</v>
      </c>
      <c r="AB54">
        <v>0</v>
      </c>
      <c r="AC54">
        <v>0</v>
      </c>
      <c r="AD54">
        <v>0</v>
      </c>
      <c r="AE54" s="143">
        <v>0</v>
      </c>
      <c r="AF54" s="143">
        <v>0</v>
      </c>
      <c r="AG54" s="143">
        <v>0</v>
      </c>
      <c r="AH54" s="143">
        <v>0</v>
      </c>
      <c r="AI54" s="995">
        <v>0</v>
      </c>
      <c r="AJ54" s="143">
        <v>0</v>
      </c>
      <c r="AK54" s="143">
        <v>0</v>
      </c>
      <c r="AL54" s="143">
        <v>0</v>
      </c>
      <c r="AM54" s="143">
        <v>0</v>
      </c>
      <c r="AN54" s="143">
        <v>0</v>
      </c>
      <c r="AO54" s="143">
        <v>0</v>
      </c>
      <c r="AP54" s="143">
        <v>0</v>
      </c>
      <c r="AQ54" s="143">
        <v>0</v>
      </c>
      <c r="AR54" s="143">
        <v>0</v>
      </c>
      <c r="AS54" s="143">
        <v>0</v>
      </c>
      <c r="AT54" s="143">
        <v>0</v>
      </c>
      <c r="AU54" s="143">
        <v>0</v>
      </c>
      <c r="AV54" s="143">
        <v>0</v>
      </c>
      <c r="AW54" s="143">
        <v>0</v>
      </c>
      <c r="AX54" s="143">
        <v>0</v>
      </c>
      <c r="AY54" s="143">
        <v>0</v>
      </c>
      <c r="AZ54" s="143">
        <v>0</v>
      </c>
      <c r="BA54" s="143">
        <v>0</v>
      </c>
      <c r="BB54" s="143">
        <v>0</v>
      </c>
      <c r="BC54" s="143">
        <v>0</v>
      </c>
      <c r="BD54" s="143">
        <v>0</v>
      </c>
      <c r="BE54" s="143">
        <v>0</v>
      </c>
      <c r="BF54" s="143">
        <v>0</v>
      </c>
      <c r="BG54" s="143">
        <v>0</v>
      </c>
      <c r="BH54" s="143">
        <v>0</v>
      </c>
      <c r="BI54" s="143">
        <v>0</v>
      </c>
      <c r="BJ54" s="995">
        <v>0</v>
      </c>
      <c r="BK54" s="143">
        <v>0</v>
      </c>
      <c r="BL54" s="143">
        <v>0</v>
      </c>
      <c r="BM54" s="143">
        <v>0</v>
      </c>
      <c r="BN54" s="143">
        <v>0</v>
      </c>
      <c r="BO54" s="143">
        <v>0</v>
      </c>
      <c r="BP54" s="143">
        <v>0</v>
      </c>
      <c r="BQ54" s="143">
        <v>0</v>
      </c>
      <c r="BR54" s="143">
        <v>0</v>
      </c>
      <c r="BS54" s="143">
        <v>0</v>
      </c>
      <c r="BT54" s="143">
        <v>0</v>
      </c>
      <c r="BU54" s="143">
        <v>0</v>
      </c>
      <c r="BV54" s="143">
        <v>0</v>
      </c>
      <c r="BW54" s="143">
        <v>0</v>
      </c>
      <c r="BX54" s="143">
        <v>0</v>
      </c>
      <c r="BY54" s="143">
        <v>0</v>
      </c>
      <c r="BZ54" s="995">
        <v>0</v>
      </c>
      <c r="CA54" s="143">
        <v>0</v>
      </c>
      <c r="CB54">
        <v>0</v>
      </c>
      <c r="CC54" s="143">
        <v>0</v>
      </c>
      <c r="CD54" s="143">
        <v>0</v>
      </c>
      <c r="CE54" s="143">
        <v>0</v>
      </c>
      <c r="CF54" s="143">
        <v>0</v>
      </c>
      <c r="CG54" s="143">
        <v>0</v>
      </c>
      <c r="CH54" s="143">
        <v>0</v>
      </c>
      <c r="CI54" s="143">
        <v>0</v>
      </c>
      <c r="CJ54" s="143">
        <v>0</v>
      </c>
      <c r="CK54" s="143">
        <v>0</v>
      </c>
      <c r="CL54" s="143">
        <v>0</v>
      </c>
      <c r="CM54" s="143">
        <v>0</v>
      </c>
      <c r="CN54" s="143">
        <v>0</v>
      </c>
      <c r="CO54" s="143">
        <v>0</v>
      </c>
      <c r="CP54" s="143">
        <v>0</v>
      </c>
      <c r="CQ54" s="143">
        <v>0</v>
      </c>
      <c r="CR54" s="143">
        <v>0</v>
      </c>
      <c r="CS54" s="143">
        <v>0</v>
      </c>
      <c r="CT54" s="143">
        <v>0</v>
      </c>
      <c r="CU54" s="143">
        <v>0</v>
      </c>
      <c r="CV54" s="143">
        <v>0</v>
      </c>
      <c r="CW54" s="14">
        <v>0</v>
      </c>
      <c r="CX54" s="14">
        <v>0</v>
      </c>
      <c r="CY54" s="14">
        <v>0</v>
      </c>
      <c r="CZ54" s="995">
        <v>0</v>
      </c>
      <c r="DA54" s="995">
        <v>0</v>
      </c>
      <c r="DB54" s="995">
        <v>0</v>
      </c>
      <c r="DC54">
        <v>0</v>
      </c>
      <c r="DD54">
        <v>0</v>
      </c>
      <c r="DE54">
        <v>0</v>
      </c>
      <c r="DF54">
        <v>0</v>
      </c>
      <c r="DG54">
        <v>0</v>
      </c>
      <c r="DH54">
        <v>0</v>
      </c>
      <c r="DI54">
        <v>0</v>
      </c>
      <c r="DJ54">
        <v>0</v>
      </c>
      <c r="DK54">
        <v>0</v>
      </c>
      <c r="DL54">
        <v>0</v>
      </c>
      <c r="DM54">
        <v>0</v>
      </c>
      <c r="DN54">
        <v>0</v>
      </c>
      <c r="DO54">
        <v>0</v>
      </c>
      <c r="DP54">
        <v>0</v>
      </c>
      <c r="DQ54">
        <v>0.75</v>
      </c>
    </row>
    <row r="55" spans="1:121" x14ac:dyDescent="0.2">
      <c r="A55" s="14">
        <v>1</v>
      </c>
      <c r="B55" s="684">
        <f t="shared" si="1"/>
        <v>2.5546018233240958E-2</v>
      </c>
      <c r="C55" s="684">
        <f t="shared" si="8"/>
        <v>2.5546018233240955E-2</v>
      </c>
      <c r="D55" s="684">
        <f t="shared" si="9"/>
        <v>6.3865045583102386E-3</v>
      </c>
      <c r="E55" s="684">
        <f t="shared" si="2"/>
        <v>6.4913280689554667E-2</v>
      </c>
      <c r="F55" s="684">
        <f t="shared" si="3"/>
        <v>0</v>
      </c>
      <c r="G55" s="684">
        <f t="shared" si="10"/>
        <v>0</v>
      </c>
      <c r="H55" s="684">
        <f t="shared" si="11"/>
        <v>0</v>
      </c>
      <c r="I55" s="1052">
        <f>HLOOKUP('Input &amp; Summary'!$B$6,TurbineProfiles,ROW(I55)-49,0)</f>
        <v>0</v>
      </c>
      <c r="J55" s="684">
        <f t="shared" si="4"/>
        <v>0</v>
      </c>
      <c r="K55" s="9">
        <f t="shared" si="5"/>
        <v>0</v>
      </c>
      <c r="L55" s="14">
        <f t="shared" si="6"/>
        <v>2.0153569639244462</v>
      </c>
      <c r="M55" s="684">
        <f t="shared" si="7"/>
        <v>0</v>
      </c>
      <c r="N55" s="684">
        <f t="shared" si="12"/>
        <v>2117.4921141893815</v>
      </c>
      <c r="O55" s="684">
        <f t="shared" si="13"/>
        <v>1.2856003962928714E-2</v>
      </c>
      <c r="P55" s="684">
        <f t="shared" si="14"/>
        <v>0</v>
      </c>
      <c r="Q55" s="684">
        <f t="shared" si="18"/>
        <v>5.604038667059703E-3</v>
      </c>
      <c r="R55" s="684">
        <f t="shared" si="19"/>
        <v>6.3852246175631674E-3</v>
      </c>
      <c r="S55" s="684">
        <f t="shared" si="15"/>
        <v>0</v>
      </c>
      <c r="T55" s="684">
        <f t="shared" si="16"/>
        <v>0</v>
      </c>
      <c r="U55" s="14">
        <f t="shared" si="17"/>
        <v>0</v>
      </c>
      <c r="V55">
        <v>0</v>
      </c>
      <c r="W55">
        <v>0</v>
      </c>
      <c r="X55">
        <v>0</v>
      </c>
      <c r="Y55">
        <v>0</v>
      </c>
      <c r="Z55">
        <v>0</v>
      </c>
      <c r="AA55">
        <v>0</v>
      </c>
      <c r="AB55">
        <v>0</v>
      </c>
      <c r="AC55">
        <v>0</v>
      </c>
      <c r="AD55">
        <v>0</v>
      </c>
      <c r="AE55" s="143">
        <v>0</v>
      </c>
      <c r="AF55" s="143">
        <v>0</v>
      </c>
      <c r="AG55" s="143">
        <v>0</v>
      </c>
      <c r="AH55" s="143">
        <v>0</v>
      </c>
      <c r="AI55" s="995">
        <v>0</v>
      </c>
      <c r="AJ55" s="143">
        <v>0</v>
      </c>
      <c r="AK55" s="143">
        <v>0</v>
      </c>
      <c r="AL55" s="143">
        <v>0</v>
      </c>
      <c r="AM55" s="143">
        <v>0</v>
      </c>
      <c r="AN55" s="143">
        <v>0</v>
      </c>
      <c r="AO55" s="143">
        <v>0</v>
      </c>
      <c r="AP55" s="143">
        <v>0</v>
      </c>
      <c r="AQ55" s="143">
        <v>0</v>
      </c>
      <c r="AR55" s="143">
        <v>0</v>
      </c>
      <c r="AS55" s="143">
        <v>0</v>
      </c>
      <c r="AT55" s="143">
        <v>0</v>
      </c>
      <c r="AU55" s="143">
        <v>0</v>
      </c>
      <c r="AV55" s="143">
        <v>0</v>
      </c>
      <c r="AW55" s="143">
        <v>0</v>
      </c>
      <c r="AX55" s="143">
        <v>0</v>
      </c>
      <c r="AY55" s="143">
        <v>0</v>
      </c>
      <c r="AZ55" s="143">
        <v>0</v>
      </c>
      <c r="BA55" s="143">
        <v>0</v>
      </c>
      <c r="BB55" s="143">
        <v>0</v>
      </c>
      <c r="BC55" s="143">
        <v>0</v>
      </c>
      <c r="BD55" s="143">
        <v>0</v>
      </c>
      <c r="BE55" s="143">
        <v>0</v>
      </c>
      <c r="BF55" s="143">
        <v>0</v>
      </c>
      <c r="BG55" s="143">
        <v>0</v>
      </c>
      <c r="BH55" s="143">
        <v>0</v>
      </c>
      <c r="BI55" s="143">
        <v>0</v>
      </c>
      <c r="BJ55" s="995">
        <v>0</v>
      </c>
      <c r="BK55" s="143">
        <v>0</v>
      </c>
      <c r="BL55" s="143">
        <v>0</v>
      </c>
      <c r="BM55" s="143">
        <v>0</v>
      </c>
      <c r="BN55" s="143">
        <v>0</v>
      </c>
      <c r="BO55" s="143">
        <v>0</v>
      </c>
      <c r="BP55" s="143">
        <v>0</v>
      </c>
      <c r="BQ55" s="143">
        <v>0</v>
      </c>
      <c r="BR55" s="143">
        <v>0</v>
      </c>
      <c r="BS55" s="143">
        <v>0</v>
      </c>
      <c r="BT55" s="143">
        <v>0</v>
      </c>
      <c r="BU55" s="143">
        <v>0</v>
      </c>
      <c r="BV55" s="143">
        <v>0</v>
      </c>
      <c r="BW55" s="143">
        <v>0</v>
      </c>
      <c r="BX55" s="143">
        <v>0</v>
      </c>
      <c r="BY55" s="143">
        <v>0</v>
      </c>
      <c r="BZ55" s="995">
        <v>0</v>
      </c>
      <c r="CA55" s="143">
        <v>0</v>
      </c>
      <c r="CB55">
        <v>0</v>
      </c>
      <c r="CC55" s="143">
        <v>0</v>
      </c>
      <c r="CD55" s="143">
        <v>0</v>
      </c>
      <c r="CE55" s="143">
        <v>0</v>
      </c>
      <c r="CF55" s="143">
        <v>0</v>
      </c>
      <c r="CG55" s="143">
        <v>0</v>
      </c>
      <c r="CH55" s="143">
        <v>0</v>
      </c>
      <c r="CI55" s="143">
        <v>0</v>
      </c>
      <c r="CJ55" s="143">
        <v>0</v>
      </c>
      <c r="CK55" s="143">
        <v>0</v>
      </c>
      <c r="CL55" s="143">
        <v>0</v>
      </c>
      <c r="CM55" s="143">
        <v>0</v>
      </c>
      <c r="CN55" s="143">
        <v>0</v>
      </c>
      <c r="CO55" s="143">
        <v>0</v>
      </c>
      <c r="CP55" s="143">
        <v>0</v>
      </c>
      <c r="CQ55" s="143">
        <v>0</v>
      </c>
      <c r="CR55" s="143">
        <v>0</v>
      </c>
      <c r="CS55" s="143">
        <v>0</v>
      </c>
      <c r="CT55" s="143">
        <v>0</v>
      </c>
      <c r="CU55" s="143">
        <v>0</v>
      </c>
      <c r="CV55" s="143">
        <v>0</v>
      </c>
      <c r="CW55" s="14">
        <v>0</v>
      </c>
      <c r="CX55" s="14">
        <v>0</v>
      </c>
      <c r="CY55" s="14">
        <v>0</v>
      </c>
      <c r="CZ55" s="995">
        <v>0</v>
      </c>
      <c r="DA55" s="995">
        <v>0</v>
      </c>
      <c r="DB55" s="995">
        <v>0</v>
      </c>
      <c r="DC55">
        <v>0</v>
      </c>
      <c r="DD55">
        <v>0</v>
      </c>
      <c r="DE55">
        <v>0</v>
      </c>
      <c r="DF55">
        <v>0</v>
      </c>
      <c r="DG55">
        <v>0</v>
      </c>
      <c r="DH55">
        <v>0</v>
      </c>
      <c r="DI55">
        <v>0</v>
      </c>
      <c r="DJ55">
        <v>0</v>
      </c>
      <c r="DK55">
        <v>0</v>
      </c>
      <c r="DL55">
        <v>0</v>
      </c>
      <c r="DM55">
        <v>0</v>
      </c>
      <c r="DN55">
        <v>0</v>
      </c>
      <c r="DO55">
        <v>0</v>
      </c>
      <c r="DP55">
        <v>0</v>
      </c>
      <c r="DQ55">
        <v>1</v>
      </c>
    </row>
    <row r="56" spans="1:121" x14ac:dyDescent="0.2">
      <c r="A56" s="14">
        <v>1.25</v>
      </c>
      <c r="B56" s="684">
        <f t="shared" si="1"/>
        <v>3.1700949244457322E-2</v>
      </c>
      <c r="C56" s="684">
        <f t="shared" si="8"/>
        <v>3.1700949244457315E-2</v>
      </c>
      <c r="D56" s="684">
        <f t="shared" si="9"/>
        <v>7.9252373111143287E-3</v>
      </c>
      <c r="E56" s="684">
        <f t="shared" si="2"/>
        <v>0.15733039997742432</v>
      </c>
      <c r="F56" s="684">
        <f t="shared" si="3"/>
        <v>0</v>
      </c>
      <c r="G56" s="684">
        <f t="shared" si="10"/>
        <v>0</v>
      </c>
      <c r="H56" s="684">
        <f t="shared" si="11"/>
        <v>0</v>
      </c>
      <c r="I56" s="1052">
        <f>HLOOKUP('Input &amp; Summary'!$B$6,TurbineProfiles,ROW(I56)-49,0)</f>
        <v>0</v>
      </c>
      <c r="J56" s="684">
        <f t="shared" si="4"/>
        <v>0</v>
      </c>
      <c r="K56" s="9">
        <f t="shared" si="5"/>
        <v>0</v>
      </c>
      <c r="L56" s="14">
        <f t="shared" si="6"/>
        <v>3.9362440701649337</v>
      </c>
      <c r="M56" s="684">
        <f t="shared" si="7"/>
        <v>0</v>
      </c>
      <c r="N56" s="684">
        <f t="shared" si="12"/>
        <v>2117.4921141893815</v>
      </c>
      <c r="O56" s="684">
        <f t="shared" si="13"/>
        <v>2.0014737964215015E-2</v>
      </c>
      <c r="P56" s="684">
        <f t="shared" si="14"/>
        <v>0</v>
      </c>
      <c r="Q56" s="684">
        <f t="shared" si="18"/>
        <v>7.1587340012863009E-3</v>
      </c>
      <c r="R56" s="684">
        <f t="shared" si="19"/>
        <v>7.9236567610224372E-3</v>
      </c>
      <c r="S56" s="684">
        <f t="shared" si="15"/>
        <v>0</v>
      </c>
      <c r="T56" s="684">
        <f t="shared" si="16"/>
        <v>0</v>
      </c>
      <c r="U56" s="14">
        <f t="shared" si="17"/>
        <v>0</v>
      </c>
      <c r="V56">
        <v>0</v>
      </c>
      <c r="W56">
        <v>0</v>
      </c>
      <c r="X56">
        <v>0</v>
      </c>
      <c r="Y56">
        <v>0</v>
      </c>
      <c r="Z56">
        <v>0</v>
      </c>
      <c r="AA56">
        <v>0</v>
      </c>
      <c r="AB56">
        <v>0</v>
      </c>
      <c r="AC56">
        <v>0</v>
      </c>
      <c r="AD56">
        <v>0</v>
      </c>
      <c r="AE56" s="143">
        <v>0</v>
      </c>
      <c r="AF56" s="143">
        <v>0</v>
      </c>
      <c r="AG56" s="143">
        <v>0.125</v>
      </c>
      <c r="AH56" s="143">
        <v>0</v>
      </c>
      <c r="AI56" s="995">
        <v>0</v>
      </c>
      <c r="AJ56" s="143">
        <v>0</v>
      </c>
      <c r="AK56" s="143">
        <v>0</v>
      </c>
      <c r="AL56" s="143">
        <v>0</v>
      </c>
      <c r="AM56" s="143">
        <v>0</v>
      </c>
      <c r="AN56" s="143">
        <v>0</v>
      </c>
      <c r="AO56" s="143">
        <v>0</v>
      </c>
      <c r="AP56" s="143">
        <v>0</v>
      </c>
      <c r="AQ56" s="143">
        <v>0</v>
      </c>
      <c r="AR56" s="143">
        <v>0</v>
      </c>
      <c r="AS56" s="143">
        <v>0</v>
      </c>
      <c r="AT56" s="143">
        <v>0</v>
      </c>
      <c r="AU56" s="143">
        <v>0</v>
      </c>
      <c r="AV56" s="143">
        <v>0</v>
      </c>
      <c r="AW56" s="143">
        <v>0</v>
      </c>
      <c r="AX56" s="143">
        <v>0</v>
      </c>
      <c r="AY56" s="143">
        <v>0</v>
      </c>
      <c r="AZ56" s="143">
        <v>0</v>
      </c>
      <c r="BA56" s="143">
        <v>0</v>
      </c>
      <c r="BB56" s="143">
        <v>0</v>
      </c>
      <c r="BC56" s="143">
        <v>0</v>
      </c>
      <c r="BD56" s="143">
        <v>0</v>
      </c>
      <c r="BE56" s="143">
        <v>0</v>
      </c>
      <c r="BF56" s="143">
        <v>0</v>
      </c>
      <c r="BG56" s="143">
        <v>0</v>
      </c>
      <c r="BH56" s="143">
        <v>0</v>
      </c>
      <c r="BI56" s="143">
        <v>0</v>
      </c>
      <c r="BJ56" s="995">
        <v>0</v>
      </c>
      <c r="BK56" s="143">
        <v>0</v>
      </c>
      <c r="BL56" s="143">
        <v>0</v>
      </c>
      <c r="BM56" s="143">
        <v>0</v>
      </c>
      <c r="BN56" s="143">
        <v>0</v>
      </c>
      <c r="BO56" s="143">
        <v>0</v>
      </c>
      <c r="BP56" s="143">
        <v>0</v>
      </c>
      <c r="BQ56" s="143">
        <v>0</v>
      </c>
      <c r="BR56" s="143">
        <v>0</v>
      </c>
      <c r="BS56" s="143">
        <v>0</v>
      </c>
      <c r="BT56" s="143">
        <v>0</v>
      </c>
      <c r="BU56" s="143">
        <v>0</v>
      </c>
      <c r="BV56" s="143">
        <v>0</v>
      </c>
      <c r="BW56" s="143">
        <v>0</v>
      </c>
      <c r="BX56" s="143">
        <v>0</v>
      </c>
      <c r="BY56" s="143">
        <v>0</v>
      </c>
      <c r="BZ56" s="995">
        <v>0</v>
      </c>
      <c r="CA56" s="143">
        <v>0</v>
      </c>
      <c r="CB56">
        <v>0</v>
      </c>
      <c r="CC56" s="143">
        <v>0</v>
      </c>
      <c r="CD56" s="143">
        <v>0</v>
      </c>
      <c r="CE56" s="143">
        <v>0</v>
      </c>
      <c r="CF56" s="143">
        <v>0</v>
      </c>
      <c r="CG56" s="143">
        <v>0</v>
      </c>
      <c r="CH56" s="143">
        <v>0</v>
      </c>
      <c r="CI56" s="143">
        <v>0</v>
      </c>
      <c r="CJ56" s="143">
        <v>0</v>
      </c>
      <c r="CK56" s="143">
        <v>0</v>
      </c>
      <c r="CL56" s="143">
        <v>0</v>
      </c>
      <c r="CM56" s="143">
        <v>0</v>
      </c>
      <c r="CN56" s="143">
        <v>0</v>
      </c>
      <c r="CO56" s="143">
        <v>0</v>
      </c>
      <c r="CP56" s="143">
        <v>0</v>
      </c>
      <c r="CQ56" s="143">
        <v>0</v>
      </c>
      <c r="CR56" s="143">
        <v>0</v>
      </c>
      <c r="CS56" s="143">
        <v>0</v>
      </c>
      <c r="CT56" s="143">
        <v>0</v>
      </c>
      <c r="CU56" s="143">
        <v>0</v>
      </c>
      <c r="CV56" s="143">
        <v>0</v>
      </c>
      <c r="CW56" s="14">
        <v>0</v>
      </c>
      <c r="CX56" s="14">
        <v>0</v>
      </c>
      <c r="CY56" s="14">
        <v>0</v>
      </c>
      <c r="CZ56" s="995">
        <v>0</v>
      </c>
      <c r="DA56" s="995">
        <v>0</v>
      </c>
      <c r="DB56" s="995">
        <v>0</v>
      </c>
      <c r="DC56">
        <v>0</v>
      </c>
      <c r="DD56">
        <v>0</v>
      </c>
      <c r="DE56">
        <v>0</v>
      </c>
      <c r="DF56">
        <v>0</v>
      </c>
      <c r="DG56">
        <v>0</v>
      </c>
      <c r="DH56">
        <v>0</v>
      </c>
      <c r="DI56">
        <v>0</v>
      </c>
      <c r="DJ56">
        <v>0</v>
      </c>
      <c r="DK56">
        <v>0</v>
      </c>
      <c r="DL56">
        <v>0</v>
      </c>
      <c r="DM56">
        <v>0</v>
      </c>
      <c r="DN56">
        <v>0</v>
      </c>
      <c r="DO56">
        <v>0</v>
      </c>
      <c r="DP56">
        <v>0</v>
      </c>
      <c r="DQ56">
        <v>1.25</v>
      </c>
    </row>
    <row r="57" spans="1:121" x14ac:dyDescent="0.2">
      <c r="A57" s="14">
        <v>1.5</v>
      </c>
      <c r="B57" s="684">
        <f t="shared" si="1"/>
        <v>3.7704233158973297E-2</v>
      </c>
      <c r="C57" s="684">
        <f t="shared" si="8"/>
        <v>3.7704233158973297E-2</v>
      </c>
      <c r="D57" s="684">
        <f t="shared" si="9"/>
        <v>9.4260582897433241E-3</v>
      </c>
      <c r="E57" s="684">
        <f t="shared" si="2"/>
        <v>0.32335101645262926</v>
      </c>
      <c r="F57" s="684">
        <f t="shared" si="3"/>
        <v>0</v>
      </c>
      <c r="G57" s="684">
        <f t="shared" si="10"/>
        <v>0</v>
      </c>
      <c r="H57" s="684">
        <f t="shared" si="11"/>
        <v>0</v>
      </c>
      <c r="I57" s="1052">
        <f>HLOOKUP('Input &amp; Summary'!$B$6,TurbineProfiles,ROW(I57)-49,0)</f>
        <v>0</v>
      </c>
      <c r="J57" s="684">
        <f t="shared" si="4"/>
        <v>0</v>
      </c>
      <c r="K57" s="9">
        <f t="shared" si="5"/>
        <v>0</v>
      </c>
      <c r="L57" s="14">
        <f t="shared" si="6"/>
        <v>6.8018297532450038</v>
      </c>
      <c r="M57" s="684">
        <f t="shared" si="7"/>
        <v>0</v>
      </c>
      <c r="N57" s="684">
        <f t="shared" si="12"/>
        <v>2117.4921141893815</v>
      </c>
      <c r="O57" s="684">
        <f t="shared" si="13"/>
        <v>2.869383796619418E-2</v>
      </c>
      <c r="P57" s="684">
        <f t="shared" si="14"/>
        <v>0</v>
      </c>
      <c r="Q57" s="684">
        <f t="shared" si="18"/>
        <v>8.6791000019791655E-3</v>
      </c>
      <c r="R57" s="684">
        <f t="shared" si="19"/>
        <v>9.4241897269157597E-3</v>
      </c>
      <c r="S57" s="684">
        <f t="shared" si="15"/>
        <v>0</v>
      </c>
      <c r="T57" s="684">
        <f t="shared" si="16"/>
        <v>0</v>
      </c>
      <c r="U57" s="14">
        <f t="shared" si="17"/>
        <v>0</v>
      </c>
      <c r="V57">
        <v>0</v>
      </c>
      <c r="W57">
        <v>0</v>
      </c>
      <c r="X57">
        <v>0</v>
      </c>
      <c r="Y57">
        <v>0</v>
      </c>
      <c r="Z57">
        <v>0</v>
      </c>
      <c r="AA57">
        <v>0</v>
      </c>
      <c r="AB57">
        <v>0</v>
      </c>
      <c r="AC57">
        <v>0</v>
      </c>
      <c r="AD57">
        <v>0</v>
      </c>
      <c r="AE57" s="143">
        <v>0</v>
      </c>
      <c r="AF57" s="143">
        <v>0</v>
      </c>
      <c r="AG57" s="143">
        <v>0.25</v>
      </c>
      <c r="AH57" s="143">
        <v>0</v>
      </c>
      <c r="AI57" s="995">
        <v>0</v>
      </c>
      <c r="AJ57" s="143">
        <v>0</v>
      </c>
      <c r="AK57" s="143">
        <v>0</v>
      </c>
      <c r="AL57" s="143">
        <v>0</v>
      </c>
      <c r="AM57" s="143">
        <v>0</v>
      </c>
      <c r="AN57" s="143">
        <v>0</v>
      </c>
      <c r="AO57" s="143">
        <v>0</v>
      </c>
      <c r="AP57" s="143">
        <v>0</v>
      </c>
      <c r="AQ57" s="143">
        <v>0</v>
      </c>
      <c r="AR57" s="143">
        <v>0</v>
      </c>
      <c r="AS57" s="143">
        <v>0</v>
      </c>
      <c r="AT57" s="143">
        <v>0</v>
      </c>
      <c r="AU57" s="143">
        <v>0</v>
      </c>
      <c r="AV57" s="143">
        <v>0</v>
      </c>
      <c r="AW57" s="143">
        <v>0</v>
      </c>
      <c r="AX57" s="143">
        <v>0</v>
      </c>
      <c r="AY57" s="143">
        <v>0</v>
      </c>
      <c r="AZ57" s="143">
        <v>0</v>
      </c>
      <c r="BA57" s="143">
        <v>0</v>
      </c>
      <c r="BB57" s="143">
        <v>0</v>
      </c>
      <c r="BC57" s="143">
        <v>0</v>
      </c>
      <c r="BD57" s="143">
        <v>0</v>
      </c>
      <c r="BE57" s="143">
        <v>0</v>
      </c>
      <c r="BF57" s="143">
        <v>0</v>
      </c>
      <c r="BG57" s="143">
        <v>0</v>
      </c>
      <c r="BH57" s="143">
        <v>0</v>
      </c>
      <c r="BI57" s="143">
        <v>0</v>
      </c>
      <c r="BJ57" s="995">
        <v>0</v>
      </c>
      <c r="BK57" s="143">
        <v>0</v>
      </c>
      <c r="BL57" s="143">
        <v>0</v>
      </c>
      <c r="BM57" s="143">
        <v>0</v>
      </c>
      <c r="BN57" s="143">
        <v>0</v>
      </c>
      <c r="BO57" s="143">
        <v>0</v>
      </c>
      <c r="BP57" s="143">
        <v>0</v>
      </c>
      <c r="BQ57" s="143">
        <v>0</v>
      </c>
      <c r="BR57" s="143">
        <v>0</v>
      </c>
      <c r="BS57" s="143">
        <v>0</v>
      </c>
      <c r="BT57" s="143">
        <v>0</v>
      </c>
      <c r="BU57" s="143">
        <v>0</v>
      </c>
      <c r="BV57" s="143">
        <v>0</v>
      </c>
      <c r="BW57" s="143">
        <v>0</v>
      </c>
      <c r="BX57" s="143">
        <v>0</v>
      </c>
      <c r="BY57" s="143">
        <v>0</v>
      </c>
      <c r="BZ57" s="995">
        <v>0</v>
      </c>
      <c r="CA57" s="143">
        <v>0</v>
      </c>
      <c r="CB57">
        <v>0</v>
      </c>
      <c r="CC57" s="143">
        <v>0</v>
      </c>
      <c r="CD57" s="143">
        <v>0</v>
      </c>
      <c r="CE57" s="143">
        <v>0</v>
      </c>
      <c r="CF57" s="143">
        <v>0</v>
      </c>
      <c r="CG57" s="143">
        <v>0</v>
      </c>
      <c r="CH57" s="143">
        <v>0</v>
      </c>
      <c r="CI57" s="143">
        <v>0</v>
      </c>
      <c r="CJ57" s="143">
        <v>0</v>
      </c>
      <c r="CK57" s="143">
        <v>0</v>
      </c>
      <c r="CL57" s="143">
        <v>0</v>
      </c>
      <c r="CM57" s="143">
        <v>0</v>
      </c>
      <c r="CN57" s="143">
        <v>0</v>
      </c>
      <c r="CO57" s="143">
        <v>0</v>
      </c>
      <c r="CP57" s="143">
        <v>0</v>
      </c>
      <c r="CQ57" s="143">
        <v>0</v>
      </c>
      <c r="CR57" s="143">
        <v>0</v>
      </c>
      <c r="CS57" s="143">
        <v>0</v>
      </c>
      <c r="CT57" s="143">
        <v>0</v>
      </c>
      <c r="CU57" s="143">
        <v>0</v>
      </c>
      <c r="CV57" s="143">
        <v>0</v>
      </c>
      <c r="CW57" s="14">
        <v>0</v>
      </c>
      <c r="CX57" s="14">
        <v>0</v>
      </c>
      <c r="CY57" s="14">
        <v>0</v>
      </c>
      <c r="CZ57" s="995">
        <v>0</v>
      </c>
      <c r="DA57" s="995">
        <v>0</v>
      </c>
      <c r="DB57" s="995">
        <v>0</v>
      </c>
      <c r="DC57">
        <v>0</v>
      </c>
      <c r="DD57">
        <v>0</v>
      </c>
      <c r="DE57">
        <v>0</v>
      </c>
      <c r="DF57">
        <v>0</v>
      </c>
      <c r="DG57">
        <v>0</v>
      </c>
      <c r="DH57">
        <v>0</v>
      </c>
      <c r="DI57">
        <v>0</v>
      </c>
      <c r="DJ57">
        <v>0</v>
      </c>
      <c r="DK57">
        <v>0</v>
      </c>
      <c r="DL57">
        <v>0</v>
      </c>
      <c r="DM57">
        <v>0</v>
      </c>
      <c r="DN57">
        <v>0</v>
      </c>
      <c r="DO57">
        <v>0</v>
      </c>
      <c r="DP57">
        <v>0</v>
      </c>
      <c r="DQ57">
        <v>1.5</v>
      </c>
    </row>
    <row r="58" spans="1:121" x14ac:dyDescent="0.2">
      <c r="A58" s="14">
        <v>1.75</v>
      </c>
      <c r="B58" s="684">
        <f t="shared" si="1"/>
        <v>4.352823575567679E-2</v>
      </c>
      <c r="C58" s="684">
        <f t="shared" si="8"/>
        <v>4.3528235755676783E-2</v>
      </c>
      <c r="D58" s="684">
        <f t="shared" si="9"/>
        <v>1.0882058938919196E-2</v>
      </c>
      <c r="E58" s="684">
        <f t="shared" si="2"/>
        <v>0.59278274307996581</v>
      </c>
      <c r="F58" s="684">
        <f t="shared" si="3"/>
        <v>0</v>
      </c>
      <c r="G58" s="684">
        <f t="shared" si="10"/>
        <v>0</v>
      </c>
      <c r="H58" s="684">
        <f t="shared" si="11"/>
        <v>0</v>
      </c>
      <c r="I58" s="1052">
        <f>HLOOKUP('Input &amp; Summary'!$B$6,TurbineProfiles,ROW(I58)-49,0)</f>
        <v>0</v>
      </c>
      <c r="J58" s="684">
        <f t="shared" si="4"/>
        <v>0</v>
      </c>
      <c r="K58" s="9">
        <f t="shared" si="5"/>
        <v>0</v>
      </c>
      <c r="L58" s="14">
        <f t="shared" si="6"/>
        <v>10.801053728532578</v>
      </c>
      <c r="M58" s="684">
        <f t="shared" si="7"/>
        <v>0</v>
      </c>
      <c r="N58" s="684">
        <f t="shared" si="12"/>
        <v>2117.4921141893815</v>
      </c>
      <c r="O58" s="684">
        <f t="shared" si="13"/>
        <v>3.8851910484744102E-2</v>
      </c>
      <c r="P58" s="684">
        <f t="shared" si="14"/>
        <v>0</v>
      </c>
      <c r="Q58" s="684">
        <f t="shared" si="18"/>
        <v>1.0158072518549922E-2</v>
      </c>
      <c r="R58" s="684">
        <f t="shared" si="19"/>
        <v>1.0879917164708409E-2</v>
      </c>
      <c r="S58" s="684">
        <f t="shared" si="15"/>
        <v>0</v>
      </c>
      <c r="T58" s="684">
        <f t="shared" si="16"/>
        <v>0</v>
      </c>
      <c r="U58" s="14">
        <f t="shared" si="17"/>
        <v>0</v>
      </c>
      <c r="V58">
        <v>0</v>
      </c>
      <c r="W58">
        <v>0</v>
      </c>
      <c r="X58">
        <v>0</v>
      </c>
      <c r="Y58">
        <v>0</v>
      </c>
      <c r="Z58">
        <v>0</v>
      </c>
      <c r="AA58">
        <v>0</v>
      </c>
      <c r="AB58">
        <v>0</v>
      </c>
      <c r="AC58">
        <v>0</v>
      </c>
      <c r="AD58">
        <v>0</v>
      </c>
      <c r="AE58" s="143">
        <v>0</v>
      </c>
      <c r="AF58" s="143">
        <v>0</v>
      </c>
      <c r="AG58" s="143">
        <v>0.375</v>
      </c>
      <c r="AH58" s="143">
        <v>0</v>
      </c>
      <c r="AI58" s="995">
        <v>0</v>
      </c>
      <c r="AJ58" s="143">
        <v>0</v>
      </c>
      <c r="AK58" s="143">
        <v>0</v>
      </c>
      <c r="AL58" s="143">
        <v>0</v>
      </c>
      <c r="AM58" s="143">
        <v>0</v>
      </c>
      <c r="AN58" s="143">
        <v>0</v>
      </c>
      <c r="AO58" s="143">
        <v>0</v>
      </c>
      <c r="AP58" s="143">
        <v>0</v>
      </c>
      <c r="AQ58" s="143">
        <v>0</v>
      </c>
      <c r="AR58" s="143">
        <v>0</v>
      </c>
      <c r="AS58" s="143">
        <v>0</v>
      </c>
      <c r="AT58" s="143">
        <v>0</v>
      </c>
      <c r="AU58" s="143">
        <v>0</v>
      </c>
      <c r="AV58" s="143">
        <v>0</v>
      </c>
      <c r="AW58" s="143">
        <v>0</v>
      </c>
      <c r="AX58" s="143">
        <v>0</v>
      </c>
      <c r="AY58" s="143">
        <v>0</v>
      </c>
      <c r="AZ58" s="143">
        <v>0</v>
      </c>
      <c r="BA58" s="143">
        <v>0</v>
      </c>
      <c r="BB58" s="143">
        <v>0</v>
      </c>
      <c r="BC58" s="143">
        <v>0</v>
      </c>
      <c r="BD58" s="143">
        <v>0</v>
      </c>
      <c r="BE58" s="143">
        <v>0</v>
      </c>
      <c r="BF58" s="143">
        <v>0</v>
      </c>
      <c r="BG58" s="143">
        <v>0</v>
      </c>
      <c r="BH58" s="143">
        <v>0</v>
      </c>
      <c r="BI58" s="143">
        <v>0</v>
      </c>
      <c r="BJ58" s="995">
        <v>0</v>
      </c>
      <c r="BK58" s="143">
        <v>0</v>
      </c>
      <c r="BL58" s="143">
        <v>0</v>
      </c>
      <c r="BM58" s="143">
        <v>0</v>
      </c>
      <c r="BN58" s="143">
        <v>0</v>
      </c>
      <c r="BO58" s="143">
        <v>0</v>
      </c>
      <c r="BP58" s="143">
        <v>0</v>
      </c>
      <c r="BQ58" s="143">
        <v>0</v>
      </c>
      <c r="BR58" s="143">
        <v>0</v>
      </c>
      <c r="BS58" s="143">
        <v>0</v>
      </c>
      <c r="BT58" s="143">
        <v>0</v>
      </c>
      <c r="BU58" s="143">
        <v>0</v>
      </c>
      <c r="BV58" s="143">
        <v>0</v>
      </c>
      <c r="BW58" s="143">
        <v>0</v>
      </c>
      <c r="BX58" s="143">
        <v>0</v>
      </c>
      <c r="BY58" s="143">
        <v>0</v>
      </c>
      <c r="BZ58" s="995">
        <v>0</v>
      </c>
      <c r="CA58" s="143">
        <v>0</v>
      </c>
      <c r="CB58">
        <v>0</v>
      </c>
      <c r="CC58" s="143">
        <v>0</v>
      </c>
      <c r="CD58" s="143">
        <v>0</v>
      </c>
      <c r="CE58" s="143">
        <v>0</v>
      </c>
      <c r="CF58" s="143">
        <v>0</v>
      </c>
      <c r="CG58" s="143">
        <v>0</v>
      </c>
      <c r="CH58" s="143">
        <v>0</v>
      </c>
      <c r="CI58" s="143">
        <v>0</v>
      </c>
      <c r="CJ58" s="143">
        <v>0</v>
      </c>
      <c r="CK58" s="143">
        <v>0</v>
      </c>
      <c r="CL58" s="143">
        <v>0</v>
      </c>
      <c r="CM58" s="143">
        <v>0</v>
      </c>
      <c r="CN58" s="143">
        <v>0</v>
      </c>
      <c r="CO58" s="143">
        <v>0</v>
      </c>
      <c r="CP58" s="143">
        <v>0</v>
      </c>
      <c r="CQ58" s="143">
        <v>0</v>
      </c>
      <c r="CR58" s="143">
        <v>0</v>
      </c>
      <c r="CS58" s="143">
        <v>0</v>
      </c>
      <c r="CT58" s="143">
        <v>0</v>
      </c>
      <c r="CU58" s="143">
        <v>0</v>
      </c>
      <c r="CV58" s="143">
        <v>0</v>
      </c>
      <c r="CW58" s="14">
        <v>0</v>
      </c>
      <c r="CX58" s="14">
        <v>0</v>
      </c>
      <c r="CY58" s="14">
        <v>0</v>
      </c>
      <c r="CZ58" s="995">
        <v>0</v>
      </c>
      <c r="DA58" s="995">
        <v>0</v>
      </c>
      <c r="DB58" s="995">
        <v>0</v>
      </c>
      <c r="DC58">
        <v>0</v>
      </c>
      <c r="DD58">
        <v>0</v>
      </c>
      <c r="DE58">
        <v>0</v>
      </c>
      <c r="DF58">
        <v>0</v>
      </c>
      <c r="DG58">
        <v>0</v>
      </c>
      <c r="DH58">
        <v>0</v>
      </c>
      <c r="DI58">
        <v>0</v>
      </c>
      <c r="DJ58">
        <v>0</v>
      </c>
      <c r="DK58">
        <v>0</v>
      </c>
      <c r="DL58">
        <v>0</v>
      </c>
      <c r="DM58">
        <v>0</v>
      </c>
      <c r="DN58">
        <v>0</v>
      </c>
      <c r="DO58">
        <v>0</v>
      </c>
      <c r="DP58">
        <v>0</v>
      </c>
      <c r="DQ58">
        <v>1.75</v>
      </c>
    </row>
    <row r="59" spans="1:121" x14ac:dyDescent="0.2">
      <c r="A59" s="14">
        <v>2</v>
      </c>
      <c r="B59" s="684">
        <f t="shared" si="1"/>
        <v>4.9146742626963821E-2</v>
      </c>
      <c r="C59" s="684">
        <f t="shared" si="8"/>
        <v>4.9146742626963814E-2</v>
      </c>
      <c r="D59" s="684">
        <f t="shared" si="9"/>
        <v>1.2286685656740954E-2</v>
      </c>
      <c r="E59" s="684">
        <f t="shared" si="2"/>
        <v>0.99906804105233316</v>
      </c>
      <c r="F59" s="684">
        <f t="shared" si="3"/>
        <v>0</v>
      </c>
      <c r="G59" s="684">
        <f t="shared" si="10"/>
        <v>0</v>
      </c>
      <c r="H59" s="684">
        <f t="shared" si="11"/>
        <v>0</v>
      </c>
      <c r="I59" s="1052">
        <f>HLOOKUP('Input &amp; Summary'!$B$6,TurbineProfiles,ROW(I59)-49,0)</f>
        <v>0</v>
      </c>
      <c r="J59" s="684">
        <f t="shared" si="4"/>
        <v>0</v>
      </c>
      <c r="K59" s="9">
        <f t="shared" si="5"/>
        <v>0</v>
      </c>
      <c r="L59" s="14">
        <f t="shared" si="6"/>
        <v>16.12285571139557</v>
      </c>
      <c r="M59" s="684">
        <f t="shared" si="7"/>
        <v>0</v>
      </c>
      <c r="N59" s="684">
        <f t="shared" si="12"/>
        <v>2117.4921141893815</v>
      </c>
      <c r="O59" s="684">
        <f t="shared" si="13"/>
        <v>5.0440826706644515E-2</v>
      </c>
      <c r="P59" s="684">
        <f t="shared" si="14"/>
        <v>0</v>
      </c>
      <c r="Q59" s="684">
        <f t="shared" si="18"/>
        <v>1.1588916221900412E-2</v>
      </c>
      <c r="R59" s="684">
        <f t="shared" si="19"/>
        <v>1.2284287513212207E-2</v>
      </c>
      <c r="S59" s="684">
        <f t="shared" si="15"/>
        <v>0</v>
      </c>
      <c r="T59" s="684">
        <f t="shared" si="16"/>
        <v>0</v>
      </c>
      <c r="U59" s="14">
        <f t="shared" si="17"/>
        <v>0</v>
      </c>
      <c r="V59">
        <v>0</v>
      </c>
      <c r="W59">
        <v>0</v>
      </c>
      <c r="X59">
        <v>0</v>
      </c>
      <c r="Y59">
        <v>0</v>
      </c>
      <c r="Z59">
        <v>0</v>
      </c>
      <c r="AA59">
        <v>0</v>
      </c>
      <c r="AB59">
        <v>0</v>
      </c>
      <c r="AC59">
        <v>0</v>
      </c>
      <c r="AD59">
        <v>0</v>
      </c>
      <c r="AE59" s="143">
        <v>0</v>
      </c>
      <c r="AF59" s="143">
        <v>0</v>
      </c>
      <c r="AG59" s="143">
        <v>0.5</v>
      </c>
      <c r="AH59" s="143">
        <v>1</v>
      </c>
      <c r="AI59" s="995">
        <v>1</v>
      </c>
      <c r="AJ59" s="143">
        <v>0</v>
      </c>
      <c r="AK59" s="143">
        <v>0</v>
      </c>
      <c r="AL59" s="143">
        <v>0</v>
      </c>
      <c r="AM59" s="143">
        <v>0</v>
      </c>
      <c r="AN59" s="143">
        <v>0</v>
      </c>
      <c r="AO59" s="143">
        <v>0</v>
      </c>
      <c r="AP59" s="143">
        <v>0</v>
      </c>
      <c r="AQ59" s="143">
        <v>0</v>
      </c>
      <c r="AR59" s="143">
        <v>0</v>
      </c>
      <c r="AS59" s="143">
        <v>0</v>
      </c>
      <c r="AT59" s="143">
        <v>0</v>
      </c>
      <c r="AU59" s="143">
        <v>0</v>
      </c>
      <c r="AV59" s="143">
        <v>0</v>
      </c>
      <c r="AW59" s="143">
        <v>0</v>
      </c>
      <c r="AX59" s="143">
        <v>0</v>
      </c>
      <c r="AY59" s="143">
        <v>0</v>
      </c>
      <c r="AZ59" s="143">
        <v>0</v>
      </c>
      <c r="BA59" s="143">
        <v>0</v>
      </c>
      <c r="BB59" s="143">
        <v>0</v>
      </c>
      <c r="BC59" s="143">
        <v>0</v>
      </c>
      <c r="BD59" s="143">
        <v>0</v>
      </c>
      <c r="BE59" s="143">
        <v>0</v>
      </c>
      <c r="BF59" s="143">
        <v>0</v>
      </c>
      <c r="BG59" s="143">
        <v>0</v>
      </c>
      <c r="BH59" s="143">
        <v>0</v>
      </c>
      <c r="BI59" s="143">
        <v>0</v>
      </c>
      <c r="BJ59" s="995">
        <v>0</v>
      </c>
      <c r="BK59" s="143">
        <v>0</v>
      </c>
      <c r="BL59" s="143">
        <v>0</v>
      </c>
      <c r="BM59" s="143">
        <v>0</v>
      </c>
      <c r="BN59" s="143">
        <v>0</v>
      </c>
      <c r="BO59" s="143">
        <v>0</v>
      </c>
      <c r="BP59" s="143">
        <v>0</v>
      </c>
      <c r="BQ59" s="143">
        <v>0</v>
      </c>
      <c r="BR59" s="143">
        <v>0</v>
      </c>
      <c r="BS59" s="143">
        <v>0</v>
      </c>
      <c r="BT59" s="143">
        <v>0</v>
      </c>
      <c r="BU59" s="143">
        <v>0</v>
      </c>
      <c r="BV59" s="143">
        <v>0</v>
      </c>
      <c r="BW59" s="143">
        <v>0</v>
      </c>
      <c r="BX59" s="143">
        <v>0</v>
      </c>
      <c r="BY59" s="143">
        <v>0</v>
      </c>
      <c r="BZ59" s="995">
        <v>0</v>
      </c>
      <c r="CA59" s="143">
        <v>0</v>
      </c>
      <c r="CB59">
        <v>0</v>
      </c>
      <c r="CC59" s="143">
        <v>0</v>
      </c>
      <c r="CD59" s="143">
        <v>0</v>
      </c>
      <c r="CE59" s="143">
        <v>0</v>
      </c>
      <c r="CF59" s="143">
        <v>0</v>
      </c>
      <c r="CG59" s="143">
        <v>0</v>
      </c>
      <c r="CH59" s="143">
        <v>0</v>
      </c>
      <c r="CI59" s="143">
        <v>0</v>
      </c>
      <c r="CJ59" s="143">
        <v>0</v>
      </c>
      <c r="CK59" s="143">
        <v>0</v>
      </c>
      <c r="CL59" s="143">
        <v>0</v>
      </c>
      <c r="CM59" s="143">
        <v>0</v>
      </c>
      <c r="CN59" s="143">
        <v>0</v>
      </c>
      <c r="CO59" s="143">
        <v>0</v>
      </c>
      <c r="CP59" s="143">
        <v>0</v>
      </c>
      <c r="CQ59" s="143">
        <v>0</v>
      </c>
      <c r="CR59" s="143">
        <v>0</v>
      </c>
      <c r="CS59" s="143">
        <v>0</v>
      </c>
      <c r="CT59" s="143">
        <v>0</v>
      </c>
      <c r="CU59" s="143">
        <v>0</v>
      </c>
      <c r="CV59" s="143">
        <v>0</v>
      </c>
      <c r="CW59" s="14">
        <v>0</v>
      </c>
      <c r="CX59" s="14">
        <v>0</v>
      </c>
      <c r="CY59" s="14">
        <v>0</v>
      </c>
      <c r="CZ59" s="995">
        <v>0</v>
      </c>
      <c r="DA59" s="995">
        <v>0</v>
      </c>
      <c r="DB59" s="995">
        <v>0</v>
      </c>
      <c r="DC59">
        <v>0</v>
      </c>
      <c r="DD59">
        <v>0</v>
      </c>
      <c r="DE59">
        <v>0</v>
      </c>
      <c r="DF59">
        <v>0</v>
      </c>
      <c r="DG59">
        <v>0</v>
      </c>
      <c r="DH59">
        <v>0</v>
      </c>
      <c r="DI59">
        <v>0</v>
      </c>
      <c r="DJ59">
        <v>0</v>
      </c>
      <c r="DK59">
        <v>0</v>
      </c>
      <c r="DL59">
        <v>0</v>
      </c>
      <c r="DM59">
        <v>0</v>
      </c>
      <c r="DN59">
        <v>0</v>
      </c>
      <c r="DO59">
        <v>0</v>
      </c>
      <c r="DP59">
        <v>0</v>
      </c>
      <c r="DQ59">
        <v>2</v>
      </c>
    </row>
    <row r="60" spans="1:121" x14ac:dyDescent="0.2">
      <c r="A60" s="14">
        <v>2.25</v>
      </c>
      <c r="B60" s="684">
        <f t="shared" si="1"/>
        <v>5.4535154942691108E-2</v>
      </c>
      <c r="C60" s="684">
        <f t="shared" si="8"/>
        <v>5.4535154942691101E-2</v>
      </c>
      <c r="D60" s="684">
        <f t="shared" si="9"/>
        <v>1.3633788735672775E-2</v>
      </c>
      <c r="E60" s="684">
        <f t="shared" si="2"/>
        <v>1.5784631467532888</v>
      </c>
      <c r="F60" s="684">
        <f t="shared" si="3"/>
        <v>0</v>
      </c>
      <c r="G60" s="684">
        <f t="shared" si="10"/>
        <v>0</v>
      </c>
      <c r="H60" s="684">
        <f t="shared" si="11"/>
        <v>0</v>
      </c>
      <c r="I60" s="1052">
        <f>HLOOKUP('Input &amp; Summary'!$B$6,TurbineProfiles,ROW(I60)-49,0)</f>
        <v>0</v>
      </c>
      <c r="J60" s="684">
        <f t="shared" si="4"/>
        <v>0</v>
      </c>
      <c r="K60" s="9">
        <f t="shared" si="5"/>
        <v>0</v>
      </c>
      <c r="L60" s="14">
        <f t="shared" si="6"/>
        <v>22.956175417201887</v>
      </c>
      <c r="M60" s="684">
        <f t="shared" si="7"/>
        <v>0</v>
      </c>
      <c r="N60" s="684">
        <f t="shared" si="12"/>
        <v>2117.4921141893815</v>
      </c>
      <c r="O60" s="684">
        <f t="shared" si="13"/>
        <v>6.3406102263299333E-2</v>
      </c>
      <c r="P60" s="684">
        <f t="shared" si="14"/>
        <v>0</v>
      </c>
      <c r="Q60" s="684">
        <f t="shared" si="18"/>
        <v>1.2965275556654818E-2</v>
      </c>
      <c r="R60" s="684">
        <f t="shared" si="19"/>
        <v>1.3631152920342567E-2</v>
      </c>
      <c r="S60" s="684">
        <f t="shared" si="15"/>
        <v>0</v>
      </c>
      <c r="T60" s="684">
        <f t="shared" si="16"/>
        <v>0</v>
      </c>
      <c r="U60" s="14">
        <f t="shared" si="17"/>
        <v>0</v>
      </c>
      <c r="V60">
        <v>0</v>
      </c>
      <c r="W60">
        <v>0</v>
      </c>
      <c r="X60">
        <v>0</v>
      </c>
      <c r="Y60">
        <v>0</v>
      </c>
      <c r="Z60">
        <v>0</v>
      </c>
      <c r="AA60">
        <v>0</v>
      </c>
      <c r="AB60">
        <v>0</v>
      </c>
      <c r="AC60">
        <v>0</v>
      </c>
      <c r="AD60">
        <v>0</v>
      </c>
      <c r="AE60" s="143">
        <v>0</v>
      </c>
      <c r="AF60" s="143">
        <v>0</v>
      </c>
      <c r="AG60" s="143">
        <v>2.5750000000000002</v>
      </c>
      <c r="AH60" s="143">
        <v>2.75</v>
      </c>
      <c r="AI60" s="995">
        <v>3</v>
      </c>
      <c r="AJ60" s="143">
        <v>0</v>
      </c>
      <c r="AK60" s="143">
        <v>0</v>
      </c>
      <c r="AL60" s="143">
        <v>0</v>
      </c>
      <c r="AM60" s="143">
        <v>0</v>
      </c>
      <c r="AN60" s="143">
        <v>0</v>
      </c>
      <c r="AO60" s="143">
        <v>0</v>
      </c>
      <c r="AP60" s="143">
        <v>0</v>
      </c>
      <c r="AQ60" s="143">
        <v>5</v>
      </c>
      <c r="AR60" s="143">
        <v>0</v>
      </c>
      <c r="AS60" s="143">
        <v>0</v>
      </c>
      <c r="AT60" s="143">
        <v>0</v>
      </c>
      <c r="AU60" s="143">
        <v>0</v>
      </c>
      <c r="AV60" s="143">
        <v>0</v>
      </c>
      <c r="AW60" s="143">
        <v>0</v>
      </c>
      <c r="AX60" s="143">
        <v>0</v>
      </c>
      <c r="AY60" s="143">
        <v>0</v>
      </c>
      <c r="AZ60" s="143">
        <v>0</v>
      </c>
      <c r="BA60" s="143">
        <v>0</v>
      </c>
      <c r="BB60" s="143">
        <v>0</v>
      </c>
      <c r="BC60" s="143">
        <v>0</v>
      </c>
      <c r="BD60" s="143">
        <v>0</v>
      </c>
      <c r="BE60" s="143">
        <v>0</v>
      </c>
      <c r="BF60" s="143">
        <v>0</v>
      </c>
      <c r="BG60" s="143">
        <v>0</v>
      </c>
      <c r="BH60" s="143">
        <v>0</v>
      </c>
      <c r="BI60" s="143">
        <v>0</v>
      </c>
      <c r="BJ60" s="995">
        <v>0</v>
      </c>
      <c r="BK60" s="143">
        <v>0</v>
      </c>
      <c r="BL60" s="143">
        <v>0</v>
      </c>
      <c r="BM60" s="143">
        <v>0</v>
      </c>
      <c r="BN60" s="143">
        <v>0</v>
      </c>
      <c r="BO60" s="143">
        <v>0</v>
      </c>
      <c r="BP60" s="143">
        <v>0</v>
      </c>
      <c r="BQ60" s="143">
        <v>0</v>
      </c>
      <c r="BR60" s="143">
        <v>0</v>
      </c>
      <c r="BS60" s="143">
        <v>0</v>
      </c>
      <c r="BT60" s="143">
        <v>0</v>
      </c>
      <c r="BU60" s="143">
        <v>0</v>
      </c>
      <c r="BV60" s="143">
        <v>0</v>
      </c>
      <c r="BW60" s="143">
        <v>0</v>
      </c>
      <c r="BX60" s="143">
        <v>0</v>
      </c>
      <c r="BY60" s="143">
        <v>0</v>
      </c>
      <c r="BZ60" s="995">
        <v>0</v>
      </c>
      <c r="CA60" s="143">
        <v>0</v>
      </c>
      <c r="CB60">
        <v>0</v>
      </c>
      <c r="CC60" s="143">
        <v>0</v>
      </c>
      <c r="CD60" s="143">
        <v>0</v>
      </c>
      <c r="CE60" s="143">
        <v>0</v>
      </c>
      <c r="CF60" s="143">
        <v>0</v>
      </c>
      <c r="CG60" s="143">
        <v>0</v>
      </c>
      <c r="CH60" s="143">
        <v>0</v>
      </c>
      <c r="CI60" s="143">
        <v>0</v>
      </c>
      <c r="CJ60" s="143">
        <v>0</v>
      </c>
      <c r="CK60" s="143">
        <v>0</v>
      </c>
      <c r="CL60" s="143">
        <v>0</v>
      </c>
      <c r="CM60" s="143">
        <v>0</v>
      </c>
      <c r="CN60" s="143">
        <v>0</v>
      </c>
      <c r="CO60" s="143">
        <v>0</v>
      </c>
      <c r="CP60" s="143">
        <v>0</v>
      </c>
      <c r="CQ60" s="143">
        <v>0</v>
      </c>
      <c r="CR60" s="143">
        <v>0</v>
      </c>
      <c r="CS60" s="143">
        <v>0</v>
      </c>
      <c r="CT60" s="143">
        <v>0</v>
      </c>
      <c r="CU60" s="143">
        <v>0</v>
      </c>
      <c r="CV60" s="143">
        <v>0</v>
      </c>
      <c r="CW60" s="14">
        <v>0</v>
      </c>
      <c r="CX60" s="14">
        <v>0</v>
      </c>
      <c r="CY60" s="14">
        <v>0</v>
      </c>
      <c r="CZ60" s="995">
        <v>0</v>
      </c>
      <c r="DA60" s="995">
        <v>0</v>
      </c>
      <c r="DB60" s="995">
        <v>0</v>
      </c>
      <c r="DC60">
        <v>0</v>
      </c>
      <c r="DD60">
        <v>0</v>
      </c>
      <c r="DE60">
        <v>0</v>
      </c>
      <c r="DF60">
        <v>0</v>
      </c>
      <c r="DG60">
        <v>0</v>
      </c>
      <c r="DH60">
        <v>0</v>
      </c>
      <c r="DI60">
        <v>0</v>
      </c>
      <c r="DJ60">
        <v>0</v>
      </c>
      <c r="DK60">
        <v>0</v>
      </c>
      <c r="DL60">
        <v>0</v>
      </c>
      <c r="DM60">
        <v>0</v>
      </c>
      <c r="DN60">
        <v>0</v>
      </c>
      <c r="DO60">
        <v>0</v>
      </c>
      <c r="DP60">
        <v>0</v>
      </c>
      <c r="DQ60">
        <v>2.25</v>
      </c>
    </row>
    <row r="61" spans="1:121" x14ac:dyDescent="0.2">
      <c r="A61" s="14">
        <v>2.5</v>
      </c>
      <c r="B61" s="684">
        <f t="shared" si="1"/>
        <v>5.9670667446824352E-2</v>
      </c>
      <c r="C61" s="684">
        <f t="shared" si="8"/>
        <v>5.9670667446824338E-2</v>
      </c>
      <c r="D61" s="684">
        <f t="shared" si="9"/>
        <v>1.4917666861706085E-2</v>
      </c>
      <c r="E61" s="684">
        <f t="shared" si="2"/>
        <v>2.3691429310673207</v>
      </c>
      <c r="F61" s="684">
        <f t="shared" si="3"/>
        <v>0</v>
      </c>
      <c r="G61" s="684">
        <f t="shared" si="10"/>
        <v>0</v>
      </c>
      <c r="H61" s="684">
        <f t="shared" si="11"/>
        <v>0</v>
      </c>
      <c r="I61" s="1052">
        <f>HLOOKUP('Input &amp; Summary'!$B$6,TurbineProfiles,ROW(I61)-49,0)</f>
        <v>0</v>
      </c>
      <c r="J61" s="684">
        <f t="shared" si="4"/>
        <v>0</v>
      </c>
      <c r="K61" s="9">
        <f t="shared" si="5"/>
        <v>0</v>
      </c>
      <c r="L61" s="14">
        <f t="shared" si="6"/>
        <v>31.48995256131947</v>
      </c>
      <c r="M61" s="684">
        <f t="shared" si="7"/>
        <v>0</v>
      </c>
      <c r="N61" s="684">
        <f t="shared" si="12"/>
        <v>2117.4921141893815</v>
      </c>
      <c r="O61" s="684">
        <f t="shared" si="13"/>
        <v>7.7687323764437363E-2</v>
      </c>
      <c r="P61" s="684">
        <f t="shared" si="14"/>
        <v>0</v>
      </c>
      <c r="Q61" s="684">
        <f t="shared" si="18"/>
        <v>1.4281221501138031E-2</v>
      </c>
      <c r="R61" s="684">
        <f t="shared" si="19"/>
        <v>1.4914813723666986E-2</v>
      </c>
      <c r="S61" s="684">
        <f t="shared" si="15"/>
        <v>0</v>
      </c>
      <c r="T61" s="684">
        <f t="shared" si="16"/>
        <v>0</v>
      </c>
      <c r="U61" s="14">
        <f t="shared" si="17"/>
        <v>0</v>
      </c>
      <c r="V61">
        <v>0</v>
      </c>
      <c r="W61">
        <v>0</v>
      </c>
      <c r="X61">
        <v>0</v>
      </c>
      <c r="Y61">
        <v>0</v>
      </c>
      <c r="Z61">
        <v>0</v>
      </c>
      <c r="AA61">
        <v>0</v>
      </c>
      <c r="AB61">
        <v>0</v>
      </c>
      <c r="AC61">
        <v>0</v>
      </c>
      <c r="AD61">
        <v>0</v>
      </c>
      <c r="AE61" s="143">
        <v>0</v>
      </c>
      <c r="AF61" s="143">
        <v>0</v>
      </c>
      <c r="AG61" s="143">
        <v>4.6500000000000004</v>
      </c>
      <c r="AH61" s="143">
        <v>4.0625</v>
      </c>
      <c r="AI61" s="995">
        <v>4.5</v>
      </c>
      <c r="AJ61" s="143">
        <v>0</v>
      </c>
      <c r="AK61" s="143">
        <v>0</v>
      </c>
      <c r="AL61" s="143">
        <v>0</v>
      </c>
      <c r="AM61" s="143">
        <v>0</v>
      </c>
      <c r="AN61" s="143">
        <v>0</v>
      </c>
      <c r="AO61" s="143">
        <v>0</v>
      </c>
      <c r="AP61" s="143">
        <v>0</v>
      </c>
      <c r="AQ61" s="143">
        <v>10</v>
      </c>
      <c r="AR61" s="143">
        <v>0</v>
      </c>
      <c r="AS61" s="143">
        <v>0</v>
      </c>
      <c r="AT61" s="143">
        <v>0</v>
      </c>
      <c r="AU61" s="143">
        <v>0</v>
      </c>
      <c r="AV61" s="143">
        <v>0</v>
      </c>
      <c r="AW61" s="143">
        <v>0</v>
      </c>
      <c r="AX61" s="143">
        <v>0</v>
      </c>
      <c r="AY61" s="143">
        <v>0</v>
      </c>
      <c r="AZ61" s="143">
        <v>0</v>
      </c>
      <c r="BA61" s="143">
        <v>0</v>
      </c>
      <c r="BB61" s="143">
        <v>0</v>
      </c>
      <c r="BC61" s="143">
        <v>0</v>
      </c>
      <c r="BD61" s="143">
        <v>0</v>
      </c>
      <c r="BE61" s="143">
        <v>0</v>
      </c>
      <c r="BF61" s="143">
        <v>0</v>
      </c>
      <c r="BG61" s="143">
        <v>0</v>
      </c>
      <c r="BH61" s="143">
        <v>0</v>
      </c>
      <c r="BI61" s="143">
        <v>0</v>
      </c>
      <c r="BJ61" s="995">
        <v>0</v>
      </c>
      <c r="BK61" s="143">
        <v>0</v>
      </c>
      <c r="BL61" s="143">
        <v>0</v>
      </c>
      <c r="BM61" s="143">
        <v>0</v>
      </c>
      <c r="BN61" s="143">
        <v>0</v>
      </c>
      <c r="BO61" s="143">
        <v>0</v>
      </c>
      <c r="BP61" s="143">
        <v>0</v>
      </c>
      <c r="BQ61" s="143">
        <v>0</v>
      </c>
      <c r="BR61" s="143">
        <v>0</v>
      </c>
      <c r="BS61" s="143">
        <v>0</v>
      </c>
      <c r="BT61" s="143">
        <v>0</v>
      </c>
      <c r="BU61" s="143">
        <v>0</v>
      </c>
      <c r="BV61" s="143">
        <v>0</v>
      </c>
      <c r="BW61" s="143">
        <v>0</v>
      </c>
      <c r="BX61" s="143">
        <v>0</v>
      </c>
      <c r="BY61" s="143">
        <v>0</v>
      </c>
      <c r="BZ61" s="995">
        <v>0</v>
      </c>
      <c r="CA61" s="143">
        <v>0</v>
      </c>
      <c r="CB61">
        <v>0</v>
      </c>
      <c r="CC61" s="143">
        <v>0</v>
      </c>
      <c r="CD61" s="143">
        <v>0</v>
      </c>
      <c r="CE61" s="143">
        <v>0</v>
      </c>
      <c r="CF61" s="143">
        <v>0</v>
      </c>
      <c r="CG61" s="143">
        <v>0</v>
      </c>
      <c r="CH61" s="143">
        <v>0</v>
      </c>
      <c r="CI61" s="143">
        <v>0</v>
      </c>
      <c r="CJ61" s="143">
        <v>0</v>
      </c>
      <c r="CK61" s="143">
        <v>0</v>
      </c>
      <c r="CL61" s="143">
        <v>0</v>
      </c>
      <c r="CM61" s="143">
        <v>0</v>
      </c>
      <c r="CN61" s="143">
        <v>0</v>
      </c>
      <c r="CO61" s="143">
        <v>0</v>
      </c>
      <c r="CP61" s="143">
        <v>0</v>
      </c>
      <c r="CQ61" s="143">
        <v>0</v>
      </c>
      <c r="CR61" s="143">
        <v>0</v>
      </c>
      <c r="CS61" s="143">
        <v>0</v>
      </c>
      <c r="CT61" s="143">
        <v>0</v>
      </c>
      <c r="CU61" s="143">
        <v>0</v>
      </c>
      <c r="CV61" s="143">
        <v>0</v>
      </c>
      <c r="CW61" s="14">
        <v>0</v>
      </c>
      <c r="CX61" s="14">
        <v>0</v>
      </c>
      <c r="CY61" s="14">
        <v>0</v>
      </c>
      <c r="CZ61" s="995">
        <v>0</v>
      </c>
      <c r="DA61" s="995">
        <v>0</v>
      </c>
      <c r="DB61" s="995">
        <v>0</v>
      </c>
      <c r="DC61">
        <v>4.5949999999999998</v>
      </c>
      <c r="DD61">
        <v>0</v>
      </c>
      <c r="DE61">
        <v>0</v>
      </c>
      <c r="DF61">
        <v>0</v>
      </c>
      <c r="DG61">
        <v>0</v>
      </c>
      <c r="DH61">
        <v>0</v>
      </c>
      <c r="DI61">
        <v>0</v>
      </c>
      <c r="DJ61">
        <v>0</v>
      </c>
      <c r="DK61">
        <v>0</v>
      </c>
      <c r="DL61">
        <v>0</v>
      </c>
      <c r="DM61">
        <v>0</v>
      </c>
      <c r="DN61">
        <v>0</v>
      </c>
      <c r="DO61">
        <v>0</v>
      </c>
      <c r="DP61">
        <v>0</v>
      </c>
      <c r="DQ61">
        <v>2.5</v>
      </c>
    </row>
    <row r="62" spans="1:121" x14ac:dyDescent="0.2">
      <c r="A62" s="14">
        <v>2.75</v>
      </c>
      <c r="B62" s="684">
        <f t="shared" si="1"/>
        <v>6.4532426901508635E-2</v>
      </c>
      <c r="C62" s="684">
        <f t="shared" si="8"/>
        <v>6.4532426901508622E-2</v>
      </c>
      <c r="D62" s="684">
        <f t="shared" si="9"/>
        <v>1.6133106725377155E-2</v>
      </c>
      <c r="E62" s="684">
        <f t="shared" si="2"/>
        <v>3.4102515936952877</v>
      </c>
      <c r="F62" s="684">
        <f t="shared" si="3"/>
        <v>0</v>
      </c>
      <c r="G62" s="684">
        <f t="shared" si="10"/>
        <v>0</v>
      </c>
      <c r="H62" s="684">
        <f t="shared" si="11"/>
        <v>0</v>
      </c>
      <c r="I62" s="1052">
        <f>HLOOKUP('Input &amp; Summary'!$B$6,TurbineProfiles,ROW(I62)-49,0)</f>
        <v>0</v>
      </c>
      <c r="J62" s="684">
        <f t="shared" si="4"/>
        <v>0</v>
      </c>
      <c r="K62" s="9">
        <f t="shared" si="5"/>
        <v>0</v>
      </c>
      <c r="L62" s="14">
        <f t="shared" si="6"/>
        <v>41.913126859116225</v>
      </c>
      <c r="M62" s="684">
        <f t="shared" si="7"/>
        <v>0</v>
      </c>
      <c r="N62" s="684">
        <f t="shared" si="12"/>
        <v>2117.4921141893815</v>
      </c>
      <c r="O62" s="684">
        <f t="shared" si="13"/>
        <v>9.3218617421322494E-2</v>
      </c>
      <c r="P62" s="684">
        <f t="shared" si="14"/>
        <v>0</v>
      </c>
      <c r="Q62" s="684">
        <f t="shared" si="18"/>
        <v>1.5531293656885131E-2</v>
      </c>
      <c r="R62" s="684">
        <f t="shared" si="19"/>
        <v>1.6130058045664253E-2</v>
      </c>
      <c r="S62" s="684">
        <f t="shared" si="15"/>
        <v>0</v>
      </c>
      <c r="T62" s="684">
        <f t="shared" si="16"/>
        <v>0</v>
      </c>
      <c r="U62" s="14">
        <f t="shared" si="17"/>
        <v>0</v>
      </c>
      <c r="V62">
        <v>0</v>
      </c>
      <c r="W62">
        <v>0</v>
      </c>
      <c r="X62">
        <v>0</v>
      </c>
      <c r="Y62">
        <v>0</v>
      </c>
      <c r="Z62">
        <v>0</v>
      </c>
      <c r="AA62">
        <v>0</v>
      </c>
      <c r="AB62">
        <v>0</v>
      </c>
      <c r="AC62">
        <v>0</v>
      </c>
      <c r="AD62">
        <v>0</v>
      </c>
      <c r="AE62" s="143">
        <v>0</v>
      </c>
      <c r="AF62" s="143">
        <v>0</v>
      </c>
      <c r="AG62" s="143">
        <v>6.7250000000000005</v>
      </c>
      <c r="AH62" s="143">
        <v>5.375</v>
      </c>
      <c r="AI62" s="995">
        <v>6</v>
      </c>
      <c r="AJ62" s="143">
        <v>0</v>
      </c>
      <c r="AK62" s="143">
        <v>0</v>
      </c>
      <c r="AL62" s="143">
        <v>0</v>
      </c>
      <c r="AM62" s="143">
        <v>0</v>
      </c>
      <c r="AN62" s="143">
        <v>0</v>
      </c>
      <c r="AO62" s="143">
        <v>0</v>
      </c>
      <c r="AP62" s="143">
        <v>0</v>
      </c>
      <c r="AQ62" s="143">
        <v>15</v>
      </c>
      <c r="AR62" s="143">
        <v>0</v>
      </c>
      <c r="AS62" s="143">
        <v>0</v>
      </c>
      <c r="AT62" s="143">
        <v>0</v>
      </c>
      <c r="AU62" s="143">
        <v>0</v>
      </c>
      <c r="AV62" s="143">
        <v>0</v>
      </c>
      <c r="AW62" s="143">
        <v>0</v>
      </c>
      <c r="AX62" s="143">
        <v>0</v>
      </c>
      <c r="AY62" s="143">
        <v>0</v>
      </c>
      <c r="AZ62" s="143">
        <v>0</v>
      </c>
      <c r="BA62" s="143">
        <v>0</v>
      </c>
      <c r="BB62" s="143">
        <v>0</v>
      </c>
      <c r="BC62" s="143">
        <v>0</v>
      </c>
      <c r="BD62" s="143">
        <v>0</v>
      </c>
      <c r="BE62" s="143">
        <v>0</v>
      </c>
      <c r="BF62" s="143">
        <v>0</v>
      </c>
      <c r="BG62" s="143">
        <v>0</v>
      </c>
      <c r="BH62" s="143">
        <v>0</v>
      </c>
      <c r="BI62" s="143">
        <v>0</v>
      </c>
      <c r="BJ62" s="995">
        <v>0</v>
      </c>
      <c r="BK62" s="143">
        <v>0</v>
      </c>
      <c r="BL62" s="143">
        <v>0</v>
      </c>
      <c r="BM62" s="143">
        <v>0</v>
      </c>
      <c r="BN62" s="143">
        <v>0</v>
      </c>
      <c r="BO62" s="143">
        <v>0</v>
      </c>
      <c r="BP62" s="143">
        <v>0</v>
      </c>
      <c r="BQ62" s="143">
        <v>0</v>
      </c>
      <c r="BR62" s="143">
        <v>0</v>
      </c>
      <c r="BS62" s="143">
        <v>0</v>
      </c>
      <c r="BT62" s="143">
        <v>0</v>
      </c>
      <c r="BU62" s="143">
        <v>0</v>
      </c>
      <c r="BV62" s="143">
        <v>0</v>
      </c>
      <c r="BW62" s="143">
        <v>0</v>
      </c>
      <c r="BX62" s="143">
        <v>0</v>
      </c>
      <c r="BY62" s="143">
        <v>0</v>
      </c>
      <c r="BZ62" s="995">
        <v>0</v>
      </c>
      <c r="CA62" s="143">
        <v>0</v>
      </c>
      <c r="CB62">
        <v>0</v>
      </c>
      <c r="CC62" s="143">
        <v>0</v>
      </c>
      <c r="CD62" s="143">
        <v>0</v>
      </c>
      <c r="CE62" s="143">
        <v>0</v>
      </c>
      <c r="CF62" s="143">
        <v>0</v>
      </c>
      <c r="CG62" s="143">
        <v>0</v>
      </c>
      <c r="CH62" s="143">
        <v>0</v>
      </c>
      <c r="CI62" s="143">
        <v>0</v>
      </c>
      <c r="CJ62" s="143">
        <v>0</v>
      </c>
      <c r="CK62" s="143">
        <v>0</v>
      </c>
      <c r="CL62" s="143">
        <v>0</v>
      </c>
      <c r="CM62" s="143">
        <v>0</v>
      </c>
      <c r="CN62" s="143">
        <v>0</v>
      </c>
      <c r="CO62" s="143">
        <v>0</v>
      </c>
      <c r="CP62" s="143">
        <v>0</v>
      </c>
      <c r="CQ62" s="143">
        <v>0</v>
      </c>
      <c r="CR62" s="143">
        <v>0</v>
      </c>
      <c r="CS62" s="143">
        <v>0</v>
      </c>
      <c r="CT62" s="143">
        <v>0</v>
      </c>
      <c r="CU62" s="143">
        <v>0</v>
      </c>
      <c r="CV62" s="143">
        <v>0</v>
      </c>
      <c r="CW62" s="14">
        <v>0</v>
      </c>
      <c r="CX62" s="14">
        <v>0</v>
      </c>
      <c r="CY62" s="14">
        <v>0</v>
      </c>
      <c r="CZ62" s="995">
        <v>0</v>
      </c>
      <c r="DA62" s="995">
        <v>0</v>
      </c>
      <c r="DB62" s="995">
        <v>0</v>
      </c>
      <c r="DC62">
        <v>9.19</v>
      </c>
      <c r="DD62">
        <v>0</v>
      </c>
      <c r="DE62">
        <v>0</v>
      </c>
      <c r="DF62">
        <v>0</v>
      </c>
      <c r="DG62">
        <v>0</v>
      </c>
      <c r="DH62">
        <v>0</v>
      </c>
      <c r="DI62">
        <v>0</v>
      </c>
      <c r="DJ62">
        <v>0</v>
      </c>
      <c r="DK62">
        <v>0</v>
      </c>
      <c r="DL62">
        <v>0</v>
      </c>
      <c r="DM62">
        <v>0</v>
      </c>
      <c r="DN62">
        <v>0</v>
      </c>
      <c r="DO62">
        <v>0</v>
      </c>
      <c r="DP62">
        <v>0</v>
      </c>
      <c r="DQ62">
        <v>2.75</v>
      </c>
    </row>
    <row r="63" spans="1:121" x14ac:dyDescent="0.2">
      <c r="A63" s="14">
        <v>3</v>
      </c>
      <c r="B63" s="684">
        <f t="shared" si="1"/>
        <v>6.9101669467045823E-2</v>
      </c>
      <c r="C63" s="684">
        <f t="shared" si="8"/>
        <v>6.9101669467045837E-2</v>
      </c>
      <c r="D63" s="684">
        <f t="shared" si="9"/>
        <v>1.7275417366761459E-2</v>
      </c>
      <c r="E63" s="684">
        <f t="shared" si="2"/>
        <v>4.740920196739272</v>
      </c>
      <c r="F63" s="684">
        <f t="shared" si="3"/>
        <v>0</v>
      </c>
      <c r="G63" s="684">
        <f t="shared" si="10"/>
        <v>0</v>
      </c>
      <c r="H63" s="684">
        <f t="shared" si="11"/>
        <v>0</v>
      </c>
      <c r="I63" s="1052">
        <f>HLOOKUP('Input &amp; Summary'!$B$6,TurbineProfiles,ROW(I63)-49,0)</f>
        <v>0</v>
      </c>
      <c r="J63" s="684">
        <f t="shared" si="4"/>
        <v>0</v>
      </c>
      <c r="K63" s="9">
        <f t="shared" si="5"/>
        <v>0</v>
      </c>
      <c r="L63" s="14">
        <f t="shared" si="6"/>
        <v>54.414638025960031</v>
      </c>
      <c r="M63" s="684">
        <f t="shared" si="7"/>
        <v>0</v>
      </c>
      <c r="N63" s="684">
        <f t="shared" si="12"/>
        <v>2117.4921141893815</v>
      </c>
      <c r="O63" s="684">
        <f t="shared" si="13"/>
        <v>0.10992915467647996</v>
      </c>
      <c r="P63" s="684">
        <f t="shared" si="14"/>
        <v>0</v>
      </c>
      <c r="Q63" s="684">
        <f t="shared" si="18"/>
        <v>1.6710537255157462E-2</v>
      </c>
      <c r="R63" s="684">
        <f t="shared" si="19"/>
        <v>1.7272196126004252E-2</v>
      </c>
      <c r="S63" s="684">
        <f t="shared" si="15"/>
        <v>0</v>
      </c>
      <c r="T63" s="684">
        <f t="shared" si="16"/>
        <v>0</v>
      </c>
      <c r="U63" s="14">
        <f t="shared" si="17"/>
        <v>0</v>
      </c>
      <c r="V63">
        <v>0</v>
      </c>
      <c r="W63">
        <v>0</v>
      </c>
      <c r="X63">
        <v>0</v>
      </c>
      <c r="Y63">
        <v>0</v>
      </c>
      <c r="Z63">
        <v>0</v>
      </c>
      <c r="AA63">
        <v>0</v>
      </c>
      <c r="AB63">
        <v>9.0000000000000018</v>
      </c>
      <c r="AC63">
        <v>21</v>
      </c>
      <c r="AD63">
        <v>30</v>
      </c>
      <c r="AE63" s="143">
        <v>0</v>
      </c>
      <c r="AF63" s="143">
        <v>0</v>
      </c>
      <c r="AG63" s="143">
        <v>8.8000000000000007</v>
      </c>
      <c r="AH63" s="143">
        <v>8</v>
      </c>
      <c r="AI63" s="996">
        <v>9</v>
      </c>
      <c r="AJ63" s="143">
        <v>0</v>
      </c>
      <c r="AK63" s="143">
        <v>0</v>
      </c>
      <c r="AL63" s="143">
        <v>0</v>
      </c>
      <c r="AM63" s="143">
        <v>0</v>
      </c>
      <c r="AN63" s="143">
        <v>0</v>
      </c>
      <c r="AO63" s="143">
        <v>0</v>
      </c>
      <c r="AP63" s="143">
        <v>3.6266666666666669</v>
      </c>
      <c r="AQ63" s="143">
        <v>20</v>
      </c>
      <c r="AR63" s="143">
        <v>33</v>
      </c>
      <c r="AS63" s="143">
        <v>0</v>
      </c>
      <c r="AT63" s="143">
        <v>0</v>
      </c>
      <c r="AU63" s="143">
        <v>0</v>
      </c>
      <c r="AV63" s="143">
        <v>10</v>
      </c>
      <c r="AW63" s="143">
        <v>10</v>
      </c>
      <c r="AX63" s="143">
        <v>0</v>
      </c>
      <c r="AY63" s="143">
        <v>0</v>
      </c>
      <c r="AZ63" s="143">
        <v>0</v>
      </c>
      <c r="BA63" s="143">
        <v>0</v>
      </c>
      <c r="BB63" s="143">
        <v>0</v>
      </c>
      <c r="BC63" s="143">
        <v>0</v>
      </c>
      <c r="BD63" s="143">
        <v>0</v>
      </c>
      <c r="BE63" s="143">
        <v>21.3</v>
      </c>
      <c r="BF63" s="143">
        <v>0</v>
      </c>
      <c r="BG63" s="143">
        <v>0</v>
      </c>
      <c r="BH63" s="143">
        <v>0</v>
      </c>
      <c r="BI63" s="143">
        <v>0</v>
      </c>
      <c r="BJ63" s="995">
        <v>0</v>
      </c>
      <c r="BK63" s="143">
        <v>0.78</v>
      </c>
      <c r="BL63" s="143">
        <v>0.78</v>
      </c>
      <c r="BM63" s="143">
        <v>0.78</v>
      </c>
      <c r="BN63" s="143">
        <v>0</v>
      </c>
      <c r="BO63" s="143">
        <v>0</v>
      </c>
      <c r="BP63" s="143">
        <v>0</v>
      </c>
      <c r="BQ63" s="143">
        <v>0</v>
      </c>
      <c r="BR63" s="143">
        <v>0</v>
      </c>
      <c r="BS63" s="143">
        <v>0</v>
      </c>
      <c r="BT63" s="143">
        <v>1.56</v>
      </c>
      <c r="BU63" s="143">
        <v>0</v>
      </c>
      <c r="BV63" s="143">
        <v>0</v>
      </c>
      <c r="BW63" s="143">
        <v>0</v>
      </c>
      <c r="BX63" s="143">
        <v>0</v>
      </c>
      <c r="BY63" s="143">
        <v>0</v>
      </c>
      <c r="BZ63" s="995">
        <v>0</v>
      </c>
      <c r="CA63" s="143">
        <v>0</v>
      </c>
      <c r="CB63">
        <v>0</v>
      </c>
      <c r="CC63" s="143">
        <v>0</v>
      </c>
      <c r="CD63" s="143">
        <v>4.4933333333333332</v>
      </c>
      <c r="CE63" s="143">
        <v>0</v>
      </c>
      <c r="CF63" s="143">
        <v>0</v>
      </c>
      <c r="CG63" s="143">
        <v>0</v>
      </c>
      <c r="CH63" s="143">
        <v>0</v>
      </c>
      <c r="CI63" s="143">
        <v>0</v>
      </c>
      <c r="CJ63" s="143">
        <v>0</v>
      </c>
      <c r="CK63" s="143">
        <v>0</v>
      </c>
      <c r="CL63" s="143">
        <v>80</v>
      </c>
      <c r="CM63" s="143">
        <v>0</v>
      </c>
      <c r="CN63" s="143">
        <v>16</v>
      </c>
      <c r="CO63" s="143">
        <v>0</v>
      </c>
      <c r="CP63" s="143">
        <v>0</v>
      </c>
      <c r="CQ63" s="143">
        <v>0</v>
      </c>
      <c r="CR63" s="143">
        <v>0</v>
      </c>
      <c r="CS63" s="143">
        <v>12.8</v>
      </c>
      <c r="CT63" s="143">
        <v>0</v>
      </c>
      <c r="CU63" s="143">
        <v>0</v>
      </c>
      <c r="CV63" s="143">
        <v>0</v>
      </c>
      <c r="CW63" s="14">
        <v>0</v>
      </c>
      <c r="CX63" s="14">
        <v>0</v>
      </c>
      <c r="CY63" s="14">
        <v>0</v>
      </c>
      <c r="CZ63" s="670">
        <v>0</v>
      </c>
      <c r="DA63" s="670">
        <v>0</v>
      </c>
      <c r="DB63" s="670">
        <v>0</v>
      </c>
      <c r="DC63">
        <v>13.785</v>
      </c>
      <c r="DD63">
        <v>0</v>
      </c>
      <c r="DE63">
        <v>0</v>
      </c>
      <c r="DF63">
        <v>0</v>
      </c>
      <c r="DG63">
        <v>0</v>
      </c>
      <c r="DH63">
        <v>15</v>
      </c>
      <c r="DI63">
        <v>20</v>
      </c>
      <c r="DJ63">
        <v>0</v>
      </c>
      <c r="DK63">
        <v>72.12</v>
      </c>
      <c r="DL63">
        <v>72.12</v>
      </c>
      <c r="DM63">
        <v>0</v>
      </c>
      <c r="DN63">
        <v>0</v>
      </c>
      <c r="DO63">
        <v>25</v>
      </c>
      <c r="DP63">
        <v>0</v>
      </c>
      <c r="DQ63">
        <v>3</v>
      </c>
    </row>
    <row r="64" spans="1:121" x14ac:dyDescent="0.2">
      <c r="A64" s="14">
        <v>3.25</v>
      </c>
      <c r="B64" s="684">
        <f t="shared" si="1"/>
        <v>7.3361835798087555E-2</v>
      </c>
      <c r="C64" s="684">
        <f t="shared" si="8"/>
        <v>7.3361835798087541E-2</v>
      </c>
      <c r="D64" s="684">
        <f t="shared" si="9"/>
        <v>1.8340458949521885E-2</v>
      </c>
      <c r="E64" s="684">
        <f t="shared" si="2"/>
        <v>6.39927265162176</v>
      </c>
      <c r="F64" s="684">
        <f t="shared" si="3"/>
        <v>0</v>
      </c>
      <c r="G64" s="684">
        <f t="shared" si="10"/>
        <v>0</v>
      </c>
      <c r="H64" s="684">
        <f t="shared" si="11"/>
        <v>0</v>
      </c>
      <c r="I64" s="1052">
        <f>HLOOKUP('Input &amp; Summary'!$B$6,TurbineProfiles,ROW(I64)-49,0)</f>
        <v>0</v>
      </c>
      <c r="J64" s="684">
        <f t="shared" si="4"/>
        <v>0</v>
      </c>
      <c r="K64" s="9">
        <f t="shared" si="5"/>
        <v>0</v>
      </c>
      <c r="L64" s="14">
        <f t="shared" si="6"/>
        <v>69.183425777218901</v>
      </c>
      <c r="M64" s="684">
        <f t="shared" si="7"/>
        <v>0</v>
      </c>
      <c r="N64" s="684">
        <f t="shared" si="12"/>
        <v>2117.4921141893815</v>
      </c>
      <c r="O64" s="684">
        <f t="shared" si="13"/>
        <v>0.12774368941521755</v>
      </c>
      <c r="P64" s="684">
        <f t="shared" si="14"/>
        <v>0</v>
      </c>
      <c r="Q64" s="684">
        <f t="shared" si="18"/>
        <v>1.7814534738737592E-2</v>
      </c>
      <c r="R64" s="684">
        <f t="shared" si="19"/>
        <v>1.8337089086061714E-2</v>
      </c>
      <c r="S64" s="684">
        <f t="shared" si="15"/>
        <v>0</v>
      </c>
      <c r="T64" s="684">
        <f t="shared" si="16"/>
        <v>0</v>
      </c>
      <c r="U64" s="14">
        <f t="shared" si="17"/>
        <v>0</v>
      </c>
      <c r="V64">
        <v>0</v>
      </c>
      <c r="W64">
        <v>0</v>
      </c>
      <c r="X64">
        <v>0</v>
      </c>
      <c r="Y64">
        <v>0</v>
      </c>
      <c r="Z64">
        <v>0</v>
      </c>
      <c r="AA64">
        <v>0</v>
      </c>
      <c r="AB64" s="982">
        <v>22.125000000000004</v>
      </c>
      <c r="AC64" s="982">
        <v>51.625000000000007</v>
      </c>
      <c r="AD64" s="982">
        <v>73.750000000000014</v>
      </c>
      <c r="AE64" s="143">
        <v>8.5</v>
      </c>
      <c r="AF64" s="143">
        <v>10</v>
      </c>
      <c r="AG64" s="143">
        <v>15.125</v>
      </c>
      <c r="AH64" s="143">
        <v>13.75</v>
      </c>
      <c r="AI64" s="14">
        <v>15</v>
      </c>
      <c r="AJ64" s="143">
        <v>15</v>
      </c>
      <c r="AK64" s="143">
        <v>0</v>
      </c>
      <c r="AL64" s="143">
        <v>0</v>
      </c>
      <c r="AM64" s="143">
        <v>0</v>
      </c>
      <c r="AN64" s="143">
        <v>0</v>
      </c>
      <c r="AO64" s="143">
        <v>0</v>
      </c>
      <c r="AP64" s="143">
        <v>7.2533333333333339</v>
      </c>
      <c r="AQ64" s="143">
        <v>40</v>
      </c>
      <c r="AR64" s="143">
        <v>53.5</v>
      </c>
      <c r="AS64" s="143">
        <v>0</v>
      </c>
      <c r="AT64" s="143">
        <v>0</v>
      </c>
      <c r="AU64" s="143">
        <v>0</v>
      </c>
      <c r="AV64" s="143">
        <v>21.91</v>
      </c>
      <c r="AW64" s="143">
        <v>21.91</v>
      </c>
      <c r="AX64" s="143">
        <v>0</v>
      </c>
      <c r="AY64" s="143">
        <v>0</v>
      </c>
      <c r="AZ64" s="143">
        <v>0</v>
      </c>
      <c r="BA64" s="143">
        <v>0</v>
      </c>
      <c r="BB64" s="143">
        <v>0</v>
      </c>
      <c r="BC64" s="143">
        <v>0</v>
      </c>
      <c r="BD64" s="143">
        <v>0</v>
      </c>
      <c r="BE64" s="143">
        <v>37.200000000000003</v>
      </c>
      <c r="BF64" s="143">
        <v>0</v>
      </c>
      <c r="BG64" s="143">
        <v>0</v>
      </c>
      <c r="BH64" s="143">
        <v>0</v>
      </c>
      <c r="BI64" s="143">
        <v>0</v>
      </c>
      <c r="BJ64" s="995">
        <v>0</v>
      </c>
      <c r="BK64" s="143">
        <v>14.75</v>
      </c>
      <c r="BL64" s="143">
        <v>34.619999999999997</v>
      </c>
      <c r="BM64" s="143">
        <v>12.56</v>
      </c>
      <c r="BN64" s="143">
        <v>0</v>
      </c>
      <c r="BO64" s="143">
        <v>0</v>
      </c>
      <c r="BP64" s="143">
        <v>0</v>
      </c>
      <c r="BQ64" s="143">
        <v>0</v>
      </c>
      <c r="BR64" s="143">
        <v>0</v>
      </c>
      <c r="BS64" s="143">
        <v>0</v>
      </c>
      <c r="BT64" s="143">
        <v>5.46</v>
      </c>
      <c r="BU64" s="143">
        <v>7.25</v>
      </c>
      <c r="BV64" s="143">
        <v>8.75</v>
      </c>
      <c r="BW64" s="143">
        <v>3.75</v>
      </c>
      <c r="BX64" s="143">
        <v>0</v>
      </c>
      <c r="BY64" s="143">
        <v>0</v>
      </c>
      <c r="BZ64" s="995">
        <v>12.5</v>
      </c>
      <c r="CA64" s="143">
        <v>14.25</v>
      </c>
      <c r="CB64">
        <v>17.75</v>
      </c>
      <c r="CC64" s="143">
        <v>0</v>
      </c>
      <c r="CD64" s="143">
        <v>8.9866666666666664</v>
      </c>
      <c r="CE64" s="143">
        <v>0</v>
      </c>
      <c r="CF64" s="143">
        <v>0</v>
      </c>
      <c r="CG64" s="143">
        <v>0</v>
      </c>
      <c r="CH64" s="143">
        <v>0</v>
      </c>
      <c r="CI64" s="143">
        <v>25</v>
      </c>
      <c r="CJ64" s="143">
        <v>30</v>
      </c>
      <c r="CK64" s="143">
        <v>30</v>
      </c>
      <c r="CL64" s="143">
        <v>110</v>
      </c>
      <c r="CM64" s="143">
        <v>25</v>
      </c>
      <c r="CN64" s="143">
        <v>21.25</v>
      </c>
      <c r="CO64" s="143">
        <v>0</v>
      </c>
      <c r="CP64" s="143">
        <v>0</v>
      </c>
      <c r="CQ64" s="143">
        <v>0</v>
      </c>
      <c r="CR64" s="143">
        <v>0</v>
      </c>
      <c r="CS64" s="143">
        <v>12.8</v>
      </c>
      <c r="CT64" s="143">
        <v>0</v>
      </c>
      <c r="CU64" s="143">
        <v>0</v>
      </c>
      <c r="CV64" s="143">
        <v>0</v>
      </c>
      <c r="CW64" s="14">
        <v>0</v>
      </c>
      <c r="CX64" s="14">
        <v>0</v>
      </c>
      <c r="CY64" s="14">
        <v>0</v>
      </c>
      <c r="CZ64" s="670">
        <v>0</v>
      </c>
      <c r="DA64" s="670">
        <v>0</v>
      </c>
      <c r="DB64" s="670">
        <v>0</v>
      </c>
      <c r="DC64">
        <v>18.38</v>
      </c>
      <c r="DD64">
        <v>0</v>
      </c>
      <c r="DE64">
        <v>0</v>
      </c>
      <c r="DF64">
        <v>0</v>
      </c>
      <c r="DG64">
        <v>0</v>
      </c>
      <c r="DH64">
        <v>41.25</v>
      </c>
      <c r="DI64">
        <v>42.5</v>
      </c>
      <c r="DJ64">
        <v>0</v>
      </c>
      <c r="DK64">
        <v>83.65</v>
      </c>
      <c r="DL64">
        <v>83.65</v>
      </c>
      <c r="DM64">
        <v>0</v>
      </c>
      <c r="DN64">
        <v>0</v>
      </c>
      <c r="DO64">
        <v>46.75</v>
      </c>
      <c r="DP64">
        <v>0</v>
      </c>
      <c r="DQ64">
        <v>3.25</v>
      </c>
    </row>
    <row r="65" spans="1:121" x14ac:dyDescent="0.2">
      <c r="A65" s="14">
        <v>3.5</v>
      </c>
      <c r="B65" s="684">
        <f t="shared" si="1"/>
        <v>7.7298662941307869E-2</v>
      </c>
      <c r="C65" s="684">
        <f t="shared" si="8"/>
        <v>7.7298662941307841E-2</v>
      </c>
      <c r="D65" s="684">
        <f t="shared" si="9"/>
        <v>1.932466573532696E-2</v>
      </c>
      <c r="E65" s="684">
        <f t="shared" si="2"/>
        <v>8.4214418819005434</v>
      </c>
      <c r="F65" s="684">
        <f t="shared" si="3"/>
        <v>0</v>
      </c>
      <c r="G65" s="684">
        <f t="shared" si="10"/>
        <v>0</v>
      </c>
      <c r="H65" s="684">
        <f t="shared" si="11"/>
        <v>0</v>
      </c>
      <c r="I65" s="1052">
        <f>HLOOKUP('Input &amp; Summary'!$B$6,TurbineProfiles,ROW(I65)-49,0)</f>
        <v>0</v>
      </c>
      <c r="J65" s="684">
        <f t="shared" si="4"/>
        <v>0</v>
      </c>
      <c r="K65" s="9">
        <f t="shared" si="5"/>
        <v>0</v>
      </c>
      <c r="L65" s="14">
        <f t="shared" si="6"/>
        <v>86.408429828260623</v>
      </c>
      <c r="M65" s="684">
        <f t="shared" si="7"/>
        <v>0</v>
      </c>
      <c r="N65" s="684">
        <f t="shared" si="12"/>
        <v>2117.4921141893815</v>
      </c>
      <c r="O65" s="684">
        <f t="shared" si="13"/>
        <v>0.14658312106719812</v>
      </c>
      <c r="P65" s="684">
        <f t="shared" si="14"/>
        <v>0</v>
      </c>
      <c r="Q65" s="684">
        <f t="shared" si="18"/>
        <v>1.883943165198057E-2</v>
      </c>
      <c r="R65" s="684">
        <f t="shared" si="19"/>
        <v>1.9321171897063727E-2</v>
      </c>
      <c r="S65" s="684">
        <f t="shared" si="15"/>
        <v>0</v>
      </c>
      <c r="T65" s="684">
        <f t="shared" si="16"/>
        <v>0</v>
      </c>
      <c r="U65" s="14">
        <f t="shared" si="17"/>
        <v>0</v>
      </c>
      <c r="V65">
        <v>0</v>
      </c>
      <c r="W65">
        <v>0</v>
      </c>
      <c r="X65">
        <v>0</v>
      </c>
      <c r="Y65">
        <v>0</v>
      </c>
      <c r="Z65">
        <v>0</v>
      </c>
      <c r="AA65">
        <v>0</v>
      </c>
      <c r="AB65" s="982">
        <v>35.25</v>
      </c>
      <c r="AC65" s="982">
        <v>82.25</v>
      </c>
      <c r="AD65" s="982">
        <v>117.5</v>
      </c>
      <c r="AE65" s="143">
        <v>17</v>
      </c>
      <c r="AF65" s="143">
        <v>20</v>
      </c>
      <c r="AG65" s="143">
        <v>21.450000000000003</v>
      </c>
      <c r="AH65" s="143">
        <v>18.0625</v>
      </c>
      <c r="AI65" s="14">
        <v>19.5</v>
      </c>
      <c r="AJ65" s="143">
        <v>30</v>
      </c>
      <c r="AK65" s="143">
        <v>0</v>
      </c>
      <c r="AL65" s="143">
        <v>0</v>
      </c>
      <c r="AM65" s="143">
        <v>0</v>
      </c>
      <c r="AN65" s="143">
        <v>0</v>
      </c>
      <c r="AO65" s="143">
        <v>0</v>
      </c>
      <c r="AP65" s="143">
        <v>10.88</v>
      </c>
      <c r="AQ65" s="143">
        <v>60</v>
      </c>
      <c r="AR65" s="143">
        <v>74</v>
      </c>
      <c r="AS65" s="143">
        <v>0</v>
      </c>
      <c r="AT65" s="143">
        <v>0</v>
      </c>
      <c r="AU65" s="143">
        <v>0</v>
      </c>
      <c r="AV65" s="143">
        <v>29.8</v>
      </c>
      <c r="AW65" s="143">
        <v>29.8</v>
      </c>
      <c r="AX65" s="143">
        <v>0</v>
      </c>
      <c r="AY65" s="143">
        <v>0</v>
      </c>
      <c r="AZ65" s="143">
        <v>32.69</v>
      </c>
      <c r="BA65" s="143">
        <v>0</v>
      </c>
      <c r="BB65" s="143">
        <v>0</v>
      </c>
      <c r="BC65" s="143">
        <v>0</v>
      </c>
      <c r="BD65" s="143">
        <v>0</v>
      </c>
      <c r="BE65" s="143">
        <v>53.100000000000009</v>
      </c>
      <c r="BF65" s="143">
        <v>0</v>
      </c>
      <c r="BG65" s="143">
        <v>21.32</v>
      </c>
      <c r="BH65" s="143">
        <v>13.98</v>
      </c>
      <c r="BI65" s="143">
        <v>25.71</v>
      </c>
      <c r="BJ65" s="996">
        <v>0</v>
      </c>
      <c r="BK65" s="143">
        <v>27.17</v>
      </c>
      <c r="BL65" s="143">
        <v>64.72</v>
      </c>
      <c r="BM65" s="143">
        <v>41.92</v>
      </c>
      <c r="BN65" s="143">
        <v>0</v>
      </c>
      <c r="BO65" s="143">
        <v>0</v>
      </c>
      <c r="BP65" s="143">
        <v>0</v>
      </c>
      <c r="BQ65" s="143">
        <v>16.02</v>
      </c>
      <c r="BR65" s="143">
        <v>0</v>
      </c>
      <c r="BS65" s="143">
        <v>0</v>
      </c>
      <c r="BT65" s="143">
        <v>9.36</v>
      </c>
      <c r="BU65" s="143">
        <v>14.5</v>
      </c>
      <c r="BV65" s="143">
        <v>17.5</v>
      </c>
      <c r="BW65" s="143">
        <v>7.5</v>
      </c>
      <c r="BX65" s="143">
        <v>5</v>
      </c>
      <c r="BY65" s="143">
        <v>5</v>
      </c>
      <c r="BZ65" s="996">
        <v>25</v>
      </c>
      <c r="CA65" s="143">
        <v>28.5</v>
      </c>
      <c r="CB65">
        <v>35.5</v>
      </c>
      <c r="CC65" s="143">
        <v>13.48</v>
      </c>
      <c r="CD65" s="143">
        <v>13.48</v>
      </c>
      <c r="CE65" s="143">
        <v>47.35</v>
      </c>
      <c r="CF65" s="143">
        <v>0</v>
      </c>
      <c r="CG65" s="143">
        <v>38.515000000000001</v>
      </c>
      <c r="CH65" s="143">
        <v>0</v>
      </c>
      <c r="CI65" s="143">
        <v>50</v>
      </c>
      <c r="CJ65" s="143">
        <v>73.333333333333343</v>
      </c>
      <c r="CK65" s="143">
        <v>60</v>
      </c>
      <c r="CL65" s="143">
        <v>140</v>
      </c>
      <c r="CM65" s="143">
        <v>50</v>
      </c>
      <c r="CN65" s="143">
        <v>26.5</v>
      </c>
      <c r="CO65" s="143">
        <v>8.75</v>
      </c>
      <c r="CP65" s="143">
        <v>0</v>
      </c>
      <c r="CQ65" s="143">
        <v>0</v>
      </c>
      <c r="CR65" s="143">
        <v>0</v>
      </c>
      <c r="CS65" s="143">
        <v>16.46</v>
      </c>
      <c r="CT65" s="143">
        <v>0</v>
      </c>
      <c r="CU65" s="143">
        <v>0</v>
      </c>
      <c r="CV65" s="143">
        <v>0</v>
      </c>
      <c r="CW65" s="14">
        <v>0</v>
      </c>
      <c r="CX65" s="14">
        <v>18.920000000000002</v>
      </c>
      <c r="CY65" s="14">
        <v>0</v>
      </c>
      <c r="CZ65" s="670">
        <v>0</v>
      </c>
      <c r="DA65" s="670">
        <v>0</v>
      </c>
      <c r="DB65" s="670">
        <v>18.559999999999999</v>
      </c>
      <c r="DC65">
        <v>29.56</v>
      </c>
      <c r="DD65">
        <v>0</v>
      </c>
      <c r="DE65">
        <v>0</v>
      </c>
      <c r="DF65">
        <v>26.442499999999999</v>
      </c>
      <c r="DG65">
        <v>0</v>
      </c>
      <c r="DH65">
        <v>67.5</v>
      </c>
      <c r="DI65">
        <v>65</v>
      </c>
      <c r="DJ65">
        <v>60</v>
      </c>
      <c r="DK65">
        <v>106.73</v>
      </c>
      <c r="DL65">
        <v>106.73</v>
      </c>
      <c r="DM65">
        <v>0</v>
      </c>
      <c r="DN65">
        <v>0</v>
      </c>
      <c r="DO65">
        <v>68.5</v>
      </c>
      <c r="DP65">
        <v>0</v>
      </c>
      <c r="DQ65">
        <v>3.5</v>
      </c>
    </row>
    <row r="66" spans="1:121" x14ac:dyDescent="0.2">
      <c r="A66" s="14">
        <v>3.75</v>
      </c>
      <c r="B66" s="684">
        <f t="shared" si="1"/>
        <v>8.0900252432817024E-2</v>
      </c>
      <c r="C66" s="684">
        <f t="shared" si="8"/>
        <v>8.090025243281701E-2</v>
      </c>
      <c r="D66" s="684">
        <f t="shared" si="9"/>
        <v>2.0225063108204253E-2</v>
      </c>
      <c r="E66" s="684">
        <f t="shared" si="2"/>
        <v>10.840617494928416</v>
      </c>
      <c r="F66" s="684">
        <f t="shared" si="3"/>
        <v>0</v>
      </c>
      <c r="G66" s="684">
        <f t="shared" si="10"/>
        <v>0</v>
      </c>
      <c r="H66" s="684">
        <f t="shared" si="11"/>
        <v>0</v>
      </c>
      <c r="I66" s="1052">
        <f>HLOOKUP('Input &amp; Summary'!$B$6,TurbineProfiles,ROW(I66)-49,0)</f>
        <v>0</v>
      </c>
      <c r="J66" s="684">
        <f t="shared" si="4"/>
        <v>0</v>
      </c>
      <c r="K66" s="9">
        <f t="shared" si="5"/>
        <v>0</v>
      </c>
      <c r="L66" s="14">
        <f t="shared" si="6"/>
        <v>106.27858989445319</v>
      </c>
      <c r="M66" s="684">
        <f t="shared" si="7"/>
        <v>0</v>
      </c>
      <c r="N66" s="684">
        <f t="shared" si="12"/>
        <v>2117.4921141893815</v>
      </c>
      <c r="O66" s="684">
        <f t="shared" si="13"/>
        <v>0.16636507771664438</v>
      </c>
      <c r="P66" s="684">
        <f t="shared" si="14"/>
        <v>0</v>
      </c>
      <c r="Q66" s="684">
        <f t="shared" si="18"/>
        <v>1.9781956649446264E-2</v>
      </c>
      <c r="R66" s="684">
        <f t="shared" si="19"/>
        <v>2.0221470401467823E-2</v>
      </c>
      <c r="S66" s="684">
        <f t="shared" si="15"/>
        <v>0</v>
      </c>
      <c r="T66" s="684">
        <f t="shared" si="16"/>
        <v>0</v>
      </c>
      <c r="U66" s="14">
        <f t="shared" si="17"/>
        <v>0</v>
      </c>
      <c r="V66">
        <v>0</v>
      </c>
      <c r="W66">
        <v>0</v>
      </c>
      <c r="X66">
        <v>0</v>
      </c>
      <c r="Y66">
        <v>0</v>
      </c>
      <c r="Z66">
        <v>0</v>
      </c>
      <c r="AA66">
        <v>0</v>
      </c>
      <c r="AB66" s="982">
        <v>48.375</v>
      </c>
      <c r="AC66" s="982">
        <v>112.875</v>
      </c>
      <c r="AD66" s="982">
        <v>161.25</v>
      </c>
      <c r="AE66" s="143">
        <v>25.5</v>
      </c>
      <c r="AF66" s="143">
        <v>30</v>
      </c>
      <c r="AG66" s="143">
        <v>27.775000000000002</v>
      </c>
      <c r="AH66" s="143">
        <v>22.375</v>
      </c>
      <c r="AI66" s="14">
        <v>24</v>
      </c>
      <c r="AJ66" s="143">
        <v>45</v>
      </c>
      <c r="AK66" s="143">
        <v>0</v>
      </c>
      <c r="AL66" s="143">
        <v>0</v>
      </c>
      <c r="AM66" s="143">
        <v>0</v>
      </c>
      <c r="AN66" s="143">
        <v>0</v>
      </c>
      <c r="AO66" s="143">
        <v>0</v>
      </c>
      <c r="AP66" s="143">
        <v>14.9</v>
      </c>
      <c r="AQ66" s="143">
        <v>80</v>
      </c>
      <c r="AR66" s="143">
        <v>94.5</v>
      </c>
      <c r="AS66" s="143">
        <v>0</v>
      </c>
      <c r="AT66" s="143">
        <v>0</v>
      </c>
      <c r="AU66" s="143">
        <v>0</v>
      </c>
      <c r="AV66" s="143">
        <v>37.69</v>
      </c>
      <c r="AW66" s="143">
        <v>37.69</v>
      </c>
      <c r="AX66" s="143">
        <v>0</v>
      </c>
      <c r="AY66" s="143">
        <v>0</v>
      </c>
      <c r="AZ66" s="143">
        <v>53.89</v>
      </c>
      <c r="BA66" s="143">
        <v>0</v>
      </c>
      <c r="BB66" s="143">
        <v>0</v>
      </c>
      <c r="BC66" s="143">
        <v>0</v>
      </c>
      <c r="BD66" s="143">
        <v>0</v>
      </c>
      <c r="BE66" s="143">
        <v>69.000000000000014</v>
      </c>
      <c r="BF66" s="143">
        <v>0</v>
      </c>
      <c r="BG66" s="143">
        <v>33.51</v>
      </c>
      <c r="BH66" s="143">
        <v>45.74</v>
      </c>
      <c r="BI66" s="143">
        <v>37.14</v>
      </c>
      <c r="BJ66" s="996">
        <v>0</v>
      </c>
      <c r="BK66" s="143">
        <v>39.6</v>
      </c>
      <c r="BL66" s="143">
        <v>94.81</v>
      </c>
      <c r="BM66" s="143">
        <v>51.78</v>
      </c>
      <c r="BN66" s="143">
        <v>25</v>
      </c>
      <c r="BO66" s="143">
        <v>0</v>
      </c>
      <c r="BP66" s="143">
        <v>0</v>
      </c>
      <c r="BQ66" s="143">
        <v>26.1</v>
      </c>
      <c r="BR66" s="143">
        <v>0</v>
      </c>
      <c r="BS66" s="143">
        <v>0</v>
      </c>
      <c r="BT66" s="143">
        <v>13.26</v>
      </c>
      <c r="BU66" s="143">
        <v>21.75</v>
      </c>
      <c r="BV66" s="143">
        <v>26.25</v>
      </c>
      <c r="BW66" s="143">
        <v>11.25</v>
      </c>
      <c r="BX66" s="143">
        <v>22.5</v>
      </c>
      <c r="BY66" s="143">
        <v>20</v>
      </c>
      <c r="BZ66" s="996">
        <v>37.5</v>
      </c>
      <c r="CA66" s="143">
        <v>42.75</v>
      </c>
      <c r="CB66" s="143">
        <v>53.25</v>
      </c>
      <c r="CC66" s="143">
        <v>18.100000000000001</v>
      </c>
      <c r="CD66" s="143">
        <v>34.5</v>
      </c>
      <c r="CE66" s="143">
        <v>94.7</v>
      </c>
      <c r="CF66" s="143">
        <v>20</v>
      </c>
      <c r="CG66" s="143">
        <v>77.03</v>
      </c>
      <c r="CH66" s="143">
        <v>63.7</v>
      </c>
      <c r="CI66" s="143">
        <v>75</v>
      </c>
      <c r="CJ66" s="143">
        <v>116.66666666666667</v>
      </c>
      <c r="CK66" s="143">
        <v>80</v>
      </c>
      <c r="CL66" s="143">
        <v>170</v>
      </c>
      <c r="CM66" s="143">
        <v>75</v>
      </c>
      <c r="CN66" s="143">
        <v>31.75</v>
      </c>
      <c r="CO66" s="143">
        <v>17.5</v>
      </c>
      <c r="CP66" s="143">
        <v>0</v>
      </c>
      <c r="CQ66" s="143">
        <v>0</v>
      </c>
      <c r="CR66" s="143">
        <v>0</v>
      </c>
      <c r="CS66" s="143">
        <v>20.12</v>
      </c>
      <c r="CT66" s="143">
        <v>0</v>
      </c>
      <c r="CU66" s="143">
        <v>0</v>
      </c>
      <c r="CV66" s="143">
        <v>0</v>
      </c>
      <c r="CW66" s="14">
        <v>0</v>
      </c>
      <c r="CX66" s="14">
        <v>46.54</v>
      </c>
      <c r="CY66" s="14">
        <v>0</v>
      </c>
      <c r="CZ66" s="670">
        <v>0</v>
      </c>
      <c r="DA66" s="670">
        <v>0</v>
      </c>
      <c r="DB66" s="670">
        <v>35.39</v>
      </c>
      <c r="DC66">
        <v>40.880000000000003</v>
      </c>
      <c r="DD66">
        <v>0</v>
      </c>
      <c r="DE66">
        <v>0</v>
      </c>
      <c r="DF66">
        <v>52.884999999999998</v>
      </c>
      <c r="DG66">
        <v>0</v>
      </c>
      <c r="DH66">
        <v>93.75</v>
      </c>
      <c r="DI66">
        <v>87.5</v>
      </c>
      <c r="DJ66">
        <v>85</v>
      </c>
      <c r="DK66">
        <v>135.58000000000001</v>
      </c>
      <c r="DL66">
        <v>135.58000000000001</v>
      </c>
      <c r="DM66">
        <v>0</v>
      </c>
      <c r="DN66">
        <v>0</v>
      </c>
      <c r="DO66">
        <v>90.25</v>
      </c>
      <c r="DP66">
        <v>0</v>
      </c>
      <c r="DQ66">
        <v>3.75</v>
      </c>
    </row>
    <row r="67" spans="1:121" x14ac:dyDescent="0.2">
      <c r="A67" s="14">
        <v>4</v>
      </c>
      <c r="B67" s="684">
        <f t="shared" si="1"/>
        <v>8.4157114309469566E-2</v>
      </c>
      <c r="C67" s="684">
        <f t="shared" si="8"/>
        <v>8.4157114309469552E-2</v>
      </c>
      <c r="D67" s="684">
        <f t="shared" si="9"/>
        <v>2.1039278577367388E-2</v>
      </c>
      <c r="E67" s="684">
        <f t="shared" si="2"/>
        <v>13.686145423220816</v>
      </c>
      <c r="F67" s="684">
        <f t="shared" si="3"/>
        <v>0</v>
      </c>
      <c r="G67" s="684">
        <f t="shared" si="10"/>
        <v>0</v>
      </c>
      <c r="H67" s="684">
        <f t="shared" si="11"/>
        <v>0</v>
      </c>
      <c r="I67" s="1052">
        <f>HLOOKUP('Input &amp; Summary'!$B$6,TurbineProfiles,ROW(I67)-49,0)</f>
        <v>0</v>
      </c>
      <c r="J67" s="684">
        <f t="shared" si="4"/>
        <v>0</v>
      </c>
      <c r="K67" s="9">
        <f t="shared" si="5"/>
        <v>0</v>
      </c>
      <c r="L67" s="14">
        <f t="shared" si="6"/>
        <v>128.98284569116456</v>
      </c>
      <c r="M67" s="684">
        <f t="shared" si="7"/>
        <v>0</v>
      </c>
      <c r="N67" s="684">
        <f t="shared" si="12"/>
        <v>2117.4921141893815</v>
      </c>
      <c r="O67" s="684">
        <f t="shared" si="13"/>
        <v>0.18700451322880346</v>
      </c>
      <c r="P67" s="684">
        <f t="shared" si="14"/>
        <v>0</v>
      </c>
      <c r="Q67" s="684">
        <f t="shared" si="18"/>
        <v>2.0639435512159077E-2</v>
      </c>
      <c r="R67" s="684">
        <f t="shared" si="19"/>
        <v>2.1035612316083974E-2</v>
      </c>
      <c r="S67" s="684">
        <f t="shared" si="15"/>
        <v>0</v>
      </c>
      <c r="T67" s="684">
        <f t="shared" si="16"/>
        <v>0</v>
      </c>
      <c r="U67" s="14">
        <f t="shared" si="17"/>
        <v>0</v>
      </c>
      <c r="V67" s="982">
        <v>28.499999999999996</v>
      </c>
      <c r="W67" s="982">
        <v>66.5</v>
      </c>
      <c r="X67" s="982">
        <v>95</v>
      </c>
      <c r="Y67" s="982">
        <v>42</v>
      </c>
      <c r="Z67" s="982">
        <v>98</v>
      </c>
      <c r="AA67" s="982">
        <v>140</v>
      </c>
      <c r="AB67" s="982">
        <v>61.5</v>
      </c>
      <c r="AC67" s="982">
        <v>143.50000000000003</v>
      </c>
      <c r="AD67" s="982">
        <v>205.00000000000003</v>
      </c>
      <c r="AE67" s="143">
        <v>34</v>
      </c>
      <c r="AF67" s="143">
        <v>40</v>
      </c>
      <c r="AG67" s="143">
        <v>34.1</v>
      </c>
      <c r="AH67" s="143">
        <v>31</v>
      </c>
      <c r="AI67" s="996">
        <v>33</v>
      </c>
      <c r="AJ67" s="143">
        <v>60</v>
      </c>
      <c r="AK67" s="143">
        <v>32</v>
      </c>
      <c r="AL67" s="143">
        <v>24.62</v>
      </c>
      <c r="AM67" s="143">
        <v>24.62</v>
      </c>
      <c r="AN67" s="143">
        <v>24.56</v>
      </c>
      <c r="AO67" s="143">
        <v>14.89</v>
      </c>
      <c r="AP67" s="143">
        <v>26.75</v>
      </c>
      <c r="AQ67" s="143">
        <v>100</v>
      </c>
      <c r="AR67" s="143">
        <v>115</v>
      </c>
      <c r="AS67" s="143">
        <v>0</v>
      </c>
      <c r="AT67" s="143">
        <v>1.67</v>
      </c>
      <c r="AU67" s="143">
        <v>8.2899999999999991</v>
      </c>
      <c r="AV67" s="143">
        <v>45.58</v>
      </c>
      <c r="AW67" s="143">
        <v>45.58</v>
      </c>
      <c r="AX67" s="143">
        <v>30</v>
      </c>
      <c r="AY67" s="143">
        <v>30</v>
      </c>
      <c r="AZ67" s="143">
        <v>75.09</v>
      </c>
      <c r="BA67" s="143">
        <v>16.600000000000001</v>
      </c>
      <c r="BB67" s="143">
        <v>27.9</v>
      </c>
      <c r="BC67" s="143">
        <v>66.3</v>
      </c>
      <c r="BD67" s="143">
        <v>78.599999999999994</v>
      </c>
      <c r="BE67" s="143">
        <v>84.9</v>
      </c>
      <c r="BF67" s="143">
        <v>36</v>
      </c>
      <c r="BG67" s="143">
        <v>45.69</v>
      </c>
      <c r="BH67" s="143">
        <v>114.19</v>
      </c>
      <c r="BI67" s="143">
        <v>54.29</v>
      </c>
      <c r="BJ67" s="996">
        <v>1.03</v>
      </c>
      <c r="BK67" s="143">
        <v>53.56</v>
      </c>
      <c r="BL67" s="143">
        <v>105.09</v>
      </c>
      <c r="BM67" s="143">
        <v>81.14</v>
      </c>
      <c r="BN67" s="143">
        <v>50</v>
      </c>
      <c r="BO67" s="143">
        <v>9.11</v>
      </c>
      <c r="BP67" s="143">
        <v>9.11</v>
      </c>
      <c r="BQ67" s="143">
        <v>36.19</v>
      </c>
      <c r="BR67" s="143">
        <v>0</v>
      </c>
      <c r="BS67" s="143">
        <v>28</v>
      </c>
      <c r="BT67" s="143">
        <v>17.16</v>
      </c>
      <c r="BU67" s="143">
        <v>29</v>
      </c>
      <c r="BV67" s="143">
        <v>35</v>
      </c>
      <c r="BW67" s="143">
        <v>15</v>
      </c>
      <c r="BX67" s="143">
        <v>40</v>
      </c>
      <c r="BY67" s="143">
        <v>35</v>
      </c>
      <c r="BZ67" s="996">
        <v>50</v>
      </c>
      <c r="CA67" s="143">
        <v>57</v>
      </c>
      <c r="CB67" s="143">
        <v>71</v>
      </c>
      <c r="CC67" s="143">
        <v>28.26</v>
      </c>
      <c r="CD67" s="143">
        <v>55.19</v>
      </c>
      <c r="CE67" s="143">
        <v>125</v>
      </c>
      <c r="CF67" s="143">
        <v>50</v>
      </c>
      <c r="CG67" s="143">
        <v>95.4</v>
      </c>
      <c r="CH67" s="143">
        <v>83.23</v>
      </c>
      <c r="CI67" s="143">
        <v>100</v>
      </c>
      <c r="CJ67" s="143">
        <v>160</v>
      </c>
      <c r="CK67" s="143">
        <v>100</v>
      </c>
      <c r="CL67" s="143">
        <v>200</v>
      </c>
      <c r="CM67" s="143">
        <v>100</v>
      </c>
      <c r="CN67" s="143">
        <v>37</v>
      </c>
      <c r="CO67" s="143">
        <v>35</v>
      </c>
      <c r="CP67" s="143">
        <v>14</v>
      </c>
      <c r="CQ67" s="143">
        <v>1</v>
      </c>
      <c r="CR67" s="143">
        <v>1</v>
      </c>
      <c r="CS67" s="143">
        <v>23.78</v>
      </c>
      <c r="CT67" s="143">
        <v>22.5</v>
      </c>
      <c r="CU67" s="143">
        <v>0</v>
      </c>
      <c r="CV67" s="143">
        <v>0</v>
      </c>
      <c r="CW67" s="14">
        <v>3.27</v>
      </c>
      <c r="CX67" s="14">
        <v>73.81</v>
      </c>
      <c r="CY67" s="14">
        <v>3</v>
      </c>
      <c r="CZ67" s="670">
        <v>58.85</v>
      </c>
      <c r="DA67" s="670">
        <v>50</v>
      </c>
      <c r="DB67" s="670">
        <v>52.21</v>
      </c>
      <c r="DC67">
        <v>57.7</v>
      </c>
      <c r="DD67">
        <v>80</v>
      </c>
      <c r="DE67">
        <v>100</v>
      </c>
      <c r="DF67">
        <v>88.141666666666666</v>
      </c>
      <c r="DG67">
        <v>119.31</v>
      </c>
      <c r="DH67">
        <v>120</v>
      </c>
      <c r="DI67">
        <v>110</v>
      </c>
      <c r="DJ67">
        <v>110</v>
      </c>
      <c r="DK67">
        <v>170.19</v>
      </c>
      <c r="DL67">
        <v>170.19</v>
      </c>
      <c r="DM67">
        <v>9.11</v>
      </c>
      <c r="DN67">
        <v>7.5</v>
      </c>
      <c r="DO67">
        <v>112</v>
      </c>
      <c r="DP67">
        <v>100</v>
      </c>
      <c r="DQ67">
        <v>4</v>
      </c>
    </row>
    <row r="68" spans="1:121" x14ac:dyDescent="0.2">
      <c r="A68" s="14">
        <v>4.25</v>
      </c>
      <c r="B68" s="684">
        <f t="shared" si="1"/>
        <v>8.7062187061906771E-2</v>
      </c>
      <c r="C68" s="684">
        <f t="shared" si="8"/>
        <v>8.7062187061906743E-2</v>
      </c>
      <c r="D68" s="684">
        <f t="shared" si="9"/>
        <v>2.1765546765476686E-2</v>
      </c>
      <c r="E68" s="684">
        <f t="shared" si="2"/>
        <v>16.982698669314985</v>
      </c>
      <c r="F68" s="684">
        <f t="shared" si="3"/>
        <v>9.9461156837727813</v>
      </c>
      <c r="G68" s="684">
        <f>$I68*$C68</f>
        <v>9.9461156837727813</v>
      </c>
      <c r="H68" s="684">
        <f t="shared" si="11"/>
        <v>2.4865289209431953</v>
      </c>
      <c r="I68" s="1052">
        <f>HLOOKUP('Input &amp; Summary'!$B$6,TurbineProfiles,ROW(I68)-49,0)</f>
        <v>114.24150965447791</v>
      </c>
      <c r="J68" s="684">
        <f t="shared" si="4"/>
        <v>154.71013693376256</v>
      </c>
      <c r="K68" s="9">
        <f t="shared" si="5"/>
        <v>0.73842291086193756</v>
      </c>
      <c r="L68" s="14">
        <f t="shared" si="6"/>
        <v>154.71013693376256</v>
      </c>
      <c r="M68" s="684">
        <f t="shared" si="7"/>
        <v>0</v>
      </c>
      <c r="N68" s="684">
        <f t="shared" si="12"/>
        <v>2117.4921141893815</v>
      </c>
      <c r="O68" s="684">
        <f t="shared" si="13"/>
        <v>0.20841431236814617</v>
      </c>
      <c r="P68" s="684">
        <f t="shared" si="14"/>
        <v>2.4865289209431953</v>
      </c>
      <c r="Q68" s="684">
        <f t="shared" si="18"/>
        <v>2.1409799139342711E-2</v>
      </c>
      <c r="R68" s="684">
        <f t="shared" si="19"/>
        <v>2.1761832223827132E-2</v>
      </c>
      <c r="S68" s="684">
        <f t="shared" si="15"/>
        <v>2.4861045660974757</v>
      </c>
      <c r="T68" s="684">
        <f t="shared" si="16"/>
        <v>2.4458877750776531</v>
      </c>
      <c r="U68" s="14">
        <f t="shared" si="17"/>
        <v>114.24150965447791</v>
      </c>
      <c r="V68" s="982">
        <v>46.875</v>
      </c>
      <c r="W68" s="982">
        <v>109.375</v>
      </c>
      <c r="X68" s="982">
        <v>156.25</v>
      </c>
      <c r="Y68" s="982">
        <v>64.5</v>
      </c>
      <c r="Z68" s="982">
        <v>150.5</v>
      </c>
      <c r="AA68" s="982">
        <v>214.99999999999997</v>
      </c>
      <c r="AB68" s="982">
        <v>84.375</v>
      </c>
      <c r="AC68" s="982">
        <v>196.875</v>
      </c>
      <c r="AD68" s="982">
        <v>281.25</v>
      </c>
      <c r="AE68" s="143">
        <v>50.25</v>
      </c>
      <c r="AF68" s="143">
        <v>59.5</v>
      </c>
      <c r="AG68" s="143">
        <v>44.024999999999999</v>
      </c>
      <c r="AH68" s="143">
        <v>40.5</v>
      </c>
      <c r="AI68" s="14">
        <v>43</v>
      </c>
      <c r="AJ68" s="143">
        <v>103.75</v>
      </c>
      <c r="AK68" s="143">
        <v>46.5</v>
      </c>
      <c r="AL68" s="143">
        <v>34.159999999999997</v>
      </c>
      <c r="AM68" s="143">
        <v>43.81</v>
      </c>
      <c r="AN68" s="143">
        <v>38.979999999999997</v>
      </c>
      <c r="AO68" s="143">
        <v>29.34</v>
      </c>
      <c r="AP68" s="143">
        <v>34.69</v>
      </c>
      <c r="AQ68" s="143">
        <v>133.25</v>
      </c>
      <c r="AR68" s="143">
        <v>144.5</v>
      </c>
      <c r="AS68" s="143">
        <v>0</v>
      </c>
      <c r="AT68" s="143">
        <v>3.42</v>
      </c>
      <c r="AU68" s="143">
        <v>15.09</v>
      </c>
      <c r="AV68" s="143">
        <v>66.7</v>
      </c>
      <c r="AW68" s="143">
        <v>66.7</v>
      </c>
      <c r="AX68" s="143">
        <v>69.790000000000006</v>
      </c>
      <c r="AY68" s="143">
        <v>69.790000000000006</v>
      </c>
      <c r="AZ68" s="143">
        <v>122.79</v>
      </c>
      <c r="BA68" s="143">
        <v>24.875</v>
      </c>
      <c r="BB68" s="143">
        <v>37.225000000000001</v>
      </c>
      <c r="BC68" s="143">
        <v>87.724999999999994</v>
      </c>
      <c r="BD68" s="143">
        <v>104.25</v>
      </c>
      <c r="BE68" s="143">
        <v>113</v>
      </c>
      <c r="BF68" s="143">
        <v>51</v>
      </c>
      <c r="BG68" s="143">
        <v>65.209999999999994</v>
      </c>
      <c r="BH68" s="143">
        <v>145.94</v>
      </c>
      <c r="BI68" s="143">
        <v>77.14</v>
      </c>
      <c r="BJ68" s="14">
        <v>5.17</v>
      </c>
      <c r="BK68" s="143">
        <v>69.099999999999994</v>
      </c>
      <c r="BL68" s="143">
        <v>154.79</v>
      </c>
      <c r="BM68" s="143">
        <v>120.21</v>
      </c>
      <c r="BN68" s="143">
        <v>107.5</v>
      </c>
      <c r="BO68" s="143">
        <v>9.17</v>
      </c>
      <c r="BP68" s="143">
        <v>16.75</v>
      </c>
      <c r="BQ68" s="143">
        <v>46.26</v>
      </c>
      <c r="BR68" s="143">
        <v>0</v>
      </c>
      <c r="BS68" s="143">
        <v>57</v>
      </c>
      <c r="BT68" s="143">
        <v>24.032499999999999</v>
      </c>
      <c r="BU68" s="143">
        <v>40</v>
      </c>
      <c r="BV68" s="143">
        <v>70</v>
      </c>
      <c r="BW68" s="143">
        <v>41.5</v>
      </c>
      <c r="BX68" s="143">
        <v>71.5</v>
      </c>
      <c r="BY68" s="143">
        <v>66.5</v>
      </c>
      <c r="BZ68" s="14">
        <v>92.75</v>
      </c>
      <c r="CA68" s="143">
        <v>78</v>
      </c>
      <c r="CB68" s="143">
        <v>96.5</v>
      </c>
      <c r="CC68" s="143">
        <v>48.48</v>
      </c>
      <c r="CD68" s="143">
        <v>75.8</v>
      </c>
      <c r="CE68" s="143">
        <v>162.88</v>
      </c>
      <c r="CF68" s="143">
        <v>93.75</v>
      </c>
      <c r="CG68" s="143">
        <v>109.39</v>
      </c>
      <c r="CH68" s="143">
        <v>112.97</v>
      </c>
      <c r="CI68" s="143">
        <v>125</v>
      </c>
      <c r="CJ68" s="143">
        <v>187.5</v>
      </c>
      <c r="CK68" s="143">
        <v>130</v>
      </c>
      <c r="CL68" s="143">
        <v>225</v>
      </c>
      <c r="CM68" s="143">
        <v>150</v>
      </c>
      <c r="CN68" s="143">
        <v>52.75</v>
      </c>
      <c r="CO68" s="143">
        <v>48.5</v>
      </c>
      <c r="CP68" s="143">
        <v>45</v>
      </c>
      <c r="CQ68" s="143">
        <v>9.25</v>
      </c>
      <c r="CR68" s="143">
        <v>25.5</v>
      </c>
      <c r="CS68" s="143">
        <v>31.1</v>
      </c>
      <c r="CT68" s="143">
        <v>28.875</v>
      </c>
      <c r="CU68" s="143">
        <v>0</v>
      </c>
      <c r="CV68" s="143">
        <v>0</v>
      </c>
      <c r="CW68" s="14">
        <v>6.89</v>
      </c>
      <c r="CX68" s="14">
        <v>108.85</v>
      </c>
      <c r="CY68" s="14">
        <v>27</v>
      </c>
      <c r="CZ68" s="670">
        <v>62.25</v>
      </c>
      <c r="DA68" s="670">
        <v>75</v>
      </c>
      <c r="DB68" s="670">
        <v>74.56</v>
      </c>
      <c r="DC68">
        <v>80.06</v>
      </c>
      <c r="DD68">
        <v>110</v>
      </c>
      <c r="DE68">
        <v>130</v>
      </c>
      <c r="DF68">
        <v>105.77</v>
      </c>
      <c r="DG68">
        <v>139.91</v>
      </c>
      <c r="DH68">
        <v>160</v>
      </c>
      <c r="DI68">
        <v>145</v>
      </c>
      <c r="DJ68">
        <v>142.5</v>
      </c>
      <c r="DK68">
        <v>204.81</v>
      </c>
      <c r="DL68">
        <v>204.81</v>
      </c>
      <c r="DM68">
        <v>13.19</v>
      </c>
      <c r="DN68">
        <v>22.324999999999999</v>
      </c>
      <c r="DO68">
        <v>132.75</v>
      </c>
      <c r="DP68">
        <v>191.5</v>
      </c>
      <c r="DQ68">
        <v>4.25</v>
      </c>
    </row>
    <row r="69" spans="1:121" x14ac:dyDescent="0.2">
      <c r="A69" s="14">
        <v>4.5</v>
      </c>
      <c r="B69" s="684">
        <f t="shared" si="1"/>
        <v>8.9610833863691494E-2</v>
      </c>
      <c r="C69" s="684">
        <f t="shared" si="8"/>
        <v>8.961083386369148E-2</v>
      </c>
      <c r="D69" s="684">
        <f t="shared" si="9"/>
        <v>2.240270846592287E-2</v>
      </c>
      <c r="E69" s="684">
        <f t="shared" si="2"/>
        <v>20.749536544243469</v>
      </c>
      <c r="F69" s="684">
        <f t="shared" si="3"/>
        <v>12.609873539848303</v>
      </c>
      <c r="G69" s="684">
        <f t="shared" si="10"/>
        <v>12.609873539848296</v>
      </c>
      <c r="H69" s="684">
        <f t="shared" si="11"/>
        <v>3.152468384962074</v>
      </c>
      <c r="I69" s="1052">
        <f>HLOOKUP('Input &amp; Summary'!$B$6,TurbineProfiles,ROW(I69)-49,0)</f>
        <v>140.71818100732534</v>
      </c>
      <c r="J69" s="684">
        <f t="shared" si="4"/>
        <v>183.6494033376151</v>
      </c>
      <c r="K69" s="9">
        <f t="shared" si="5"/>
        <v>0.76623271543460236</v>
      </c>
      <c r="L69" s="14">
        <f t="shared" si="6"/>
        <v>183.6494033376151</v>
      </c>
      <c r="M69" s="684">
        <f t="shared" si="7"/>
        <v>0</v>
      </c>
      <c r="N69" s="684">
        <f t="shared" si="12"/>
        <v>2117.4921141893815</v>
      </c>
      <c r="O69" s="684">
        <f t="shared" si="13"/>
        <v>0.23050589792924908</v>
      </c>
      <c r="P69" s="684">
        <f t="shared" si="14"/>
        <v>3.152468384962074</v>
      </c>
      <c r="Q69" s="684">
        <f t="shared" si="18"/>
        <v>2.2091585561102911E-2</v>
      </c>
      <c r="R69" s="684">
        <f t="shared" si="19"/>
        <v>2.2398970637564436E-2</v>
      </c>
      <c r="S69" s="684">
        <f t="shared" si="15"/>
        <v>3.1519424045545579</v>
      </c>
      <c r="T69" s="684">
        <f t="shared" si="16"/>
        <v>3.1086877357260945</v>
      </c>
      <c r="U69" s="14">
        <f t="shared" si="17"/>
        <v>140.71818100732534</v>
      </c>
      <c r="V69" s="982">
        <v>65.25</v>
      </c>
      <c r="W69" s="982">
        <v>152.25</v>
      </c>
      <c r="X69" s="982">
        <v>217.49999999999997</v>
      </c>
      <c r="Y69" s="982">
        <v>87</v>
      </c>
      <c r="Z69" s="982">
        <v>203</v>
      </c>
      <c r="AA69" s="982">
        <v>290</v>
      </c>
      <c r="AB69" s="982">
        <v>107.24999999999999</v>
      </c>
      <c r="AC69" s="982">
        <v>250.24999999999997</v>
      </c>
      <c r="AD69" s="982">
        <v>357.5</v>
      </c>
      <c r="AE69" s="143">
        <v>66.5</v>
      </c>
      <c r="AF69" s="143">
        <v>79</v>
      </c>
      <c r="AG69" s="143">
        <v>53.95</v>
      </c>
      <c r="AH69" s="143">
        <v>47.625</v>
      </c>
      <c r="AI69" s="14">
        <v>50.5</v>
      </c>
      <c r="AJ69" s="143">
        <v>147.5</v>
      </c>
      <c r="AK69" s="143">
        <v>57.375</v>
      </c>
      <c r="AL69" s="143">
        <v>72.64</v>
      </c>
      <c r="AM69" s="143">
        <v>67.81</v>
      </c>
      <c r="AN69" s="143">
        <v>58.17</v>
      </c>
      <c r="AO69" s="143">
        <v>53.34</v>
      </c>
      <c r="AP69" s="143">
        <v>50.48</v>
      </c>
      <c r="AQ69" s="143">
        <v>166.5</v>
      </c>
      <c r="AR69" s="143">
        <v>174</v>
      </c>
      <c r="AS69" s="143">
        <v>33</v>
      </c>
      <c r="AT69" s="143">
        <v>10.58</v>
      </c>
      <c r="AU69" s="143">
        <v>28</v>
      </c>
      <c r="AV69" s="143">
        <v>87.83</v>
      </c>
      <c r="AW69" s="143">
        <v>90.47</v>
      </c>
      <c r="AX69" s="143">
        <v>96.29</v>
      </c>
      <c r="AY69" s="143">
        <v>96.29</v>
      </c>
      <c r="AZ69" s="143">
        <v>159.88999999999999</v>
      </c>
      <c r="BA69" s="143">
        <v>33.15</v>
      </c>
      <c r="BB69" s="143">
        <v>46.550000000000004</v>
      </c>
      <c r="BC69" s="143">
        <v>109.14999999999999</v>
      </c>
      <c r="BD69" s="143">
        <v>129.9</v>
      </c>
      <c r="BE69" s="143">
        <v>141.1</v>
      </c>
      <c r="BF69" s="143">
        <v>66</v>
      </c>
      <c r="BG69" s="143">
        <v>79.83</v>
      </c>
      <c r="BH69" s="143">
        <v>177.69</v>
      </c>
      <c r="BI69" s="143">
        <v>111.43</v>
      </c>
      <c r="BJ69" s="14">
        <v>11.35</v>
      </c>
      <c r="BK69" s="143">
        <v>90.83</v>
      </c>
      <c r="BL69" s="143">
        <v>184.89</v>
      </c>
      <c r="BM69" s="143">
        <v>139.78</v>
      </c>
      <c r="BN69" s="143">
        <v>165</v>
      </c>
      <c r="BO69" s="143">
        <v>16.89</v>
      </c>
      <c r="BP69" s="143">
        <v>19.690000000000001</v>
      </c>
      <c r="BQ69" s="143">
        <v>58.35</v>
      </c>
      <c r="BR69" s="143">
        <v>0</v>
      </c>
      <c r="BS69" s="143">
        <v>86</v>
      </c>
      <c r="BT69" s="143">
        <v>30.904999999999998</v>
      </c>
      <c r="BU69" s="143">
        <v>51</v>
      </c>
      <c r="BV69" s="143">
        <v>105</v>
      </c>
      <c r="BW69" s="143">
        <v>68</v>
      </c>
      <c r="BX69" s="143">
        <v>103</v>
      </c>
      <c r="BY69" s="143">
        <v>98</v>
      </c>
      <c r="BZ69" s="14">
        <v>135.5</v>
      </c>
      <c r="CA69" s="143">
        <v>99</v>
      </c>
      <c r="CB69" s="143">
        <v>122</v>
      </c>
      <c r="CC69" s="143">
        <v>63.65</v>
      </c>
      <c r="CD69" s="143">
        <v>96.4</v>
      </c>
      <c r="CE69" s="143">
        <v>208.33</v>
      </c>
      <c r="CF69" s="143">
        <v>137.5</v>
      </c>
      <c r="CG69" s="143">
        <v>123.38</v>
      </c>
      <c r="CH69" s="143">
        <v>132.5</v>
      </c>
      <c r="CI69" s="143">
        <v>150</v>
      </c>
      <c r="CJ69" s="143">
        <v>215</v>
      </c>
      <c r="CK69" s="143">
        <v>160</v>
      </c>
      <c r="CL69" s="143">
        <v>250</v>
      </c>
      <c r="CM69" s="143">
        <v>200</v>
      </c>
      <c r="CN69" s="143">
        <v>68.5</v>
      </c>
      <c r="CO69" s="143">
        <v>62</v>
      </c>
      <c r="CP69" s="143">
        <v>76</v>
      </c>
      <c r="CQ69" s="143">
        <v>17.5</v>
      </c>
      <c r="CR69" s="143">
        <v>50</v>
      </c>
      <c r="CS69" s="143">
        <v>38.409999999999997</v>
      </c>
      <c r="CT69" s="143">
        <v>35.25</v>
      </c>
      <c r="CU69" s="143">
        <v>0</v>
      </c>
      <c r="CV69" s="143">
        <v>0</v>
      </c>
      <c r="CW69" s="14">
        <v>13.13</v>
      </c>
      <c r="CX69" s="14">
        <v>147.79</v>
      </c>
      <c r="CY69" s="14">
        <v>51</v>
      </c>
      <c r="CZ69" s="670">
        <v>72.48</v>
      </c>
      <c r="DA69" s="670">
        <v>100</v>
      </c>
      <c r="DB69" s="670">
        <v>96.88</v>
      </c>
      <c r="DC69">
        <v>102.37</v>
      </c>
      <c r="DD69">
        <v>140</v>
      </c>
      <c r="DE69">
        <v>160</v>
      </c>
      <c r="DF69">
        <v>129.41</v>
      </c>
      <c r="DG69">
        <v>181.12</v>
      </c>
      <c r="DH69">
        <v>200</v>
      </c>
      <c r="DI69">
        <v>180</v>
      </c>
      <c r="DJ69">
        <v>175</v>
      </c>
      <c r="DK69">
        <v>245.19</v>
      </c>
      <c r="DL69">
        <v>245.19</v>
      </c>
      <c r="DM69">
        <v>22.48</v>
      </c>
      <c r="DN69">
        <v>37.15</v>
      </c>
      <c r="DO69">
        <v>153.5</v>
      </c>
      <c r="DP69">
        <v>283</v>
      </c>
      <c r="DQ69">
        <v>4.5</v>
      </c>
    </row>
    <row r="70" spans="1:121" x14ac:dyDescent="0.2">
      <c r="A70" s="14">
        <v>4.75</v>
      </c>
      <c r="B70" s="684">
        <f t="shared" si="1"/>
        <v>9.1800815705515168E-2</v>
      </c>
      <c r="C70" s="684">
        <f t="shared" si="8"/>
        <v>9.1800815705515168E-2</v>
      </c>
      <c r="D70" s="684">
        <f t="shared" si="9"/>
        <v>2.2950203926378792E-2</v>
      </c>
      <c r="E70" s="684">
        <f t="shared" si="2"/>
        <v>24.999867677649902</v>
      </c>
      <c r="F70" s="684">
        <f t="shared" si="3"/>
        <v>15.634263265809739</v>
      </c>
      <c r="G70" s="684">
        <f t="shared" si="10"/>
        <v>15.634263265809743</v>
      </c>
      <c r="H70" s="684">
        <f t="shared" si="11"/>
        <v>3.9085658164524357</v>
      </c>
      <c r="I70" s="1052">
        <f>HLOOKUP('Input &amp; Summary'!$B$6,TurbineProfiles,ROW(I70)-49,0)</f>
        <v>170.30636542449017</v>
      </c>
      <c r="J70" s="684">
        <f t="shared" si="4"/>
        <v>215.98958461809028</v>
      </c>
      <c r="K70" s="9">
        <f t="shared" si="5"/>
        <v>0.78849341613218737</v>
      </c>
      <c r="L70" s="14">
        <f t="shared" si="6"/>
        <v>215.98958461809028</v>
      </c>
      <c r="M70" s="684">
        <f t="shared" si="7"/>
        <v>0</v>
      </c>
      <c r="N70" s="684">
        <f t="shared" si="12"/>
        <v>2117.4921141893815</v>
      </c>
      <c r="O70" s="684">
        <f t="shared" si="13"/>
        <v>0.25318983402202105</v>
      </c>
      <c r="P70" s="684">
        <f t="shared" si="14"/>
        <v>3.9085658164524357</v>
      </c>
      <c r="Q70" s="684">
        <f t="shared" si="18"/>
        <v>2.2683936092771972E-2</v>
      </c>
      <c r="R70" s="684">
        <f t="shared" si="19"/>
        <v>2.2946467293133543E-2</v>
      </c>
      <c r="S70" s="684">
        <f t="shared" si="15"/>
        <v>3.907929444025513</v>
      </c>
      <c r="T70" s="684">
        <f t="shared" si="16"/>
        <v>3.863218709481405</v>
      </c>
      <c r="U70" s="14">
        <f t="shared" si="17"/>
        <v>170.30636542449017</v>
      </c>
      <c r="V70" s="982">
        <v>83.624999999999986</v>
      </c>
      <c r="W70" s="982">
        <v>195.125</v>
      </c>
      <c r="X70" s="982">
        <v>278.74999999999994</v>
      </c>
      <c r="Y70" s="982">
        <v>109.49999999999999</v>
      </c>
      <c r="Z70" s="982">
        <v>255.5</v>
      </c>
      <c r="AA70" s="982">
        <v>365</v>
      </c>
      <c r="AB70" s="982">
        <v>130.125</v>
      </c>
      <c r="AC70" s="982">
        <v>303.625</v>
      </c>
      <c r="AD70" s="982">
        <v>433.74999999999994</v>
      </c>
      <c r="AE70" s="143">
        <v>82.75</v>
      </c>
      <c r="AF70" s="143">
        <v>98.5</v>
      </c>
      <c r="AG70" s="143">
        <v>63.875</v>
      </c>
      <c r="AH70" s="143">
        <v>54.75</v>
      </c>
      <c r="AI70" s="14">
        <v>58</v>
      </c>
      <c r="AJ70" s="143">
        <v>191.25</v>
      </c>
      <c r="AK70" s="143">
        <v>68.25</v>
      </c>
      <c r="AL70" s="143">
        <v>106.29</v>
      </c>
      <c r="AM70" s="143">
        <v>96.64</v>
      </c>
      <c r="AN70" s="143">
        <v>82.17</v>
      </c>
      <c r="AO70" s="143">
        <v>72.53</v>
      </c>
      <c r="AP70" s="143">
        <v>66.27</v>
      </c>
      <c r="AQ70" s="143">
        <v>199.75</v>
      </c>
      <c r="AR70" s="143">
        <v>203.5</v>
      </c>
      <c r="AS70" s="143">
        <v>66.5</v>
      </c>
      <c r="AT70" s="143">
        <v>19.55</v>
      </c>
      <c r="AU70" s="143">
        <v>40.54</v>
      </c>
      <c r="AV70" s="143">
        <v>108.95</v>
      </c>
      <c r="AW70" s="143">
        <v>119.53</v>
      </c>
      <c r="AX70" s="143">
        <v>122.79</v>
      </c>
      <c r="AY70" s="143">
        <v>122.79</v>
      </c>
      <c r="AZ70" s="143">
        <v>202.3</v>
      </c>
      <c r="BA70" s="143">
        <v>41.424999999999997</v>
      </c>
      <c r="BB70" s="143">
        <v>55.875000000000007</v>
      </c>
      <c r="BC70" s="143">
        <v>130.57499999999999</v>
      </c>
      <c r="BD70" s="143">
        <v>155.55000000000001</v>
      </c>
      <c r="BE70" s="143">
        <v>169.2</v>
      </c>
      <c r="BF70" s="143">
        <v>85</v>
      </c>
      <c r="BG70" s="143">
        <v>104.25</v>
      </c>
      <c r="BH70" s="143">
        <v>211.89</v>
      </c>
      <c r="BI70" s="143">
        <v>145.71</v>
      </c>
      <c r="BJ70" s="14">
        <v>19.63</v>
      </c>
      <c r="BK70" s="143">
        <v>107.92</v>
      </c>
      <c r="BL70" s="143">
        <v>214.76</v>
      </c>
      <c r="BM70" s="143">
        <v>188.55</v>
      </c>
      <c r="BN70" s="143">
        <v>222.5</v>
      </c>
      <c r="BO70" s="143">
        <v>24.6</v>
      </c>
      <c r="BP70" s="143">
        <v>28.37</v>
      </c>
      <c r="BQ70" s="143">
        <v>68.44</v>
      </c>
      <c r="BR70" s="143">
        <v>0</v>
      </c>
      <c r="BS70" s="143">
        <v>115</v>
      </c>
      <c r="BT70" s="143">
        <v>37.777499999999996</v>
      </c>
      <c r="BU70" s="143">
        <v>62</v>
      </c>
      <c r="BV70" s="143">
        <v>140</v>
      </c>
      <c r="BW70" s="143">
        <v>94.5</v>
      </c>
      <c r="BX70" s="143">
        <v>136.5</v>
      </c>
      <c r="BY70" s="143">
        <v>136.5</v>
      </c>
      <c r="BZ70" s="14">
        <v>178.25</v>
      </c>
      <c r="CA70" s="143">
        <v>120</v>
      </c>
      <c r="CB70" s="143">
        <v>147.5</v>
      </c>
      <c r="CC70" s="143">
        <v>88.88</v>
      </c>
      <c r="CD70" s="143">
        <v>122.03</v>
      </c>
      <c r="CE70" s="143">
        <v>253.79</v>
      </c>
      <c r="CF70" s="143">
        <v>181.25</v>
      </c>
      <c r="CG70" s="143">
        <v>141.56</v>
      </c>
      <c r="CH70" s="143">
        <v>172.44</v>
      </c>
      <c r="CI70" s="143">
        <v>175</v>
      </c>
      <c r="CJ70" s="143">
        <v>242.5</v>
      </c>
      <c r="CK70" s="143">
        <v>190</v>
      </c>
      <c r="CL70" s="143">
        <v>275</v>
      </c>
      <c r="CM70" s="143">
        <v>250</v>
      </c>
      <c r="CN70" s="143">
        <v>84.25</v>
      </c>
      <c r="CO70" s="143">
        <v>75.5</v>
      </c>
      <c r="CP70" s="143">
        <v>107</v>
      </c>
      <c r="CQ70" s="143">
        <v>25.75</v>
      </c>
      <c r="CR70" s="143">
        <v>74.5</v>
      </c>
      <c r="CS70" s="143">
        <v>49.39</v>
      </c>
      <c r="CT70" s="143">
        <v>41.625</v>
      </c>
      <c r="CU70" s="143">
        <v>0</v>
      </c>
      <c r="CV70" s="143">
        <v>0</v>
      </c>
      <c r="CW70" s="14">
        <v>22.4</v>
      </c>
      <c r="CX70" s="14">
        <v>194.49</v>
      </c>
      <c r="CY70" s="14">
        <v>75</v>
      </c>
      <c r="CZ70" s="670">
        <v>89.6</v>
      </c>
      <c r="DA70" s="670">
        <v>125</v>
      </c>
      <c r="DB70" s="670">
        <v>124.69</v>
      </c>
      <c r="DC70">
        <v>130.18</v>
      </c>
      <c r="DD70">
        <v>170</v>
      </c>
      <c r="DE70">
        <v>190</v>
      </c>
      <c r="DF70">
        <v>153.12</v>
      </c>
      <c r="DG70">
        <v>222.32</v>
      </c>
      <c r="DH70">
        <v>240</v>
      </c>
      <c r="DI70">
        <v>215</v>
      </c>
      <c r="DJ70">
        <v>207.5</v>
      </c>
      <c r="DK70">
        <v>297.12</v>
      </c>
      <c r="DL70">
        <v>297.12</v>
      </c>
      <c r="DM70">
        <v>28.74</v>
      </c>
      <c r="DN70">
        <v>51.974999999999994</v>
      </c>
      <c r="DO70">
        <v>174.25</v>
      </c>
      <c r="DP70">
        <v>374.5</v>
      </c>
      <c r="DQ70">
        <v>4.75</v>
      </c>
    </row>
    <row r="71" spans="1:121" x14ac:dyDescent="0.2">
      <c r="A71" s="14">
        <v>5</v>
      </c>
      <c r="B71" s="684">
        <f t="shared" si="1"/>
        <v>9.3632242341772101E-2</v>
      </c>
      <c r="C71" s="684">
        <f t="shared" si="8"/>
        <v>9.363224234177206E-2</v>
      </c>
      <c r="D71" s="684">
        <f t="shared" si="9"/>
        <v>2.3408060585443015E-2</v>
      </c>
      <c r="E71" s="684">
        <f t="shared" si="2"/>
        <v>29.740329653483332</v>
      </c>
      <c r="F71" s="684">
        <f t="shared" si="3"/>
        <v>19.024098320265878</v>
      </c>
      <c r="G71" s="684">
        <f>$I71*$C71</f>
        <v>19.024098320265875</v>
      </c>
      <c r="H71" s="684">
        <f t="shared" si="11"/>
        <v>4.7560245800664687</v>
      </c>
      <c r="I71" s="1052">
        <f>HLOOKUP('Input &amp; Summary'!$B$6,TurbineProfiles,ROW(I71)-49,0)</f>
        <v>203.17892474287859</v>
      </c>
      <c r="J71" s="684">
        <f t="shared" si="4"/>
        <v>251.91962049055576</v>
      </c>
      <c r="K71" s="9">
        <f t="shared" si="5"/>
        <v>0.80652282798471264</v>
      </c>
      <c r="L71" s="14">
        <f t="shared" si="6"/>
        <v>251.91962049055576</v>
      </c>
      <c r="M71" s="684">
        <f t="shared" si="7"/>
        <v>0</v>
      </c>
      <c r="N71" s="684">
        <f t="shared" si="12"/>
        <v>2117.4921141893815</v>
      </c>
      <c r="O71" s="684">
        <f t="shared" si="13"/>
        <v>0.27637641984535444</v>
      </c>
      <c r="P71" s="684">
        <f t="shared" si="14"/>
        <v>4.7560245800664687</v>
      </c>
      <c r="Q71" s="684">
        <f t="shared" si="18"/>
        <v>2.3186585823333383E-2</v>
      </c>
      <c r="R71" s="684">
        <f t="shared" si="19"/>
        <v>2.340434889814208E-2</v>
      </c>
      <c r="S71" s="684">
        <f t="shared" si="15"/>
        <v>4.7552704434316828</v>
      </c>
      <c r="T71" s="684">
        <f t="shared" si="16"/>
        <v>4.7110255760433493</v>
      </c>
      <c r="U71" s="14">
        <f t="shared" si="17"/>
        <v>203.17892474287859</v>
      </c>
      <c r="V71" s="982">
        <v>101.99999999999999</v>
      </c>
      <c r="W71" s="982">
        <v>237.99999999999997</v>
      </c>
      <c r="X71" s="982">
        <v>339.99999999999994</v>
      </c>
      <c r="Y71" s="982">
        <v>132</v>
      </c>
      <c r="Z71" s="982">
        <v>308</v>
      </c>
      <c r="AA71" s="982">
        <v>439.99999999999994</v>
      </c>
      <c r="AB71" s="982">
        <v>153</v>
      </c>
      <c r="AC71" s="982">
        <v>357</v>
      </c>
      <c r="AD71" s="982">
        <v>510</v>
      </c>
      <c r="AE71" s="143">
        <v>99</v>
      </c>
      <c r="AF71" s="143">
        <v>118</v>
      </c>
      <c r="AG71" s="143">
        <v>73.8</v>
      </c>
      <c r="AH71" s="143">
        <v>69</v>
      </c>
      <c r="AI71" s="996">
        <v>73</v>
      </c>
      <c r="AJ71" s="143">
        <v>235</v>
      </c>
      <c r="AK71" s="143">
        <v>90</v>
      </c>
      <c r="AL71" s="143">
        <v>135.12</v>
      </c>
      <c r="AM71" s="143">
        <v>120.65</v>
      </c>
      <c r="AN71" s="143">
        <v>111.01</v>
      </c>
      <c r="AO71" s="143">
        <v>96.54</v>
      </c>
      <c r="AP71" s="143">
        <v>85.97</v>
      </c>
      <c r="AQ71" s="143">
        <v>233</v>
      </c>
      <c r="AR71" s="143">
        <v>233</v>
      </c>
      <c r="AS71" s="143">
        <v>100</v>
      </c>
      <c r="AT71" s="143">
        <v>26.72</v>
      </c>
      <c r="AU71" s="143">
        <v>53.39</v>
      </c>
      <c r="AV71" s="143">
        <v>124.77</v>
      </c>
      <c r="AW71" s="143">
        <v>143.29</v>
      </c>
      <c r="AX71" s="143">
        <v>149.29</v>
      </c>
      <c r="AY71" s="143">
        <v>165.19</v>
      </c>
      <c r="AZ71" s="143">
        <v>239.4</v>
      </c>
      <c r="BA71" s="143">
        <v>49.7</v>
      </c>
      <c r="BB71" s="143">
        <v>65.2</v>
      </c>
      <c r="BC71" s="143">
        <v>152</v>
      </c>
      <c r="BD71" s="143">
        <v>181.2</v>
      </c>
      <c r="BE71" s="143">
        <v>197.3</v>
      </c>
      <c r="BF71" s="143">
        <v>104</v>
      </c>
      <c r="BG71" s="143">
        <v>128.66</v>
      </c>
      <c r="BH71" s="143">
        <v>248.54</v>
      </c>
      <c r="BI71" s="143">
        <v>185.71</v>
      </c>
      <c r="BJ71" s="996">
        <v>34.090000000000003</v>
      </c>
      <c r="BK71" s="143">
        <v>131.21</v>
      </c>
      <c r="BL71" s="143">
        <v>264.47000000000003</v>
      </c>
      <c r="BM71" s="143">
        <v>237.33</v>
      </c>
      <c r="BN71" s="143">
        <v>280</v>
      </c>
      <c r="BO71" s="143">
        <v>32.340000000000003</v>
      </c>
      <c r="BP71" s="143">
        <v>34.17</v>
      </c>
      <c r="BQ71" s="143">
        <v>80.53</v>
      </c>
      <c r="BR71" s="143">
        <v>74</v>
      </c>
      <c r="BS71" s="143">
        <v>144</v>
      </c>
      <c r="BT71" s="143">
        <v>44.65</v>
      </c>
      <c r="BU71" s="143">
        <v>73</v>
      </c>
      <c r="BV71" s="143">
        <v>175</v>
      </c>
      <c r="BW71" s="143">
        <v>121</v>
      </c>
      <c r="BX71" s="143">
        <v>170</v>
      </c>
      <c r="BY71" s="143">
        <v>175</v>
      </c>
      <c r="BZ71" s="996">
        <v>221</v>
      </c>
      <c r="CA71" s="143">
        <v>141</v>
      </c>
      <c r="CB71" s="143">
        <v>173</v>
      </c>
      <c r="CC71" s="143">
        <v>109.08</v>
      </c>
      <c r="CD71" s="143">
        <v>152.76</v>
      </c>
      <c r="CE71" s="143">
        <v>299.24</v>
      </c>
      <c r="CF71" s="143">
        <v>225</v>
      </c>
      <c r="CG71" s="143">
        <v>173.08</v>
      </c>
      <c r="CH71" s="143">
        <v>222.35</v>
      </c>
      <c r="CI71" s="143">
        <v>200</v>
      </c>
      <c r="CJ71" s="143">
        <v>270</v>
      </c>
      <c r="CK71" s="143">
        <v>220</v>
      </c>
      <c r="CL71" s="143">
        <v>300</v>
      </c>
      <c r="CM71" s="143">
        <v>300</v>
      </c>
      <c r="CN71" s="143">
        <v>100</v>
      </c>
      <c r="CO71" s="143">
        <v>89</v>
      </c>
      <c r="CP71" s="143">
        <v>138</v>
      </c>
      <c r="CQ71" s="143">
        <v>34</v>
      </c>
      <c r="CR71" s="143">
        <v>99</v>
      </c>
      <c r="CS71" s="143">
        <v>56.71</v>
      </c>
      <c r="CT71" s="143">
        <v>48</v>
      </c>
      <c r="CU71" s="143">
        <v>21.5</v>
      </c>
      <c r="CV71" s="143">
        <v>30.4</v>
      </c>
      <c r="CW71" s="14">
        <v>30.15</v>
      </c>
      <c r="CX71" s="14">
        <v>237.3</v>
      </c>
      <c r="CY71" s="14">
        <v>99</v>
      </c>
      <c r="CZ71" s="670">
        <v>106.71</v>
      </c>
      <c r="DA71" s="670">
        <v>150</v>
      </c>
      <c r="DB71" s="670">
        <v>157.99</v>
      </c>
      <c r="DC71">
        <v>157.99</v>
      </c>
      <c r="DD71">
        <v>200</v>
      </c>
      <c r="DE71">
        <v>220</v>
      </c>
      <c r="DF71">
        <v>182.53</v>
      </c>
      <c r="DG71">
        <v>266.95</v>
      </c>
      <c r="DH71">
        <v>280</v>
      </c>
      <c r="DI71">
        <v>250</v>
      </c>
      <c r="DJ71">
        <v>240</v>
      </c>
      <c r="DK71">
        <v>337.5</v>
      </c>
      <c r="DL71">
        <v>337.5</v>
      </c>
      <c r="DM71">
        <v>37.99</v>
      </c>
      <c r="DN71">
        <v>66.8</v>
      </c>
      <c r="DO71">
        <v>195</v>
      </c>
      <c r="DP71">
        <v>466</v>
      </c>
      <c r="DQ71">
        <v>5</v>
      </c>
    </row>
    <row r="72" spans="1:121" x14ac:dyDescent="0.2">
      <c r="A72" s="14">
        <v>5.25</v>
      </c>
      <c r="B72" s="684">
        <f t="shared" si="1"/>
        <v>9.5107502214787823E-2</v>
      </c>
      <c r="C72" s="684">
        <f t="shared" si="8"/>
        <v>9.5107502214787795E-2</v>
      </c>
      <c r="D72" s="684">
        <f t="shared" si="9"/>
        <v>2.3776875553696949E-2</v>
      </c>
      <c r="E72" s="684">
        <f t="shared" si="2"/>
        <v>34.970595452202701</v>
      </c>
      <c r="F72" s="684">
        <f t="shared" si="3"/>
        <v>22.779076193889672</v>
      </c>
      <c r="G72" s="684">
        <f t="shared" si="10"/>
        <v>22.779076193889662</v>
      </c>
      <c r="H72" s="684">
        <f t="shared" si="11"/>
        <v>5.6947690484724154</v>
      </c>
      <c r="I72" s="1052">
        <f>HLOOKUP('Input &amp; Summary'!$B$6,TurbineProfiles,ROW(I72)-49,0)</f>
        <v>239.50872079939722</v>
      </c>
      <c r="J72" s="684">
        <f t="shared" si="4"/>
        <v>291.62845067037955</v>
      </c>
      <c r="K72" s="9">
        <f t="shared" si="5"/>
        <v>0.82128036633198054</v>
      </c>
      <c r="L72" s="14">
        <f t="shared" si="6"/>
        <v>291.62845067037955</v>
      </c>
      <c r="M72" s="684">
        <f t="shared" si="7"/>
        <v>0</v>
      </c>
      <c r="N72" s="684">
        <f t="shared" si="12"/>
        <v>2117.4921141893815</v>
      </c>
      <c r="O72" s="684">
        <f t="shared" si="13"/>
        <v>0.29997626854281134</v>
      </c>
      <c r="P72" s="684">
        <f t="shared" si="14"/>
        <v>5.6947690484724154</v>
      </c>
      <c r="Q72" s="684">
        <f t="shared" si="18"/>
        <v>2.3599848697456904E-2</v>
      </c>
      <c r="R72" s="684">
        <f t="shared" si="19"/>
        <v>2.3773211627621582E-2</v>
      </c>
      <c r="S72" s="684">
        <f t="shared" si="15"/>
        <v>5.6938915062250013</v>
      </c>
      <c r="T72" s="684">
        <f t="shared" si="16"/>
        <v>5.6523695725872241</v>
      </c>
      <c r="U72" s="14">
        <f t="shared" si="17"/>
        <v>239.50872079939722</v>
      </c>
      <c r="V72" s="982">
        <v>129</v>
      </c>
      <c r="W72" s="982">
        <v>301</v>
      </c>
      <c r="X72" s="982">
        <v>429.99999999999994</v>
      </c>
      <c r="Y72" s="982">
        <v>164.24999999999997</v>
      </c>
      <c r="Z72" s="982">
        <v>383.25</v>
      </c>
      <c r="AA72" s="982">
        <v>547.49999999999989</v>
      </c>
      <c r="AB72" s="982">
        <v>185.62499999999997</v>
      </c>
      <c r="AC72" s="982">
        <v>433.125</v>
      </c>
      <c r="AD72" s="982">
        <v>618.75</v>
      </c>
      <c r="AE72" s="143">
        <v>122.5</v>
      </c>
      <c r="AF72" s="143">
        <v>146.5</v>
      </c>
      <c r="AG72" s="143">
        <v>87.35</v>
      </c>
      <c r="AH72" s="143">
        <v>82.75</v>
      </c>
      <c r="AI72" s="14">
        <v>88</v>
      </c>
      <c r="AJ72" s="143">
        <v>308.75</v>
      </c>
      <c r="AK72" s="143">
        <v>110.5</v>
      </c>
      <c r="AL72" s="143">
        <v>159.12</v>
      </c>
      <c r="AM72" s="143">
        <v>149.47999999999999</v>
      </c>
      <c r="AN72" s="143">
        <v>139.83000000000001</v>
      </c>
      <c r="AO72" s="143">
        <v>125.35</v>
      </c>
      <c r="AP72" s="143">
        <v>113.52</v>
      </c>
      <c r="AQ72" s="143">
        <v>272.25</v>
      </c>
      <c r="AR72" s="143">
        <v>274.75</v>
      </c>
      <c r="AS72" s="143">
        <v>133.25</v>
      </c>
      <c r="AT72" s="143">
        <v>32.07</v>
      </c>
      <c r="AU72" s="143">
        <v>66.239999999999995</v>
      </c>
      <c r="AV72" s="143">
        <v>148.54</v>
      </c>
      <c r="AW72" s="143">
        <v>169.7</v>
      </c>
      <c r="AX72" s="143">
        <v>175.8</v>
      </c>
      <c r="AY72" s="143">
        <v>218.2</v>
      </c>
      <c r="AZ72" s="143">
        <v>292.39999999999998</v>
      </c>
      <c r="BA72" s="143">
        <v>63.400000000000006</v>
      </c>
      <c r="BB72" s="143">
        <v>79.674999999999997</v>
      </c>
      <c r="BC72" s="143">
        <v>184</v>
      </c>
      <c r="BD72" s="143">
        <v>219.75</v>
      </c>
      <c r="BE72" s="143">
        <v>238.92500000000001</v>
      </c>
      <c r="BF72" s="143">
        <v>127</v>
      </c>
      <c r="BG72" s="143">
        <v>157.97</v>
      </c>
      <c r="BH72" s="143">
        <v>285.18</v>
      </c>
      <c r="BI72" s="143">
        <v>231.43</v>
      </c>
      <c r="BJ72" s="14">
        <v>46.49</v>
      </c>
      <c r="BK72" s="143">
        <v>156.06</v>
      </c>
      <c r="BL72" s="143">
        <v>314.18</v>
      </c>
      <c r="BM72" s="143">
        <v>276.32</v>
      </c>
      <c r="BN72" s="143">
        <v>345</v>
      </c>
      <c r="BO72" s="143">
        <v>40.06</v>
      </c>
      <c r="BP72" s="143">
        <v>42.85</v>
      </c>
      <c r="BQ72" s="143">
        <v>90.6</v>
      </c>
      <c r="BR72" s="143">
        <v>106</v>
      </c>
      <c r="BS72" s="143">
        <v>185.25</v>
      </c>
      <c r="BT72" s="143">
        <v>51.4925</v>
      </c>
      <c r="BU72" s="143">
        <v>87.5</v>
      </c>
      <c r="BV72" s="143">
        <v>219.25</v>
      </c>
      <c r="BW72" s="143">
        <v>153.5</v>
      </c>
      <c r="BX72" s="143">
        <v>209.5</v>
      </c>
      <c r="BY72" s="143">
        <v>217.5</v>
      </c>
      <c r="BZ72" s="14">
        <v>273.5</v>
      </c>
      <c r="CA72" s="143">
        <v>170.25</v>
      </c>
      <c r="CB72" s="143">
        <v>208.75</v>
      </c>
      <c r="CC72" s="143">
        <v>139.35</v>
      </c>
      <c r="CD72" s="143">
        <v>188.44</v>
      </c>
      <c r="CE72" s="143">
        <v>352.27</v>
      </c>
      <c r="CF72" s="143">
        <v>301.25</v>
      </c>
      <c r="CG72" s="143">
        <v>213.35</v>
      </c>
      <c r="CH72" s="143">
        <v>272.49</v>
      </c>
      <c r="CI72" s="143">
        <v>260</v>
      </c>
      <c r="CJ72" s="143">
        <v>359</v>
      </c>
      <c r="CK72" s="143">
        <v>318.33333333333331</v>
      </c>
      <c r="CL72" s="143">
        <v>391.66666666666669</v>
      </c>
      <c r="CM72" s="143">
        <v>370</v>
      </c>
      <c r="CN72" s="143">
        <v>120.25</v>
      </c>
      <c r="CO72" s="143">
        <v>103.75</v>
      </c>
      <c r="CP72" s="143">
        <v>181.5</v>
      </c>
      <c r="CQ72" s="143">
        <v>49.5</v>
      </c>
      <c r="CR72" s="143">
        <v>140</v>
      </c>
      <c r="CS72" s="143">
        <v>64.02</v>
      </c>
      <c r="CT72" s="143">
        <v>57.55</v>
      </c>
      <c r="CU72" s="143">
        <v>32.424999999999997</v>
      </c>
      <c r="CV72" s="143">
        <v>42.125</v>
      </c>
      <c r="CW72" s="14">
        <v>43.96</v>
      </c>
      <c r="CX72" s="14">
        <v>287.89</v>
      </c>
      <c r="CY72" s="14">
        <v>139.25</v>
      </c>
      <c r="CZ72" s="670">
        <v>127.26</v>
      </c>
      <c r="DA72" s="670">
        <v>187.5</v>
      </c>
      <c r="DB72" s="670">
        <v>191.29</v>
      </c>
      <c r="DC72">
        <v>191.29</v>
      </c>
      <c r="DD72">
        <v>237.5</v>
      </c>
      <c r="DE72">
        <v>258.75</v>
      </c>
      <c r="DF72">
        <v>211.94</v>
      </c>
      <c r="DG72">
        <v>308.14999999999998</v>
      </c>
      <c r="DH72">
        <v>335</v>
      </c>
      <c r="DI72">
        <v>313.75</v>
      </c>
      <c r="DJ72">
        <v>285</v>
      </c>
      <c r="DK72">
        <v>389.42</v>
      </c>
      <c r="DL72">
        <v>389.42</v>
      </c>
      <c r="DM72">
        <v>47.29</v>
      </c>
      <c r="DN72">
        <v>86.1</v>
      </c>
      <c r="DO72">
        <v>281.25</v>
      </c>
      <c r="DP72">
        <v>574.5</v>
      </c>
      <c r="DQ72">
        <v>5.25</v>
      </c>
    </row>
    <row r="73" spans="1:121" x14ac:dyDescent="0.2">
      <c r="A73" s="14">
        <v>5.5</v>
      </c>
      <c r="B73" s="684">
        <f t="shared" si="1"/>
        <v>9.6231172756104003E-2</v>
      </c>
      <c r="C73" s="684">
        <f t="shared" si="8"/>
        <v>9.6231172756103989E-2</v>
      </c>
      <c r="D73" s="684">
        <f t="shared" si="9"/>
        <v>2.4057793189025997E-2</v>
      </c>
      <c r="E73" s="684">
        <f t="shared" si="2"/>
        <v>40.683114026445928</v>
      </c>
      <c r="F73" s="684">
        <f t="shared" si="3"/>
        <v>26.893592611445211</v>
      </c>
      <c r="G73" s="684">
        <f t="shared" si="10"/>
        <v>26.893592611445214</v>
      </c>
      <c r="H73" s="684">
        <f t="shared" si="11"/>
        <v>6.7233981528613036</v>
      </c>
      <c r="I73" s="1052">
        <f>HLOOKUP('Input &amp; Summary'!$B$6,TurbineProfiles,ROW(I73)-49,0)</f>
        <v>279.46861543095287</v>
      </c>
      <c r="J73" s="684">
        <f t="shared" si="4"/>
        <v>335.3050148729298</v>
      </c>
      <c r="K73" s="9">
        <f t="shared" si="5"/>
        <v>0.83347579974866404</v>
      </c>
      <c r="L73" s="14">
        <f t="shared" si="6"/>
        <v>335.3050148729298</v>
      </c>
      <c r="M73" s="684">
        <f t="shared" si="7"/>
        <v>0</v>
      </c>
      <c r="N73" s="684">
        <f t="shared" si="12"/>
        <v>2117.4921141893815</v>
      </c>
      <c r="O73" s="684">
        <f t="shared" si="13"/>
        <v>0.32390086605508112</v>
      </c>
      <c r="P73" s="684">
        <f t="shared" si="14"/>
        <v>6.7233981528613036</v>
      </c>
      <c r="Q73" s="684">
        <f t="shared" si="18"/>
        <v>2.3924597512269774E-2</v>
      </c>
      <c r="R73" s="684">
        <f t="shared" si="19"/>
        <v>2.4054198716105757E-2</v>
      </c>
      <c r="S73" s="684">
        <f t="shared" si="15"/>
        <v>6.7223936104910802</v>
      </c>
      <c r="T73" s="684">
        <f t="shared" si="16"/>
        <v>6.6861741414968527</v>
      </c>
      <c r="U73" s="14">
        <f t="shared" si="17"/>
        <v>279.46861543095287</v>
      </c>
      <c r="V73" s="982">
        <v>156</v>
      </c>
      <c r="W73" s="982">
        <v>364</v>
      </c>
      <c r="X73" s="982">
        <v>520</v>
      </c>
      <c r="Y73" s="982">
        <v>196.49999999999994</v>
      </c>
      <c r="Z73" s="982">
        <v>458.49999999999989</v>
      </c>
      <c r="AA73" s="982">
        <v>654.99999999999989</v>
      </c>
      <c r="AB73" s="982">
        <v>218.25</v>
      </c>
      <c r="AC73" s="982">
        <v>509.25</v>
      </c>
      <c r="AD73" s="982">
        <v>727.49999999999989</v>
      </c>
      <c r="AE73" s="143">
        <v>146</v>
      </c>
      <c r="AF73" s="143">
        <v>175</v>
      </c>
      <c r="AG73" s="143">
        <v>100.9</v>
      </c>
      <c r="AH73" s="143">
        <v>93.0625</v>
      </c>
      <c r="AI73" s="14">
        <v>99.25</v>
      </c>
      <c r="AJ73" s="143">
        <v>382.5</v>
      </c>
      <c r="AK73" s="143">
        <v>125.875</v>
      </c>
      <c r="AL73" s="143">
        <v>187.96</v>
      </c>
      <c r="AM73" s="143">
        <v>178.31</v>
      </c>
      <c r="AN73" s="143">
        <v>173.49</v>
      </c>
      <c r="AO73" s="143">
        <v>149.37</v>
      </c>
      <c r="AP73" s="143">
        <v>141.07</v>
      </c>
      <c r="AQ73" s="143">
        <v>311.5</v>
      </c>
      <c r="AR73" s="143">
        <v>316.5</v>
      </c>
      <c r="AS73" s="143">
        <v>166.5</v>
      </c>
      <c r="AT73" s="143">
        <v>37.43</v>
      </c>
      <c r="AU73" s="143">
        <v>78.83</v>
      </c>
      <c r="AV73" s="143">
        <v>180.24</v>
      </c>
      <c r="AW73" s="143">
        <v>185.54</v>
      </c>
      <c r="AX73" s="143">
        <v>197</v>
      </c>
      <c r="AY73" s="143">
        <v>255.3</v>
      </c>
      <c r="AZ73" s="143">
        <v>345.41</v>
      </c>
      <c r="BA73" s="143">
        <v>77.100000000000009</v>
      </c>
      <c r="BB73" s="143">
        <v>94.149999999999991</v>
      </c>
      <c r="BC73" s="143">
        <v>216</v>
      </c>
      <c r="BD73" s="143">
        <v>258.3</v>
      </c>
      <c r="BE73" s="143">
        <v>280.55</v>
      </c>
      <c r="BF73" s="143">
        <v>150</v>
      </c>
      <c r="BG73" s="143">
        <v>187.27</v>
      </c>
      <c r="BH73" s="143">
        <v>324.27999999999997</v>
      </c>
      <c r="BI73" s="143">
        <v>300</v>
      </c>
      <c r="BJ73" s="14">
        <v>69.209999999999994</v>
      </c>
      <c r="BK73" s="143">
        <v>182.45</v>
      </c>
      <c r="BL73" s="143">
        <v>344.05</v>
      </c>
      <c r="BM73" s="143">
        <v>334.81</v>
      </c>
      <c r="BN73" s="143">
        <v>410</v>
      </c>
      <c r="BO73" s="143">
        <v>51.6</v>
      </c>
      <c r="BP73" s="143">
        <v>54.41</v>
      </c>
      <c r="BQ73" s="143">
        <v>104.71</v>
      </c>
      <c r="BR73" s="143">
        <v>138</v>
      </c>
      <c r="BS73" s="143">
        <v>226.5</v>
      </c>
      <c r="BT73" s="143">
        <v>58.335000000000001</v>
      </c>
      <c r="BU73" s="143">
        <v>102</v>
      </c>
      <c r="BV73" s="143">
        <v>263.5</v>
      </c>
      <c r="BW73" s="143">
        <v>186</v>
      </c>
      <c r="BX73" s="143">
        <v>249</v>
      </c>
      <c r="BY73" s="143">
        <v>260</v>
      </c>
      <c r="BZ73" s="14">
        <v>326</v>
      </c>
      <c r="CA73" s="143">
        <v>199.5</v>
      </c>
      <c r="CB73" s="143">
        <v>244.5</v>
      </c>
      <c r="CC73" s="143">
        <v>164.56</v>
      </c>
      <c r="CD73" s="143">
        <v>224.11</v>
      </c>
      <c r="CE73" s="143">
        <v>405.3</v>
      </c>
      <c r="CF73" s="143">
        <v>377.5</v>
      </c>
      <c r="CG73" s="143">
        <v>258</v>
      </c>
      <c r="CH73" s="143">
        <v>322.63</v>
      </c>
      <c r="CI73" s="143">
        <v>320</v>
      </c>
      <c r="CJ73" s="143">
        <v>448</v>
      </c>
      <c r="CK73" s="143">
        <v>416.66666666666663</v>
      </c>
      <c r="CL73" s="143">
        <v>483.33333333333337</v>
      </c>
      <c r="CM73" s="143">
        <v>440</v>
      </c>
      <c r="CN73" s="143">
        <v>140.5</v>
      </c>
      <c r="CO73" s="143">
        <v>118.5</v>
      </c>
      <c r="CP73" s="143">
        <v>225</v>
      </c>
      <c r="CQ73" s="143">
        <v>65</v>
      </c>
      <c r="CR73" s="143">
        <v>181</v>
      </c>
      <c r="CS73" s="143">
        <v>75</v>
      </c>
      <c r="CT73" s="143">
        <v>67.099999999999994</v>
      </c>
      <c r="CU73" s="143">
        <v>43.349999999999994</v>
      </c>
      <c r="CV73" s="143">
        <v>53.85</v>
      </c>
      <c r="CW73" s="14">
        <v>56.26</v>
      </c>
      <c r="CX73" s="14">
        <v>338.47</v>
      </c>
      <c r="CY73" s="14">
        <v>179.5</v>
      </c>
      <c r="CZ73" s="670">
        <v>154.66999999999999</v>
      </c>
      <c r="DA73" s="670">
        <v>225</v>
      </c>
      <c r="DB73" s="670">
        <v>241.12</v>
      </c>
      <c r="DC73">
        <v>241.12</v>
      </c>
      <c r="DD73">
        <v>275</v>
      </c>
      <c r="DE73">
        <v>297.5</v>
      </c>
      <c r="DF73">
        <v>247.12</v>
      </c>
      <c r="DG73">
        <v>359.66</v>
      </c>
      <c r="DH73">
        <v>390</v>
      </c>
      <c r="DI73">
        <v>377.5</v>
      </c>
      <c r="DJ73">
        <v>330</v>
      </c>
      <c r="DK73">
        <v>441.35</v>
      </c>
      <c r="DL73">
        <v>441.35</v>
      </c>
      <c r="DM73">
        <v>59.6</v>
      </c>
      <c r="DN73">
        <v>105.39999999999999</v>
      </c>
      <c r="DO73">
        <v>367.5</v>
      </c>
      <c r="DP73">
        <v>683</v>
      </c>
      <c r="DQ73">
        <v>5.5</v>
      </c>
    </row>
    <row r="74" spans="1:121" x14ac:dyDescent="0.2">
      <c r="A74" s="14">
        <v>5.75</v>
      </c>
      <c r="B74" s="684">
        <f t="shared" si="1"/>
        <v>9.7009912671422296E-2</v>
      </c>
      <c r="C74" s="684">
        <f t="shared" si="8"/>
        <v>9.7009912671422255E-2</v>
      </c>
      <c r="D74" s="684">
        <f t="shared" si="9"/>
        <v>2.4252478167855564E-2</v>
      </c>
      <c r="E74" s="684">
        <f t="shared" si="2"/>
        <v>46.862989373082577</v>
      </c>
      <c r="F74" s="684">
        <f t="shared" si="3"/>
        <v>31.356656723381938</v>
      </c>
      <c r="G74" s="684">
        <f t="shared" si="10"/>
        <v>31.356656723381942</v>
      </c>
      <c r="H74" s="684">
        <f t="shared" si="11"/>
        <v>7.8391641808454855</v>
      </c>
      <c r="I74" s="1052">
        <f>HLOOKUP('Input &amp; Summary'!$B$6,TurbineProfiles,ROW(I74)-49,0)</f>
        <v>323.2314704744515</v>
      </c>
      <c r="J74" s="684">
        <f t="shared" si="4"/>
        <v>383.13825281357401</v>
      </c>
      <c r="K74" s="9">
        <f t="shared" si="5"/>
        <v>0.84364186582989997</v>
      </c>
      <c r="L74" s="14">
        <f t="shared" si="6"/>
        <v>383.13825281357401</v>
      </c>
      <c r="M74" s="684">
        <f t="shared" si="7"/>
        <v>0</v>
      </c>
      <c r="N74" s="684">
        <f t="shared" si="12"/>
        <v>2117.4921141893815</v>
      </c>
      <c r="O74" s="684">
        <f t="shared" si="13"/>
        <v>0.34806310526027534</v>
      </c>
      <c r="P74" s="684">
        <f t="shared" si="14"/>
        <v>7.8391641808454855</v>
      </c>
      <c r="Q74" s="684">
        <f t="shared" si="18"/>
        <v>2.4162239205194225E-2</v>
      </c>
      <c r="R74" s="684">
        <f t="shared" si="19"/>
        <v>2.424897354747807E-2</v>
      </c>
      <c r="S74" s="684">
        <f t="shared" si="15"/>
        <v>7.8380313772474128</v>
      </c>
      <c r="T74" s="684">
        <f t="shared" si="16"/>
        <v>7.8099961082503713</v>
      </c>
      <c r="U74" s="14">
        <f t="shared" si="17"/>
        <v>323.2314704744515</v>
      </c>
      <c r="V74" s="982">
        <v>183</v>
      </c>
      <c r="W74" s="982">
        <v>427</v>
      </c>
      <c r="X74" s="982">
        <v>610</v>
      </c>
      <c r="Y74" s="982">
        <v>228.74999999999994</v>
      </c>
      <c r="Z74" s="982">
        <v>533.75</v>
      </c>
      <c r="AA74" s="982">
        <v>762.49999999999989</v>
      </c>
      <c r="AB74" s="982">
        <v>250.87499999999997</v>
      </c>
      <c r="AC74" s="982">
        <v>585.375</v>
      </c>
      <c r="AD74" s="982">
        <v>836.24999999999989</v>
      </c>
      <c r="AE74" s="143">
        <v>169.5</v>
      </c>
      <c r="AF74" s="143">
        <v>203.5</v>
      </c>
      <c r="AG74" s="143">
        <v>114.45</v>
      </c>
      <c r="AH74" s="143">
        <v>103.375</v>
      </c>
      <c r="AI74" s="14">
        <v>110.5</v>
      </c>
      <c r="AJ74" s="143">
        <v>456.25</v>
      </c>
      <c r="AK74" s="143">
        <v>141.25</v>
      </c>
      <c r="AL74" s="143">
        <v>240.89</v>
      </c>
      <c r="AM74" s="143">
        <v>231.25</v>
      </c>
      <c r="AN74" s="143">
        <v>216.78</v>
      </c>
      <c r="AO74" s="143">
        <v>197.49</v>
      </c>
      <c r="AP74" s="143">
        <v>180.39</v>
      </c>
      <c r="AQ74" s="143">
        <v>350.75</v>
      </c>
      <c r="AR74" s="143">
        <v>358.25</v>
      </c>
      <c r="AS74" s="143">
        <v>199.75</v>
      </c>
      <c r="AT74" s="143">
        <v>42.79</v>
      </c>
      <c r="AU74" s="143">
        <v>97.47</v>
      </c>
      <c r="AV74" s="143">
        <v>214.58</v>
      </c>
      <c r="AW74" s="143">
        <v>214.58</v>
      </c>
      <c r="AX74" s="143">
        <v>228.8</v>
      </c>
      <c r="AY74" s="143">
        <v>303</v>
      </c>
      <c r="AZ74" s="143">
        <v>403.71</v>
      </c>
      <c r="BA74" s="143">
        <v>90.800000000000011</v>
      </c>
      <c r="BB74" s="143">
        <v>108.62499999999999</v>
      </c>
      <c r="BC74" s="143">
        <v>248</v>
      </c>
      <c r="BD74" s="143">
        <v>296.85000000000002</v>
      </c>
      <c r="BE74" s="143">
        <v>322.17500000000001</v>
      </c>
      <c r="BF74" s="143">
        <v>177.5</v>
      </c>
      <c r="BG74" s="143">
        <v>216.58</v>
      </c>
      <c r="BH74" s="143">
        <v>363.37</v>
      </c>
      <c r="BI74" s="143">
        <v>334.29</v>
      </c>
      <c r="BJ74" s="14">
        <v>85.74</v>
      </c>
      <c r="BK74" s="143">
        <v>218.17</v>
      </c>
      <c r="BL74" s="143">
        <v>403.55</v>
      </c>
      <c r="BM74" s="143">
        <v>373.8</v>
      </c>
      <c r="BN74" s="143">
        <v>475</v>
      </c>
      <c r="BO74" s="143">
        <v>63.12</v>
      </c>
      <c r="BP74" s="143">
        <v>65.959999999999994</v>
      </c>
      <c r="BQ74" s="143">
        <v>120.81</v>
      </c>
      <c r="BR74" s="143">
        <v>170</v>
      </c>
      <c r="BS74" s="143">
        <v>267.75</v>
      </c>
      <c r="BT74" s="143">
        <v>65.177499999999995</v>
      </c>
      <c r="BU74" s="143">
        <v>116.5</v>
      </c>
      <c r="BV74" s="143">
        <v>307.75</v>
      </c>
      <c r="BW74" s="143">
        <v>218.5</v>
      </c>
      <c r="BX74" s="143">
        <v>295</v>
      </c>
      <c r="BY74" s="143">
        <v>306</v>
      </c>
      <c r="BZ74" s="14">
        <v>378.5</v>
      </c>
      <c r="CA74" s="143">
        <v>228.75</v>
      </c>
      <c r="CB74" s="143">
        <v>280.25</v>
      </c>
      <c r="CC74" s="143">
        <v>194.81</v>
      </c>
      <c r="CD74" s="143">
        <v>259.79000000000002</v>
      </c>
      <c r="CE74" s="143">
        <v>465.91</v>
      </c>
      <c r="CF74" s="143">
        <v>453.75</v>
      </c>
      <c r="CG74" s="143">
        <v>298.10000000000002</v>
      </c>
      <c r="CH74" s="143">
        <v>403.15</v>
      </c>
      <c r="CI74" s="143">
        <v>380</v>
      </c>
      <c r="CJ74" s="143">
        <v>537</v>
      </c>
      <c r="CK74" s="143">
        <v>515</v>
      </c>
      <c r="CL74" s="143">
        <v>575</v>
      </c>
      <c r="CM74" s="143">
        <v>510</v>
      </c>
      <c r="CN74" s="143">
        <v>160.75</v>
      </c>
      <c r="CO74" s="143">
        <v>133.25</v>
      </c>
      <c r="CP74" s="143">
        <v>268.5</v>
      </c>
      <c r="CQ74" s="143">
        <v>80.5</v>
      </c>
      <c r="CR74" s="143">
        <v>222</v>
      </c>
      <c r="CS74" s="143">
        <v>85.98</v>
      </c>
      <c r="CT74" s="143">
        <v>76.649999999999991</v>
      </c>
      <c r="CU74" s="143">
        <v>54.274999999999991</v>
      </c>
      <c r="CV74" s="143">
        <v>65.575000000000003</v>
      </c>
      <c r="CW74" s="14">
        <v>67.010000000000005</v>
      </c>
      <c r="CX74" s="14">
        <v>389.05</v>
      </c>
      <c r="CY74" s="14">
        <v>219.75</v>
      </c>
      <c r="CZ74" s="670">
        <v>178.66</v>
      </c>
      <c r="DA74" s="670">
        <v>262.5</v>
      </c>
      <c r="DB74" s="670">
        <v>279.92</v>
      </c>
      <c r="DC74">
        <v>279.92</v>
      </c>
      <c r="DD74">
        <v>312.5</v>
      </c>
      <c r="DE74">
        <v>336.25</v>
      </c>
      <c r="DF74">
        <v>282.3</v>
      </c>
      <c r="DG74">
        <v>411.16</v>
      </c>
      <c r="DH74">
        <v>445</v>
      </c>
      <c r="DI74">
        <v>441.25</v>
      </c>
      <c r="DJ74">
        <v>375</v>
      </c>
      <c r="DK74">
        <v>504.81</v>
      </c>
      <c r="DL74">
        <v>504.81</v>
      </c>
      <c r="DM74">
        <v>65.83</v>
      </c>
      <c r="DN74">
        <v>124.69999999999999</v>
      </c>
      <c r="DO74">
        <v>453.75</v>
      </c>
      <c r="DP74">
        <v>791.5</v>
      </c>
      <c r="DQ74">
        <v>5.75</v>
      </c>
    </row>
    <row r="75" spans="1:121" x14ac:dyDescent="0.2">
      <c r="A75" s="14">
        <v>6</v>
      </c>
      <c r="B75" s="684">
        <f t="shared" si="1"/>
        <v>9.7452337993616411E-2</v>
      </c>
      <c r="C75" s="684">
        <f t="shared" si="8"/>
        <v>9.7452337993616411E-2</v>
      </c>
      <c r="D75" s="684">
        <f t="shared" si="9"/>
        <v>2.4363084498404103E-2</v>
      </c>
      <c r="E75" s="684">
        <f t="shared" si="2"/>
        <v>53.487999462441877</v>
      </c>
      <c r="F75" s="684">
        <f t="shared" si="3"/>
        <v>36.151908225712027</v>
      </c>
      <c r="G75" s="684">
        <f t="shared" si="10"/>
        <v>36.151908225712013</v>
      </c>
      <c r="H75" s="684">
        <f t="shared" si="11"/>
        <v>9.0379770564280033</v>
      </c>
      <c r="I75" s="1052">
        <f>HLOOKUP('Input &amp; Summary'!$B$6,TurbineProfiles,ROW(I75)-49,0)</f>
        <v>370.97014776679998</v>
      </c>
      <c r="J75" s="684">
        <f t="shared" si="4"/>
        <v>435.31710420768025</v>
      </c>
      <c r="K75" s="9">
        <f t="shared" si="5"/>
        <v>0.85218371660815384</v>
      </c>
      <c r="L75" s="14">
        <f t="shared" si="6"/>
        <v>435.31710420768025</v>
      </c>
      <c r="M75" s="684">
        <f t="shared" si="7"/>
        <v>0</v>
      </c>
      <c r="N75" s="684">
        <f t="shared" si="12"/>
        <v>2117.4921141893815</v>
      </c>
      <c r="O75" s="684">
        <f t="shared" si="13"/>
        <v>0.3723777911176438</v>
      </c>
      <c r="P75" s="684">
        <f t="shared" si="14"/>
        <v>9.0379770564280033</v>
      </c>
      <c r="Q75" s="684">
        <f t="shared" si="18"/>
        <v>2.4314685857368457E-2</v>
      </c>
      <c r="R75" s="684">
        <f t="shared" si="19"/>
        <v>2.4359688688361636E-2</v>
      </c>
      <c r="S75" s="684">
        <f t="shared" si="15"/>
        <v>9.0367173122747619</v>
      </c>
      <c r="T75" s="684">
        <f t="shared" si="16"/>
        <v>9.0200226054112989</v>
      </c>
      <c r="U75" s="14">
        <f t="shared" si="17"/>
        <v>370.97014776679998</v>
      </c>
      <c r="V75" s="982">
        <v>210.00000000000003</v>
      </c>
      <c r="W75" s="982">
        <v>490.00000000000006</v>
      </c>
      <c r="X75" s="982">
        <v>700.00000000000011</v>
      </c>
      <c r="Y75" s="982">
        <v>260.99999999999994</v>
      </c>
      <c r="Z75" s="982">
        <v>608.99999999999989</v>
      </c>
      <c r="AA75" s="982">
        <v>869.99999999999977</v>
      </c>
      <c r="AB75" s="982">
        <v>283.5</v>
      </c>
      <c r="AC75" s="982">
        <v>661.49999999999989</v>
      </c>
      <c r="AD75" s="982">
        <v>944.99999999999989</v>
      </c>
      <c r="AE75" s="143">
        <v>193</v>
      </c>
      <c r="AF75" s="143">
        <v>232</v>
      </c>
      <c r="AG75" s="143">
        <v>128</v>
      </c>
      <c r="AH75" s="143">
        <v>124</v>
      </c>
      <c r="AI75" s="996">
        <v>133</v>
      </c>
      <c r="AJ75" s="143">
        <v>530</v>
      </c>
      <c r="AK75" s="143">
        <v>172</v>
      </c>
      <c r="AL75" s="143">
        <v>289.02</v>
      </c>
      <c r="AM75" s="143">
        <v>264.89999999999998</v>
      </c>
      <c r="AN75" s="143">
        <v>255.26</v>
      </c>
      <c r="AO75" s="143">
        <v>231.14</v>
      </c>
      <c r="AP75" s="143">
        <v>215.77</v>
      </c>
      <c r="AQ75" s="143">
        <v>390</v>
      </c>
      <c r="AR75" s="143">
        <v>400</v>
      </c>
      <c r="AS75" s="143">
        <v>233</v>
      </c>
      <c r="AT75" s="143">
        <v>55.38</v>
      </c>
      <c r="AU75" s="143">
        <v>116.11</v>
      </c>
      <c r="AV75" s="143">
        <v>241</v>
      </c>
      <c r="AW75" s="143">
        <v>241</v>
      </c>
      <c r="AX75" s="143">
        <v>265.89999999999998</v>
      </c>
      <c r="AY75" s="143">
        <v>361.31</v>
      </c>
      <c r="AZ75" s="143">
        <v>472.6</v>
      </c>
      <c r="BA75" s="143">
        <v>104.5</v>
      </c>
      <c r="BB75" s="143">
        <v>123.1</v>
      </c>
      <c r="BC75" s="143">
        <v>280</v>
      </c>
      <c r="BD75" s="143">
        <v>335.4</v>
      </c>
      <c r="BE75" s="143">
        <v>363.8</v>
      </c>
      <c r="BF75" s="143">
        <v>205</v>
      </c>
      <c r="BG75" s="143">
        <v>250.78</v>
      </c>
      <c r="BH75" s="143">
        <v>409.81</v>
      </c>
      <c r="BI75" s="143">
        <v>391.43</v>
      </c>
      <c r="BJ75" s="996">
        <v>104.34</v>
      </c>
      <c r="BK75" s="143">
        <v>246.12</v>
      </c>
      <c r="BL75" s="143">
        <v>463.06</v>
      </c>
      <c r="BM75" s="143">
        <v>432.28</v>
      </c>
      <c r="BN75" s="143">
        <v>540</v>
      </c>
      <c r="BO75" s="143">
        <v>74.66</v>
      </c>
      <c r="BP75" s="143">
        <v>80.39</v>
      </c>
      <c r="BQ75" s="143">
        <v>136.91999999999999</v>
      </c>
      <c r="BR75" s="143">
        <v>202</v>
      </c>
      <c r="BS75" s="143">
        <v>309</v>
      </c>
      <c r="BT75" s="143">
        <v>72.02</v>
      </c>
      <c r="BU75" s="143">
        <v>131</v>
      </c>
      <c r="BV75" s="143">
        <v>352</v>
      </c>
      <c r="BW75" s="143">
        <v>251</v>
      </c>
      <c r="BX75" s="143">
        <v>341</v>
      </c>
      <c r="BY75" s="143">
        <v>352</v>
      </c>
      <c r="BZ75" s="996">
        <v>431</v>
      </c>
      <c r="CA75" s="143">
        <v>258</v>
      </c>
      <c r="CB75" s="143">
        <v>316</v>
      </c>
      <c r="CC75" s="143">
        <v>225.07</v>
      </c>
      <c r="CD75" s="143">
        <v>305.58</v>
      </c>
      <c r="CE75" s="143">
        <v>541.66999999999996</v>
      </c>
      <c r="CF75" s="143">
        <v>530</v>
      </c>
      <c r="CG75" s="143">
        <v>355.89</v>
      </c>
      <c r="CH75" s="143">
        <v>463.48</v>
      </c>
      <c r="CI75" s="143">
        <v>440</v>
      </c>
      <c r="CJ75" s="143">
        <v>626</v>
      </c>
      <c r="CK75" s="143">
        <v>613.33333333333326</v>
      </c>
      <c r="CL75" s="143">
        <v>666.66666666666674</v>
      </c>
      <c r="CM75" s="143">
        <v>580</v>
      </c>
      <c r="CN75" s="143">
        <v>181</v>
      </c>
      <c r="CO75" s="143">
        <v>148</v>
      </c>
      <c r="CP75" s="143">
        <v>312</v>
      </c>
      <c r="CQ75" s="143">
        <v>96</v>
      </c>
      <c r="CR75" s="143">
        <v>263</v>
      </c>
      <c r="CS75" s="143">
        <v>100.6</v>
      </c>
      <c r="CT75" s="143">
        <v>86.2</v>
      </c>
      <c r="CU75" s="143">
        <v>65.2</v>
      </c>
      <c r="CV75" s="143">
        <v>77.3</v>
      </c>
      <c r="CW75" s="14">
        <v>82.34</v>
      </c>
      <c r="CX75" s="14">
        <v>451.29</v>
      </c>
      <c r="CY75" s="14">
        <v>260</v>
      </c>
      <c r="CZ75" s="670">
        <v>223.26</v>
      </c>
      <c r="DA75" s="670">
        <v>300</v>
      </c>
      <c r="DB75" s="670">
        <v>335.2</v>
      </c>
      <c r="DC75">
        <v>329.71</v>
      </c>
      <c r="DD75">
        <v>350</v>
      </c>
      <c r="DE75">
        <v>375</v>
      </c>
      <c r="DF75">
        <v>317.48</v>
      </c>
      <c r="DG75">
        <v>469.53</v>
      </c>
      <c r="DH75">
        <v>500</v>
      </c>
      <c r="DI75">
        <v>505</v>
      </c>
      <c r="DJ75">
        <v>420</v>
      </c>
      <c r="DK75">
        <v>568.27</v>
      </c>
      <c r="DL75">
        <v>568.27</v>
      </c>
      <c r="DM75">
        <v>81.180000000000007</v>
      </c>
      <c r="DN75">
        <v>144</v>
      </c>
      <c r="DO75">
        <v>540</v>
      </c>
      <c r="DP75">
        <v>900</v>
      </c>
      <c r="DQ75">
        <v>6</v>
      </c>
    </row>
    <row r="76" spans="1:121" x14ac:dyDescent="0.2">
      <c r="A76" s="14">
        <v>6.25</v>
      </c>
      <c r="B76" s="684">
        <f t="shared" si="1"/>
        <v>9.756888383474939E-2</v>
      </c>
      <c r="C76" s="684">
        <f t="shared" si="8"/>
        <v>9.756888383474939E-2</v>
      </c>
      <c r="D76" s="684">
        <f t="shared" si="9"/>
        <v>2.4392220958687347E-2</v>
      </c>
      <c r="E76" s="684">
        <f t="shared" si="2"/>
        <v>60.528753416413487</v>
      </c>
      <c r="F76" s="684">
        <f t="shared" si="3"/>
        <v>41.257735188410699</v>
      </c>
      <c r="G76" s="684">
        <f t="shared" si="10"/>
        <v>41.257735188410692</v>
      </c>
      <c r="H76" s="684">
        <f t="shared" si="11"/>
        <v>10.314433797102673</v>
      </c>
      <c r="I76" s="1052">
        <f>HLOOKUP('Input &amp; Summary'!$B$6,TurbineProfiles,ROW(I76)-49,0)</f>
        <v>422.85750914490478</v>
      </c>
      <c r="J76" s="684">
        <f t="shared" si="4"/>
        <v>492.03050877061662</v>
      </c>
      <c r="K76" s="9">
        <f t="shared" si="5"/>
        <v>0.85941319005086303</v>
      </c>
      <c r="L76" s="14">
        <f t="shared" si="6"/>
        <v>492.03050877061662</v>
      </c>
      <c r="M76" s="684">
        <f t="shared" si="7"/>
        <v>0</v>
      </c>
      <c r="N76" s="684">
        <f t="shared" si="12"/>
        <v>2117.4921141893815</v>
      </c>
      <c r="O76" s="684">
        <f t="shared" si="13"/>
        <v>0.39676211299537845</v>
      </c>
      <c r="P76" s="684">
        <f t="shared" si="14"/>
        <v>10.314433797102673</v>
      </c>
      <c r="Q76" s="684">
        <f t="shared" si="18"/>
        <v>2.4384321877734649E-2</v>
      </c>
      <c r="R76" s="684">
        <f t="shared" si="19"/>
        <v>2.438895134744995E-2</v>
      </c>
      <c r="S76" s="684">
        <f t="shared" si="15"/>
        <v>10.313051217438955</v>
      </c>
      <c r="T76" s="684">
        <f t="shared" si="16"/>
        <v>10.311093611406481</v>
      </c>
      <c r="U76" s="14">
        <f t="shared" si="17"/>
        <v>422.85750914490478</v>
      </c>
      <c r="V76" s="982">
        <v>246.375</v>
      </c>
      <c r="W76" s="982">
        <v>574.875</v>
      </c>
      <c r="X76" s="982">
        <v>821.25</v>
      </c>
      <c r="Y76" s="982">
        <v>303.37499999999994</v>
      </c>
      <c r="Z76" s="982">
        <v>707.87499999999977</v>
      </c>
      <c r="AA76" s="982">
        <v>1011.2499999999998</v>
      </c>
      <c r="AB76" s="982">
        <v>329.24999999999994</v>
      </c>
      <c r="AC76" s="982">
        <v>768.24999999999989</v>
      </c>
      <c r="AD76" s="982">
        <v>1097.5</v>
      </c>
      <c r="AE76" s="143">
        <v>227</v>
      </c>
      <c r="AF76" s="143">
        <v>272.75</v>
      </c>
      <c r="AG76" s="143">
        <v>146.5</v>
      </c>
      <c r="AH76" s="143">
        <v>142.75</v>
      </c>
      <c r="AI76" s="14">
        <v>153</v>
      </c>
      <c r="AJ76" s="143">
        <v>632.5</v>
      </c>
      <c r="AK76" s="143">
        <v>200.5</v>
      </c>
      <c r="AL76" s="143">
        <v>327.5</v>
      </c>
      <c r="AM76" s="143">
        <v>308.20999999999998</v>
      </c>
      <c r="AN76" s="143">
        <v>298.56</v>
      </c>
      <c r="AO76" s="143">
        <v>264.79000000000002</v>
      </c>
      <c r="AP76" s="143">
        <v>255.09</v>
      </c>
      <c r="AQ76" s="143">
        <v>460.25</v>
      </c>
      <c r="AR76" s="143">
        <v>452.5</v>
      </c>
      <c r="AS76" s="143">
        <v>299.75</v>
      </c>
      <c r="AT76" s="143">
        <v>66.16</v>
      </c>
      <c r="AU76" s="143">
        <v>128.71</v>
      </c>
      <c r="AV76" s="143">
        <v>277.99</v>
      </c>
      <c r="AW76" s="143">
        <v>277.99</v>
      </c>
      <c r="AX76" s="143">
        <v>313.60000000000002</v>
      </c>
      <c r="AY76" s="143">
        <v>403.71</v>
      </c>
      <c r="AZ76" s="143">
        <v>530.91999999999996</v>
      </c>
      <c r="BA76" s="143">
        <v>125.72499999999999</v>
      </c>
      <c r="BB76" s="143">
        <v>143.07499999999999</v>
      </c>
      <c r="BC76" s="143">
        <v>324.25</v>
      </c>
      <c r="BD76" s="143">
        <v>389</v>
      </c>
      <c r="BE76" s="143">
        <v>421.57499999999999</v>
      </c>
      <c r="BF76" s="143">
        <v>237</v>
      </c>
      <c r="BG76" s="143">
        <v>292.32</v>
      </c>
      <c r="BH76" s="143">
        <v>463.58</v>
      </c>
      <c r="BI76" s="143">
        <v>454.29</v>
      </c>
      <c r="BJ76" s="14">
        <v>127.07</v>
      </c>
      <c r="BK76" s="143">
        <v>275.62</v>
      </c>
      <c r="BL76" s="143">
        <v>512.53</v>
      </c>
      <c r="BM76" s="143">
        <v>500.48</v>
      </c>
      <c r="BN76" s="143">
        <v>622.5</v>
      </c>
      <c r="BO76" s="143">
        <v>90.02</v>
      </c>
      <c r="BP76" s="143">
        <v>97.7</v>
      </c>
      <c r="BQ76" s="143">
        <v>155.03</v>
      </c>
      <c r="BR76" s="143">
        <v>240.5</v>
      </c>
      <c r="BS76" s="143">
        <v>359.5</v>
      </c>
      <c r="BT76" s="143">
        <v>84.942499999999995</v>
      </c>
      <c r="BU76" s="143">
        <v>158.5</v>
      </c>
      <c r="BV76" s="143">
        <v>409</v>
      </c>
      <c r="BW76" s="143">
        <v>296.5</v>
      </c>
      <c r="BX76" s="143">
        <v>394.5</v>
      </c>
      <c r="BY76" s="143">
        <v>407</v>
      </c>
      <c r="BZ76" s="14">
        <v>503.25</v>
      </c>
      <c r="CA76" s="143">
        <v>299</v>
      </c>
      <c r="CB76" s="143">
        <v>366</v>
      </c>
      <c r="CC76" s="143">
        <v>265.37</v>
      </c>
      <c r="CD76" s="143">
        <v>351.31</v>
      </c>
      <c r="CE76" s="143">
        <v>602.27</v>
      </c>
      <c r="CF76" s="143">
        <v>632.5</v>
      </c>
      <c r="CG76" s="143">
        <v>418.06</v>
      </c>
      <c r="CH76" s="143">
        <v>544</v>
      </c>
      <c r="CI76" s="143">
        <v>500</v>
      </c>
      <c r="CJ76" s="143">
        <v>715</v>
      </c>
      <c r="CK76" s="143">
        <v>711.66666666666674</v>
      </c>
      <c r="CL76" s="143">
        <v>758.33333333333326</v>
      </c>
      <c r="CM76" s="143">
        <v>650</v>
      </c>
      <c r="CN76" s="143">
        <v>207.5</v>
      </c>
      <c r="CO76" s="143">
        <v>179.75</v>
      </c>
      <c r="CP76" s="143">
        <v>370.5</v>
      </c>
      <c r="CQ76" s="143">
        <v>115.25</v>
      </c>
      <c r="CR76" s="143">
        <v>313.75</v>
      </c>
      <c r="CS76" s="143">
        <v>111.58</v>
      </c>
      <c r="CT76" s="143">
        <v>99.174999999999997</v>
      </c>
      <c r="CU76" s="143">
        <v>78.900000000000006</v>
      </c>
      <c r="CV76" s="143">
        <v>91.724999999999994</v>
      </c>
      <c r="CW76" s="14">
        <v>94</v>
      </c>
      <c r="CX76" s="14">
        <v>505.76</v>
      </c>
      <c r="CY76" s="14">
        <v>311.25</v>
      </c>
      <c r="CZ76" s="670">
        <v>264.42</v>
      </c>
      <c r="DA76" s="670">
        <v>337.5</v>
      </c>
      <c r="DB76" s="670">
        <v>368.5</v>
      </c>
      <c r="DC76">
        <v>379.49</v>
      </c>
      <c r="DD76">
        <v>409.375</v>
      </c>
      <c r="DE76">
        <v>433.75</v>
      </c>
      <c r="DF76">
        <v>370.05</v>
      </c>
      <c r="DG76">
        <v>527.9</v>
      </c>
      <c r="DH76">
        <v>575</v>
      </c>
      <c r="DI76">
        <v>568.75</v>
      </c>
      <c r="DJ76">
        <v>506.875</v>
      </c>
      <c r="DK76">
        <v>643.27</v>
      </c>
      <c r="DL76">
        <v>643.27</v>
      </c>
      <c r="DM76">
        <v>96.54</v>
      </c>
      <c r="DN76">
        <v>170.35</v>
      </c>
      <c r="DO76">
        <v>641.25</v>
      </c>
      <c r="DP76">
        <v>1066.5</v>
      </c>
      <c r="DQ76">
        <v>6.25</v>
      </c>
    </row>
    <row r="77" spans="1:121" x14ac:dyDescent="0.2">
      <c r="A77" s="14">
        <v>6.5</v>
      </c>
      <c r="B77" s="684">
        <f t="shared" si="1"/>
        <v>9.7371653881997033E-2</v>
      </c>
      <c r="C77" s="684">
        <f t="shared" si="8"/>
        <v>9.737165388199702E-2</v>
      </c>
      <c r="D77" s="684">
        <f t="shared" si="9"/>
        <v>2.4342913470499255E-2</v>
      </c>
      <c r="E77" s="684">
        <f t="shared" si="2"/>
        <v>67.948982459513331</v>
      </c>
      <c r="F77" s="684">
        <f t="shared" si="3"/>
        <v>46.647489288636685</v>
      </c>
      <c r="G77" s="684">
        <f t="shared" si="10"/>
        <v>46.647489288636692</v>
      </c>
      <c r="H77" s="684">
        <f t="shared" si="11"/>
        <v>11.661872322159173</v>
      </c>
      <c r="I77" s="1052">
        <f>HLOOKUP('Input &amp; Summary'!$B$6,TurbineProfiles,ROW(I77)-49,0)</f>
        <v>479.06641644567276</v>
      </c>
      <c r="J77" s="684">
        <f t="shared" si="4"/>
        <v>553.4674062177512</v>
      </c>
      <c r="K77" s="9">
        <f t="shared" si="5"/>
        <v>0.8655729516566929</v>
      </c>
      <c r="L77" s="14">
        <f t="shared" si="6"/>
        <v>553.4674062177512</v>
      </c>
      <c r="M77" s="684">
        <f t="shared" si="7"/>
        <v>0</v>
      </c>
      <c r="N77" s="684">
        <f t="shared" si="12"/>
        <v>2117.4921141893815</v>
      </c>
      <c r="O77" s="684">
        <f t="shared" si="13"/>
        <v>0.42113608086083876</v>
      </c>
      <c r="P77" s="684">
        <f t="shared" si="14"/>
        <v>11.661872322159173</v>
      </c>
      <c r="Q77" s="684">
        <f t="shared" si="18"/>
        <v>2.4373967865460311E-2</v>
      </c>
      <c r="R77" s="684">
        <f t="shared" si="19"/>
        <v>2.4339785771653966E-2</v>
      </c>
      <c r="S77" s="684">
        <f t="shared" si="15"/>
        <v>11.66037394668164</v>
      </c>
      <c r="T77" s="684">
        <f t="shared" si="16"/>
        <v>11.676749439868054</v>
      </c>
      <c r="U77" s="14">
        <f t="shared" si="17"/>
        <v>479.06641644567276</v>
      </c>
      <c r="V77" s="982">
        <v>282.75</v>
      </c>
      <c r="W77" s="982">
        <v>659.75000000000011</v>
      </c>
      <c r="X77" s="982">
        <v>942.5</v>
      </c>
      <c r="Y77" s="982">
        <v>345.74999999999994</v>
      </c>
      <c r="Z77" s="982">
        <v>806.74999999999989</v>
      </c>
      <c r="AA77" s="982">
        <v>1152.4999999999998</v>
      </c>
      <c r="AB77" s="982">
        <v>374.99999999999994</v>
      </c>
      <c r="AC77" s="982">
        <v>874.99999999999989</v>
      </c>
      <c r="AD77" s="982">
        <v>1249.9999999999998</v>
      </c>
      <c r="AE77" s="143">
        <v>261</v>
      </c>
      <c r="AF77" s="143">
        <v>313.5</v>
      </c>
      <c r="AG77" s="143">
        <v>165</v>
      </c>
      <c r="AH77" s="143">
        <v>156.8125</v>
      </c>
      <c r="AI77" s="14">
        <v>168</v>
      </c>
      <c r="AJ77" s="143">
        <v>735</v>
      </c>
      <c r="AK77" s="143">
        <v>221.875</v>
      </c>
      <c r="AL77" s="143">
        <v>390.08</v>
      </c>
      <c r="AM77" s="143">
        <v>365.97</v>
      </c>
      <c r="AN77" s="143">
        <v>356.32</v>
      </c>
      <c r="AO77" s="143">
        <v>312.92</v>
      </c>
      <c r="AP77" s="143">
        <v>298.32</v>
      </c>
      <c r="AQ77" s="143">
        <v>530.5</v>
      </c>
      <c r="AR77" s="143">
        <v>505</v>
      </c>
      <c r="AS77" s="143">
        <v>366.5</v>
      </c>
      <c r="AT77" s="143">
        <v>82.35</v>
      </c>
      <c r="AU77" s="143">
        <v>147.34</v>
      </c>
      <c r="AV77" s="143">
        <v>312.33999999999997</v>
      </c>
      <c r="AW77" s="143">
        <v>309.7</v>
      </c>
      <c r="AX77" s="143">
        <v>350.71</v>
      </c>
      <c r="AY77" s="143">
        <v>462.01</v>
      </c>
      <c r="AZ77" s="143">
        <v>594.52</v>
      </c>
      <c r="BA77" s="143">
        <v>146.94999999999999</v>
      </c>
      <c r="BB77" s="143">
        <v>163.04999999999998</v>
      </c>
      <c r="BC77" s="143">
        <v>368.5</v>
      </c>
      <c r="BD77" s="143">
        <v>442.6</v>
      </c>
      <c r="BE77" s="143">
        <v>479.34999999999997</v>
      </c>
      <c r="BF77" s="143">
        <v>269</v>
      </c>
      <c r="BG77" s="143">
        <v>333.85</v>
      </c>
      <c r="BH77" s="143">
        <v>522.24</v>
      </c>
      <c r="BI77" s="143">
        <v>511.43</v>
      </c>
      <c r="BJ77" s="14">
        <v>145.66</v>
      </c>
      <c r="BK77" s="143">
        <v>305.12</v>
      </c>
      <c r="BL77" s="143">
        <v>601.45000000000005</v>
      </c>
      <c r="BM77" s="143">
        <v>549.17999999999995</v>
      </c>
      <c r="BN77" s="143">
        <v>705</v>
      </c>
      <c r="BO77" s="143">
        <v>105.38</v>
      </c>
      <c r="BP77" s="143">
        <v>115</v>
      </c>
      <c r="BQ77" s="143">
        <v>173.15</v>
      </c>
      <c r="BR77" s="143">
        <v>279</v>
      </c>
      <c r="BS77" s="143">
        <v>410</v>
      </c>
      <c r="BT77" s="143">
        <v>97.864999999999995</v>
      </c>
      <c r="BU77" s="143">
        <v>186</v>
      </c>
      <c r="BV77" s="143">
        <v>466</v>
      </c>
      <c r="BW77" s="143">
        <v>342</v>
      </c>
      <c r="BX77" s="143">
        <v>448</v>
      </c>
      <c r="BY77" s="143">
        <v>462</v>
      </c>
      <c r="BZ77" s="14">
        <v>575.5</v>
      </c>
      <c r="CA77" s="143">
        <v>340</v>
      </c>
      <c r="CB77" s="143">
        <v>416</v>
      </c>
      <c r="CC77" s="143">
        <v>305.68</v>
      </c>
      <c r="CD77" s="143">
        <v>386.99</v>
      </c>
      <c r="CE77" s="143">
        <v>678.03</v>
      </c>
      <c r="CF77" s="143">
        <v>735</v>
      </c>
      <c r="CG77" s="143">
        <v>475.85</v>
      </c>
      <c r="CH77" s="143">
        <v>614.54</v>
      </c>
      <c r="CI77" s="143">
        <v>560</v>
      </c>
      <c r="CJ77" s="143">
        <v>804</v>
      </c>
      <c r="CK77" s="143">
        <v>810</v>
      </c>
      <c r="CL77" s="143">
        <v>850</v>
      </c>
      <c r="CM77" s="143">
        <v>720</v>
      </c>
      <c r="CN77" s="143">
        <v>234</v>
      </c>
      <c r="CO77" s="143">
        <v>211.5</v>
      </c>
      <c r="CP77" s="143">
        <v>429</v>
      </c>
      <c r="CQ77" s="143">
        <v>134.5</v>
      </c>
      <c r="CR77" s="143">
        <v>364.5</v>
      </c>
      <c r="CS77" s="143">
        <v>137.19999999999999</v>
      </c>
      <c r="CT77" s="143">
        <v>112.14999999999999</v>
      </c>
      <c r="CU77" s="143">
        <v>92.600000000000009</v>
      </c>
      <c r="CV77" s="143">
        <v>106.14999999999999</v>
      </c>
      <c r="CW77" s="14">
        <v>106.94</v>
      </c>
      <c r="CX77" s="14">
        <v>567.99</v>
      </c>
      <c r="CY77" s="14">
        <v>362.5</v>
      </c>
      <c r="CZ77" s="670">
        <v>309.02999999999997</v>
      </c>
      <c r="DA77" s="670">
        <v>375</v>
      </c>
      <c r="DB77" s="670">
        <v>423.78</v>
      </c>
      <c r="DC77">
        <v>429.28</v>
      </c>
      <c r="DD77">
        <v>468.75</v>
      </c>
      <c r="DE77">
        <v>492.5</v>
      </c>
      <c r="DF77">
        <v>422.54</v>
      </c>
      <c r="DG77">
        <v>600</v>
      </c>
      <c r="DH77">
        <v>650</v>
      </c>
      <c r="DI77">
        <v>632.5</v>
      </c>
      <c r="DJ77">
        <v>593.75</v>
      </c>
      <c r="DK77">
        <v>729.81</v>
      </c>
      <c r="DL77">
        <v>729.81</v>
      </c>
      <c r="DM77">
        <v>105.83</v>
      </c>
      <c r="DN77">
        <v>196.7</v>
      </c>
      <c r="DO77">
        <v>742.5</v>
      </c>
      <c r="DP77">
        <v>1233</v>
      </c>
      <c r="DQ77">
        <v>6.5</v>
      </c>
    </row>
    <row r="78" spans="1:121" x14ac:dyDescent="0.2">
      <c r="A78" s="14">
        <v>6.75</v>
      </c>
      <c r="B78" s="684">
        <f t="shared" si="1"/>
        <v>9.6874259763115103E-2</v>
      </c>
      <c r="C78" s="684">
        <f t="shared" si="8"/>
        <v>9.6874259763115103E-2</v>
      </c>
      <c r="D78" s="684">
        <f t="shared" si="9"/>
        <v>2.4218564940778776E-2</v>
      </c>
      <c r="E78" s="684">
        <f t="shared" si="2"/>
        <v>75.705957464975455</v>
      </c>
      <c r="F78" s="684">
        <f t="shared" si="3"/>
        <v>52.289793182180077</v>
      </c>
      <c r="G78" s="684">
        <f t="shared" si="10"/>
        <v>52.28979318218007</v>
      </c>
      <c r="H78" s="684">
        <f t="shared" si="11"/>
        <v>13.072448295545017</v>
      </c>
      <c r="I78" s="1052">
        <f>HLOOKUP('Input &amp; Summary'!$B$6,TurbineProfiles,ROW(I78)-49,0)</f>
        <v>539.76973150600963</v>
      </c>
      <c r="J78" s="684">
        <f t="shared" si="4"/>
        <v>619.81673626445115</v>
      </c>
      <c r="K78" s="9">
        <f t="shared" si="5"/>
        <v>0.87085375390010655</v>
      </c>
      <c r="L78" s="14">
        <f t="shared" si="6"/>
        <v>619.81673626445115</v>
      </c>
      <c r="M78" s="684">
        <f t="shared" si="7"/>
        <v>0</v>
      </c>
      <c r="N78" s="684">
        <f t="shared" si="12"/>
        <v>2117.4921141893815</v>
      </c>
      <c r="O78" s="684">
        <f t="shared" si="13"/>
        <v>0.44542292253354615</v>
      </c>
      <c r="P78" s="684">
        <f t="shared" si="14"/>
        <v>13.072448295545017</v>
      </c>
      <c r="Q78" s="684">
        <f t="shared" si="18"/>
        <v>2.4286841672707393E-2</v>
      </c>
      <c r="R78" s="684">
        <f t="shared" si="19"/>
        <v>2.4215593110129607E-2</v>
      </c>
      <c r="S78" s="684">
        <f t="shared" si="15"/>
        <v>13.070844191313435</v>
      </c>
      <c r="T78" s="684">
        <f t="shared" si="16"/>
        <v>13.109302008806235</v>
      </c>
      <c r="U78" s="14">
        <f t="shared" si="17"/>
        <v>539.76973150600963</v>
      </c>
      <c r="V78" s="982">
        <v>319.125</v>
      </c>
      <c r="W78" s="982">
        <v>744.625</v>
      </c>
      <c r="X78" s="982">
        <v>1063.75</v>
      </c>
      <c r="Y78" s="982">
        <v>388.12499999999994</v>
      </c>
      <c r="Z78" s="982">
        <v>905.62499999999989</v>
      </c>
      <c r="AA78" s="982">
        <v>1293.75</v>
      </c>
      <c r="AB78" s="982">
        <v>420.74999999999994</v>
      </c>
      <c r="AC78" s="982">
        <v>981.74999999999989</v>
      </c>
      <c r="AD78" s="982">
        <v>1402.4999999999998</v>
      </c>
      <c r="AE78" s="143">
        <v>295</v>
      </c>
      <c r="AF78" s="143">
        <v>354.25</v>
      </c>
      <c r="AG78" s="143">
        <v>183.5</v>
      </c>
      <c r="AH78" s="143">
        <v>170.875</v>
      </c>
      <c r="AI78" s="14">
        <v>183</v>
      </c>
      <c r="AJ78" s="143">
        <v>837.5</v>
      </c>
      <c r="AK78" s="143">
        <v>243.25</v>
      </c>
      <c r="AL78" s="143">
        <v>452.68</v>
      </c>
      <c r="AM78" s="143">
        <v>418.92</v>
      </c>
      <c r="AN78" s="143">
        <v>394.8</v>
      </c>
      <c r="AO78" s="143">
        <v>365.87</v>
      </c>
      <c r="AP78" s="143">
        <v>353.33</v>
      </c>
      <c r="AQ78" s="143">
        <v>600.75</v>
      </c>
      <c r="AR78" s="143">
        <v>557.5</v>
      </c>
      <c r="AS78" s="143">
        <v>433.25</v>
      </c>
      <c r="AT78" s="143">
        <v>94.94</v>
      </c>
      <c r="AU78" s="143">
        <v>171.77</v>
      </c>
      <c r="AV78" s="143">
        <v>336.11</v>
      </c>
      <c r="AW78" s="143">
        <v>336.11</v>
      </c>
      <c r="AX78" s="143">
        <v>398.41</v>
      </c>
      <c r="AY78" s="143">
        <v>509.72</v>
      </c>
      <c r="AZ78" s="143">
        <v>668.73</v>
      </c>
      <c r="BA78" s="143">
        <v>168.17499999999998</v>
      </c>
      <c r="BB78" s="143">
        <v>183.02499999999998</v>
      </c>
      <c r="BC78" s="143">
        <v>412.75</v>
      </c>
      <c r="BD78" s="143">
        <v>496.20000000000005</v>
      </c>
      <c r="BE78" s="143">
        <v>537.125</v>
      </c>
      <c r="BF78" s="143">
        <v>306.5</v>
      </c>
      <c r="BG78" s="143">
        <v>375.4</v>
      </c>
      <c r="BH78" s="143">
        <v>588.24</v>
      </c>
      <c r="BI78" s="143">
        <v>602.85</v>
      </c>
      <c r="BJ78" s="14">
        <v>174.58</v>
      </c>
      <c r="BK78" s="143">
        <v>334.63</v>
      </c>
      <c r="BL78" s="143">
        <v>680.56</v>
      </c>
      <c r="BM78" s="143">
        <v>636.79</v>
      </c>
      <c r="BN78" s="143">
        <v>787.5</v>
      </c>
      <c r="BO78" s="143">
        <v>120.73</v>
      </c>
      <c r="BP78" s="143">
        <v>135.16999999999999</v>
      </c>
      <c r="BQ78" s="143">
        <v>193.27</v>
      </c>
      <c r="BR78" s="143">
        <v>317.5</v>
      </c>
      <c r="BS78" s="143">
        <v>460.5</v>
      </c>
      <c r="BT78" s="143">
        <v>110.78749999999999</v>
      </c>
      <c r="BU78" s="143">
        <v>213.5</v>
      </c>
      <c r="BV78" s="143">
        <v>523</v>
      </c>
      <c r="BW78" s="143">
        <v>387.5</v>
      </c>
      <c r="BX78" s="143">
        <v>510</v>
      </c>
      <c r="BY78" s="143">
        <v>521</v>
      </c>
      <c r="BZ78" s="14">
        <v>647.75</v>
      </c>
      <c r="CA78" s="143">
        <v>381</v>
      </c>
      <c r="CB78" s="143">
        <v>466</v>
      </c>
      <c r="CC78" s="143">
        <v>345.98</v>
      </c>
      <c r="CD78" s="143">
        <v>437.73</v>
      </c>
      <c r="CE78" s="143">
        <v>761.35</v>
      </c>
      <c r="CF78" s="143">
        <v>837.5</v>
      </c>
      <c r="CG78" s="143">
        <v>533.47</v>
      </c>
      <c r="CH78" s="143">
        <v>705.26</v>
      </c>
      <c r="CI78" s="143">
        <v>620</v>
      </c>
      <c r="CJ78" s="143">
        <v>893</v>
      </c>
      <c r="CK78" s="143">
        <v>908.33333333333337</v>
      </c>
      <c r="CL78" s="143">
        <v>941.66666666666663</v>
      </c>
      <c r="CM78" s="143">
        <v>790</v>
      </c>
      <c r="CN78" s="143">
        <v>260.5</v>
      </c>
      <c r="CO78" s="143">
        <v>243.25</v>
      </c>
      <c r="CP78" s="143">
        <v>487.5</v>
      </c>
      <c r="CQ78" s="143">
        <v>153.75</v>
      </c>
      <c r="CR78" s="143">
        <v>415.25</v>
      </c>
      <c r="CS78" s="143">
        <v>155.49</v>
      </c>
      <c r="CT78" s="143">
        <v>125.12499999999999</v>
      </c>
      <c r="CU78" s="143">
        <v>106.30000000000001</v>
      </c>
      <c r="CV78" s="143">
        <v>120.57499999999999</v>
      </c>
      <c r="CW78" s="14">
        <v>122.27</v>
      </c>
      <c r="CX78" s="14">
        <v>618.55999999999995</v>
      </c>
      <c r="CY78" s="14">
        <v>413.75</v>
      </c>
      <c r="CZ78" s="670">
        <v>360.5</v>
      </c>
      <c r="DA78" s="670">
        <v>412.5</v>
      </c>
      <c r="DB78" s="670">
        <v>490.05</v>
      </c>
      <c r="DC78">
        <v>490.05</v>
      </c>
      <c r="DD78">
        <v>528.125</v>
      </c>
      <c r="DE78">
        <v>551.25</v>
      </c>
      <c r="DF78">
        <v>469.26</v>
      </c>
      <c r="DG78">
        <v>665.24</v>
      </c>
      <c r="DH78">
        <v>725</v>
      </c>
      <c r="DI78">
        <v>696.25</v>
      </c>
      <c r="DJ78">
        <v>680.625</v>
      </c>
      <c r="DK78">
        <v>816.35</v>
      </c>
      <c r="DL78">
        <v>816.35</v>
      </c>
      <c r="DM78">
        <v>115.08</v>
      </c>
      <c r="DN78">
        <v>223.04999999999998</v>
      </c>
      <c r="DO78">
        <v>843.75</v>
      </c>
      <c r="DP78">
        <v>1399.5</v>
      </c>
      <c r="DQ78">
        <v>6.75</v>
      </c>
    </row>
    <row r="79" spans="1:121" x14ac:dyDescent="0.2">
      <c r="A79" s="14">
        <v>7</v>
      </c>
      <c r="B79" s="684">
        <f t="shared" si="1"/>
        <v>9.6091652454524473E-2</v>
      </c>
      <c r="C79" s="684">
        <f t="shared" si="8"/>
        <v>9.6091652454524445E-2</v>
      </c>
      <c r="D79" s="684">
        <f t="shared" si="9"/>
        <v>2.4022913113631111E-2</v>
      </c>
      <c r="E79" s="684">
        <f t="shared" si="2"/>
        <v>83.751023439668487</v>
      </c>
      <c r="F79" s="684">
        <f t="shared" si="3"/>
        <v>58.14893294693897</v>
      </c>
      <c r="G79" s="684">
        <f>$I79*$C79</f>
        <v>58.148932946938963</v>
      </c>
      <c r="H79" s="684">
        <f t="shared" si="11"/>
        <v>14.537233236734741</v>
      </c>
      <c r="I79" s="1052">
        <f>HLOOKUP('Input &amp; Summary'!$B$6,TurbineProfiles,ROW(I79)-49,0)</f>
        <v>605.14031616282227</v>
      </c>
      <c r="J79" s="684">
        <f t="shared" si="4"/>
        <v>691.26743862608498</v>
      </c>
      <c r="K79" s="9">
        <f t="shared" si="5"/>
        <v>0.87540694433048527</v>
      </c>
      <c r="L79" s="14">
        <f t="shared" si="6"/>
        <v>691.26743862608498</v>
      </c>
      <c r="M79" s="684">
        <f t="shared" si="7"/>
        <v>0</v>
      </c>
      <c r="N79" s="684">
        <f t="shared" si="12"/>
        <v>2117.4921141893815</v>
      </c>
      <c r="O79" s="684">
        <f t="shared" si="13"/>
        <v>0.46954943973932417</v>
      </c>
      <c r="P79" s="684">
        <f t="shared" si="14"/>
        <v>14.537233236734741</v>
      </c>
      <c r="Q79" s="684">
        <f t="shared" si="18"/>
        <v>2.412651720577802E-2</v>
      </c>
      <c r="R79" s="684">
        <f t="shared" si="19"/>
        <v>2.4020109289111358E-2</v>
      </c>
      <c r="S79" s="684">
        <f t="shared" si="15"/>
        <v>14.53553652947839</v>
      </c>
      <c r="T79" s="684">
        <f t="shared" si="16"/>
        <v>14.599928249812283</v>
      </c>
      <c r="U79" s="14">
        <f t="shared" si="17"/>
        <v>605.14031616282227</v>
      </c>
      <c r="V79" s="982">
        <v>355.5</v>
      </c>
      <c r="W79" s="982">
        <v>829.49999999999989</v>
      </c>
      <c r="X79" s="982">
        <v>1185</v>
      </c>
      <c r="Y79" s="982">
        <v>430.5</v>
      </c>
      <c r="Z79" s="982">
        <v>1004.5</v>
      </c>
      <c r="AA79" s="982">
        <v>1434.9999999999998</v>
      </c>
      <c r="AB79" s="982">
        <v>466.5</v>
      </c>
      <c r="AC79" s="982">
        <v>1088.5</v>
      </c>
      <c r="AD79" s="982">
        <v>1555</v>
      </c>
      <c r="AE79" s="143">
        <v>329</v>
      </c>
      <c r="AF79" s="143">
        <v>395</v>
      </c>
      <c r="AG79" s="143">
        <v>202</v>
      </c>
      <c r="AH79" s="143">
        <v>199</v>
      </c>
      <c r="AI79" s="996">
        <v>213</v>
      </c>
      <c r="AJ79" s="143">
        <v>940</v>
      </c>
      <c r="AK79" s="143">
        <v>286</v>
      </c>
      <c r="AL79" s="143">
        <v>510.45</v>
      </c>
      <c r="AM79" s="143">
        <v>481.51</v>
      </c>
      <c r="AN79" s="143">
        <v>462.22</v>
      </c>
      <c r="AO79" s="143">
        <v>423.62</v>
      </c>
      <c r="AP79" s="143">
        <v>396.56</v>
      </c>
      <c r="AQ79" s="143">
        <v>671</v>
      </c>
      <c r="AR79" s="143">
        <v>610</v>
      </c>
      <c r="AS79" s="143">
        <v>500</v>
      </c>
      <c r="AT79" s="143">
        <v>111.14</v>
      </c>
      <c r="AU79" s="143">
        <v>190.16</v>
      </c>
      <c r="AV79" s="143">
        <v>383.68</v>
      </c>
      <c r="AW79" s="143">
        <v>383.68</v>
      </c>
      <c r="AX79" s="143">
        <v>446.11</v>
      </c>
      <c r="AY79" s="143">
        <v>568.02</v>
      </c>
      <c r="AZ79" s="143">
        <v>727.03</v>
      </c>
      <c r="BA79" s="143">
        <v>189.4</v>
      </c>
      <c r="BB79" s="143">
        <v>203</v>
      </c>
      <c r="BC79" s="143">
        <v>457</v>
      </c>
      <c r="BD79" s="143">
        <v>549.79999999999995</v>
      </c>
      <c r="BE79" s="143">
        <v>594.9</v>
      </c>
      <c r="BF79" s="143">
        <v>344</v>
      </c>
      <c r="BG79" s="143">
        <v>426.72</v>
      </c>
      <c r="BH79" s="143">
        <v>659.14</v>
      </c>
      <c r="BI79" s="143">
        <v>654.29</v>
      </c>
      <c r="BJ79" s="996">
        <v>201.45</v>
      </c>
      <c r="BK79" s="143">
        <v>365.68</v>
      </c>
      <c r="BL79" s="143">
        <v>739.83</v>
      </c>
      <c r="BM79" s="143">
        <v>685.49</v>
      </c>
      <c r="BN79" s="143">
        <v>870</v>
      </c>
      <c r="BO79" s="143">
        <v>136.09</v>
      </c>
      <c r="BP79" s="143">
        <v>155.34</v>
      </c>
      <c r="BQ79" s="143">
        <v>213.39</v>
      </c>
      <c r="BR79" s="143">
        <v>356</v>
      </c>
      <c r="BS79" s="143">
        <v>511</v>
      </c>
      <c r="BT79" s="143">
        <v>123.71</v>
      </c>
      <c r="BU79" s="143">
        <v>241</v>
      </c>
      <c r="BV79" s="143">
        <v>580</v>
      </c>
      <c r="BW79" s="143">
        <v>433</v>
      </c>
      <c r="BX79" s="143">
        <v>572</v>
      </c>
      <c r="BY79" s="143">
        <v>580</v>
      </c>
      <c r="BZ79" s="996">
        <v>720</v>
      </c>
      <c r="CA79" s="143">
        <v>422</v>
      </c>
      <c r="CB79" s="143">
        <v>516</v>
      </c>
      <c r="CC79" s="143">
        <v>386.28</v>
      </c>
      <c r="CD79" s="143">
        <v>508.66</v>
      </c>
      <c r="CE79" s="143">
        <v>844.7</v>
      </c>
      <c r="CF79" s="143">
        <v>940</v>
      </c>
      <c r="CG79" s="143">
        <v>608.78</v>
      </c>
      <c r="CH79" s="143">
        <v>775.8</v>
      </c>
      <c r="CI79" s="143">
        <v>680</v>
      </c>
      <c r="CJ79" s="143">
        <v>982</v>
      </c>
      <c r="CK79" s="143">
        <v>1006.6666666666666</v>
      </c>
      <c r="CL79" s="143">
        <v>1033.3333333333335</v>
      </c>
      <c r="CM79" s="143">
        <v>860</v>
      </c>
      <c r="CN79" s="143">
        <v>287</v>
      </c>
      <c r="CO79" s="143">
        <v>275</v>
      </c>
      <c r="CP79" s="143">
        <v>546</v>
      </c>
      <c r="CQ79" s="143">
        <v>173</v>
      </c>
      <c r="CR79" s="143">
        <v>466</v>
      </c>
      <c r="CS79" s="143">
        <v>173.78</v>
      </c>
      <c r="CT79" s="143">
        <v>138.1</v>
      </c>
      <c r="CU79" s="143">
        <v>120</v>
      </c>
      <c r="CV79" s="143">
        <v>135</v>
      </c>
      <c r="CW79" s="14">
        <v>139.11000000000001</v>
      </c>
      <c r="CX79" s="14">
        <v>680.81</v>
      </c>
      <c r="CY79" s="14">
        <v>465</v>
      </c>
      <c r="CZ79" s="670">
        <v>411.98</v>
      </c>
      <c r="DA79" s="670">
        <v>450</v>
      </c>
      <c r="DB79" s="670">
        <v>556.37</v>
      </c>
      <c r="DC79">
        <v>556.37</v>
      </c>
      <c r="DD79">
        <v>587.5</v>
      </c>
      <c r="DE79">
        <v>610</v>
      </c>
      <c r="DF79">
        <v>515.98</v>
      </c>
      <c r="DG79">
        <v>747.64</v>
      </c>
      <c r="DH79">
        <v>800</v>
      </c>
      <c r="DI79">
        <v>760</v>
      </c>
      <c r="DJ79">
        <v>767.5</v>
      </c>
      <c r="DK79">
        <v>925.96</v>
      </c>
      <c r="DL79">
        <v>925.96</v>
      </c>
      <c r="DM79">
        <v>130.43</v>
      </c>
      <c r="DN79">
        <v>249.4</v>
      </c>
      <c r="DO79">
        <v>945</v>
      </c>
      <c r="DP79">
        <v>1566</v>
      </c>
      <c r="DQ79">
        <v>7</v>
      </c>
    </row>
    <row r="80" spans="1:121" x14ac:dyDescent="0.2">
      <c r="A80" s="14">
        <v>7.25</v>
      </c>
      <c r="B80" s="684">
        <f t="shared" si="1"/>
        <v>9.503994791974707E-2</v>
      </c>
      <c r="C80" s="684">
        <f t="shared" si="8"/>
        <v>9.5039947919747056E-2</v>
      </c>
      <c r="D80" s="684">
        <f t="shared" si="9"/>
        <v>2.3759986979936764E-2</v>
      </c>
      <c r="E80" s="684">
        <f t="shared" si="2"/>
        <v>92.030239088111188</v>
      </c>
      <c r="F80" s="684">
        <f t="shared" si="3"/>
        <v>64.185326932874204</v>
      </c>
      <c r="G80" s="684">
        <f t="shared" si="10"/>
        <v>64.18532693287419</v>
      </c>
      <c r="H80" s="684">
        <f t="shared" si="11"/>
        <v>16.046331733218548</v>
      </c>
      <c r="I80" s="1052">
        <f>HLOOKUP('Input &amp; Summary'!$B$6,TurbineProfiles,ROW(I80)-49,0)</f>
        <v>675.35103225301748</v>
      </c>
      <c r="J80" s="684">
        <f t="shared" si="4"/>
        <v>768.00845301802053</v>
      </c>
      <c r="K80" s="9">
        <f t="shared" si="5"/>
        <v>0.87935364461043375</v>
      </c>
      <c r="L80" s="14">
        <f t="shared" si="6"/>
        <v>768.00845301802053</v>
      </c>
      <c r="M80" s="684">
        <f t="shared" si="7"/>
        <v>0</v>
      </c>
      <c r="N80" s="684">
        <f t="shared" si="12"/>
        <v>2117.4921141893815</v>
      </c>
      <c r="O80" s="684">
        <f t="shared" si="13"/>
        <v>0.49344632124973492</v>
      </c>
      <c r="P80" s="684">
        <f t="shared" si="14"/>
        <v>16.046331733218548</v>
      </c>
      <c r="Q80" s="684">
        <f t="shared" si="18"/>
        <v>2.389688151041075E-2</v>
      </c>
      <c r="R80" s="684">
        <f t="shared" si="19"/>
        <v>2.3757361444154912E-2</v>
      </c>
      <c r="S80" s="684">
        <f t="shared" si="15"/>
        <v>16.044558574918057</v>
      </c>
      <c r="T80" s="684">
        <f t="shared" si="16"/>
        <v>16.138783595683947</v>
      </c>
      <c r="U80" s="14">
        <f t="shared" si="17"/>
        <v>675.35103225301748</v>
      </c>
      <c r="V80" s="982">
        <v>403.875</v>
      </c>
      <c r="W80" s="982">
        <v>942.375</v>
      </c>
      <c r="X80" s="982">
        <v>1346.25</v>
      </c>
      <c r="Y80" s="982">
        <v>485.625</v>
      </c>
      <c r="Z80" s="982">
        <v>1133.125</v>
      </c>
      <c r="AA80" s="982">
        <v>1618.75</v>
      </c>
      <c r="AB80" s="982">
        <v>526.875</v>
      </c>
      <c r="AC80" s="982">
        <v>1229.375</v>
      </c>
      <c r="AD80" s="982">
        <v>1756.25</v>
      </c>
      <c r="AE80" s="143">
        <v>373.5</v>
      </c>
      <c r="AF80" s="143">
        <v>448.25</v>
      </c>
      <c r="AG80" s="143">
        <v>226.25</v>
      </c>
      <c r="AH80" s="143">
        <v>223.5</v>
      </c>
      <c r="AI80" s="14">
        <v>239.25</v>
      </c>
      <c r="AJ80" s="143">
        <v>1072.5</v>
      </c>
      <c r="AK80" s="143">
        <v>324.75</v>
      </c>
      <c r="AL80" s="143">
        <v>573.04999999999995</v>
      </c>
      <c r="AM80" s="143">
        <v>548.91999999999996</v>
      </c>
      <c r="AN80" s="143">
        <v>519.98</v>
      </c>
      <c r="AO80" s="143">
        <v>476.56</v>
      </c>
      <c r="AP80" s="143">
        <v>459.41</v>
      </c>
      <c r="AQ80" s="143">
        <v>741.25</v>
      </c>
      <c r="AR80" s="143">
        <v>683.75</v>
      </c>
      <c r="AS80" s="143">
        <v>591.66666666666663</v>
      </c>
      <c r="AT80" s="143">
        <v>123.73</v>
      </c>
      <c r="AU80" s="143">
        <v>214.58</v>
      </c>
      <c r="AV80" s="143">
        <v>433.9</v>
      </c>
      <c r="AW80" s="143">
        <v>433.9</v>
      </c>
      <c r="AX80" s="143">
        <v>499.12</v>
      </c>
      <c r="AY80" s="143">
        <v>652.83000000000004</v>
      </c>
      <c r="AZ80" s="143">
        <v>838.34</v>
      </c>
      <c r="BA80" s="143">
        <v>213.45000000000002</v>
      </c>
      <c r="BB80" s="143">
        <v>229</v>
      </c>
      <c r="BC80" s="143">
        <v>515.25</v>
      </c>
      <c r="BD80" s="143">
        <v>620.22499999999991</v>
      </c>
      <c r="BE80" s="143">
        <v>671.375</v>
      </c>
      <c r="BF80" s="143">
        <v>386</v>
      </c>
      <c r="BG80" s="143">
        <v>475.6</v>
      </c>
      <c r="BH80" s="143">
        <v>727.58</v>
      </c>
      <c r="BI80" s="143">
        <v>734.29</v>
      </c>
      <c r="BJ80" s="14">
        <v>228.31</v>
      </c>
      <c r="BK80" s="143">
        <v>407.6</v>
      </c>
      <c r="BL80" s="143">
        <v>818.94</v>
      </c>
      <c r="BM80" s="143">
        <v>773.1</v>
      </c>
      <c r="BN80" s="143">
        <v>986.25</v>
      </c>
      <c r="BO80" s="143">
        <v>151.43</v>
      </c>
      <c r="BP80" s="143">
        <v>184.14</v>
      </c>
      <c r="BQ80" s="143">
        <v>235.52</v>
      </c>
      <c r="BR80" s="143">
        <v>411</v>
      </c>
      <c r="BS80" s="143">
        <v>572.75</v>
      </c>
      <c r="BT80" s="143">
        <v>141.845</v>
      </c>
      <c r="BU80" s="143">
        <v>274.75</v>
      </c>
      <c r="BV80" s="143">
        <v>652.5</v>
      </c>
      <c r="BW80" s="143">
        <v>491.5</v>
      </c>
      <c r="BX80" s="143">
        <v>644</v>
      </c>
      <c r="BY80" s="143">
        <v>648.5</v>
      </c>
      <c r="BZ80" s="14">
        <v>815.5</v>
      </c>
      <c r="CA80" s="143">
        <v>477</v>
      </c>
      <c r="CB80" s="143">
        <v>582.25</v>
      </c>
      <c r="CC80" s="143">
        <v>426.56</v>
      </c>
      <c r="CD80" s="143">
        <v>554.38</v>
      </c>
      <c r="CE80" s="143">
        <v>943.18</v>
      </c>
      <c r="CF80" s="143">
        <v>1072.5</v>
      </c>
      <c r="CG80" s="143">
        <v>675.33</v>
      </c>
      <c r="CH80" s="143">
        <v>876.72</v>
      </c>
      <c r="CI80" s="143">
        <v>740</v>
      </c>
      <c r="CJ80" s="143">
        <v>1071</v>
      </c>
      <c r="CK80" s="143">
        <v>1105</v>
      </c>
      <c r="CL80" s="143">
        <v>1125</v>
      </c>
      <c r="CM80" s="143">
        <v>930</v>
      </c>
      <c r="CN80" s="143">
        <v>328.25</v>
      </c>
      <c r="CO80" s="143">
        <v>317.75</v>
      </c>
      <c r="CP80" s="143">
        <v>619.5</v>
      </c>
      <c r="CQ80" s="143">
        <v>197</v>
      </c>
      <c r="CR80" s="143">
        <v>526.75</v>
      </c>
      <c r="CS80" s="143">
        <v>188.41</v>
      </c>
      <c r="CT80" s="143">
        <v>156.02500000000001</v>
      </c>
      <c r="CU80" s="143">
        <v>137</v>
      </c>
      <c r="CV80" s="143">
        <v>152.75</v>
      </c>
      <c r="CW80" s="14">
        <v>160.47</v>
      </c>
      <c r="CX80" s="14">
        <v>739.16</v>
      </c>
      <c r="CY80" s="14">
        <v>532.5</v>
      </c>
      <c r="CZ80" s="670">
        <v>470.32</v>
      </c>
      <c r="DA80" s="670">
        <v>535</v>
      </c>
      <c r="DB80" s="670">
        <v>622.64</v>
      </c>
      <c r="DC80">
        <v>617.14</v>
      </c>
      <c r="DD80">
        <v>665.38461538461536</v>
      </c>
      <c r="DE80">
        <v>695</v>
      </c>
      <c r="DF80">
        <v>580.01</v>
      </c>
      <c r="DG80">
        <v>826.6</v>
      </c>
      <c r="DH80">
        <v>876.92307692307691</v>
      </c>
      <c r="DI80">
        <v>853.33333333333337</v>
      </c>
      <c r="DJ80">
        <v>854.375</v>
      </c>
      <c r="DK80">
        <v>1050</v>
      </c>
      <c r="DL80">
        <v>1050</v>
      </c>
      <c r="DM80">
        <v>148.81</v>
      </c>
      <c r="DN80">
        <v>284.10000000000002</v>
      </c>
      <c r="DO80">
        <v>1046.25</v>
      </c>
      <c r="DP80">
        <v>1807.75</v>
      </c>
      <c r="DQ80">
        <v>7.25</v>
      </c>
    </row>
    <row r="81" spans="1:121" x14ac:dyDescent="0.2">
      <c r="A81" s="14">
        <v>7.5</v>
      </c>
      <c r="B81" s="684">
        <f t="shared" si="1"/>
        <v>9.3736249148866496E-2</v>
      </c>
      <c r="C81" s="684">
        <f t="shared" si="8"/>
        <v>9.3736249148866468E-2</v>
      </c>
      <c r="D81" s="684">
        <f t="shared" si="9"/>
        <v>2.3434062287216617E-2</v>
      </c>
      <c r="E81" s="684">
        <f t="shared" si="2"/>
        <v>100.48510770974734</v>
      </c>
      <c r="F81" s="684">
        <f t="shared" si="3"/>
        <v>70.356060984729254</v>
      </c>
      <c r="G81" s="684">
        <f t="shared" si="10"/>
        <v>70.35606098472924</v>
      </c>
      <c r="H81" s="684">
        <f t="shared" si="11"/>
        <v>17.58901524618231</v>
      </c>
      <c r="I81" s="1052">
        <f>HLOOKUP('Input &amp; Summary'!$B$6,TurbineProfiles,ROW(I81)-49,0)</f>
        <v>750.57474161350137</v>
      </c>
      <c r="J81" s="684">
        <f t="shared" si="4"/>
        <v>850.22871915562553</v>
      </c>
      <c r="K81" s="9">
        <f t="shared" si="5"/>
        <v>0.88279156502606504</v>
      </c>
      <c r="L81" s="14">
        <f t="shared" si="6"/>
        <v>850.22871915562553</v>
      </c>
      <c r="M81" s="684">
        <f t="shared" si="7"/>
        <v>0</v>
      </c>
      <c r="N81" s="684">
        <f t="shared" si="12"/>
        <v>2117.4921141893815</v>
      </c>
      <c r="O81" s="684">
        <f t="shared" si="13"/>
        <v>0.51704841193641005</v>
      </c>
      <c r="P81" s="684">
        <f t="shared" si="14"/>
        <v>17.58901524618231</v>
      </c>
      <c r="Q81" s="684">
        <f t="shared" si="18"/>
        <v>2.3602090686675126E-2</v>
      </c>
      <c r="R81" s="684">
        <f t="shared" si="19"/>
        <v>2.3431623452141226E-2</v>
      </c>
      <c r="S81" s="684">
        <f t="shared" si="15"/>
        <v>17.587184718175759</v>
      </c>
      <c r="T81" s="684">
        <f t="shared" si="16"/>
        <v>17.715133118689611</v>
      </c>
      <c r="U81" s="14">
        <f t="shared" si="17"/>
        <v>750.57474161350137</v>
      </c>
      <c r="V81" s="982">
        <v>452.25</v>
      </c>
      <c r="W81" s="982">
        <v>1055.25</v>
      </c>
      <c r="X81" s="982">
        <v>1507.4999999999998</v>
      </c>
      <c r="Y81" s="982">
        <v>540.75</v>
      </c>
      <c r="Z81" s="982">
        <v>1261.75</v>
      </c>
      <c r="AA81" s="982">
        <v>1802.5</v>
      </c>
      <c r="AB81" s="982">
        <v>587.25</v>
      </c>
      <c r="AC81" s="982">
        <v>1370.25</v>
      </c>
      <c r="AD81" s="982">
        <v>1957.5</v>
      </c>
      <c r="AE81" s="143">
        <v>418</v>
      </c>
      <c r="AF81" s="143">
        <v>501.5</v>
      </c>
      <c r="AG81" s="143">
        <v>250.5</v>
      </c>
      <c r="AH81" s="143">
        <v>241.875</v>
      </c>
      <c r="AI81" s="14">
        <v>258.9375</v>
      </c>
      <c r="AJ81" s="143">
        <v>1205</v>
      </c>
      <c r="AK81" s="143">
        <v>353.8125</v>
      </c>
      <c r="AL81" s="143">
        <v>654.91999999999996</v>
      </c>
      <c r="AM81" s="143">
        <v>621.16</v>
      </c>
      <c r="AN81" s="143">
        <v>572.92999999999995</v>
      </c>
      <c r="AO81" s="143">
        <v>529.52</v>
      </c>
      <c r="AP81" s="143">
        <v>518.32000000000005</v>
      </c>
      <c r="AQ81" s="143">
        <v>811.5</v>
      </c>
      <c r="AR81" s="143">
        <v>757.5</v>
      </c>
      <c r="AS81" s="143">
        <v>683.33333333333337</v>
      </c>
      <c r="AT81" s="143">
        <v>136.31</v>
      </c>
      <c r="AU81" s="143">
        <v>244.81</v>
      </c>
      <c r="AV81" s="143">
        <v>484.12</v>
      </c>
      <c r="AW81" s="143">
        <v>484.12</v>
      </c>
      <c r="AX81" s="143">
        <v>552.12</v>
      </c>
      <c r="AY81" s="143">
        <v>727.03</v>
      </c>
      <c r="AZ81" s="143">
        <v>933.75</v>
      </c>
      <c r="BA81" s="143">
        <v>237.50000000000003</v>
      </c>
      <c r="BB81" s="143">
        <v>255</v>
      </c>
      <c r="BC81" s="143">
        <v>573.5</v>
      </c>
      <c r="BD81" s="143">
        <v>690.64999999999986</v>
      </c>
      <c r="BE81" s="143">
        <v>747.85</v>
      </c>
      <c r="BF81" s="143">
        <v>428</v>
      </c>
      <c r="BG81" s="143">
        <v>534.27</v>
      </c>
      <c r="BH81" s="143">
        <v>800.94</v>
      </c>
      <c r="BI81" s="143">
        <v>820</v>
      </c>
      <c r="BJ81" s="14">
        <v>265.5</v>
      </c>
      <c r="BK81" s="143">
        <v>444.88</v>
      </c>
      <c r="BL81" s="143">
        <v>917.65</v>
      </c>
      <c r="BM81" s="143">
        <v>860.72</v>
      </c>
      <c r="BN81" s="143">
        <v>1102.5</v>
      </c>
      <c r="BO81" s="143">
        <v>170.6</v>
      </c>
      <c r="BP81" s="143">
        <v>207.19</v>
      </c>
      <c r="BQ81" s="143">
        <v>257.66000000000003</v>
      </c>
      <c r="BR81" s="143">
        <v>466</v>
      </c>
      <c r="BS81" s="143">
        <v>634.5</v>
      </c>
      <c r="BT81" s="143">
        <v>159.97999999999999</v>
      </c>
      <c r="BU81" s="143">
        <v>308.5</v>
      </c>
      <c r="BV81" s="143">
        <v>725</v>
      </c>
      <c r="BW81" s="143">
        <v>550</v>
      </c>
      <c r="BX81" s="143">
        <v>716</v>
      </c>
      <c r="BY81" s="143">
        <v>717</v>
      </c>
      <c r="BZ81" s="14">
        <v>911</v>
      </c>
      <c r="CA81" s="143">
        <v>532</v>
      </c>
      <c r="CB81" s="143">
        <v>648.5</v>
      </c>
      <c r="CC81" s="143">
        <v>466.87</v>
      </c>
      <c r="CD81" s="143">
        <v>610.15</v>
      </c>
      <c r="CE81" s="143">
        <v>1040</v>
      </c>
      <c r="CF81" s="143">
        <v>1205</v>
      </c>
      <c r="CG81" s="143">
        <v>746.26</v>
      </c>
      <c r="CH81" s="143">
        <v>957.46</v>
      </c>
      <c r="CI81" s="143">
        <v>800</v>
      </c>
      <c r="CJ81" s="143">
        <v>1160</v>
      </c>
      <c r="CK81" s="143">
        <v>1203.3333333333335</v>
      </c>
      <c r="CL81" s="143">
        <v>1216.6666666666665</v>
      </c>
      <c r="CM81" s="143">
        <v>1000</v>
      </c>
      <c r="CN81" s="143">
        <v>369.5</v>
      </c>
      <c r="CO81" s="143">
        <v>360.5</v>
      </c>
      <c r="CP81" s="143">
        <v>693</v>
      </c>
      <c r="CQ81" s="143">
        <v>221</v>
      </c>
      <c r="CR81" s="143">
        <v>587.5</v>
      </c>
      <c r="CS81" s="143">
        <v>210.37</v>
      </c>
      <c r="CT81" s="143">
        <v>173.95000000000002</v>
      </c>
      <c r="CU81" s="143">
        <v>154</v>
      </c>
      <c r="CV81" s="143">
        <v>170.5</v>
      </c>
      <c r="CW81" s="14">
        <v>178.83</v>
      </c>
      <c r="CX81" s="14">
        <v>797.51</v>
      </c>
      <c r="CY81" s="14">
        <v>600</v>
      </c>
      <c r="CZ81" s="670">
        <v>525.24</v>
      </c>
      <c r="DA81" s="670">
        <v>620</v>
      </c>
      <c r="DB81" s="670">
        <v>683.41</v>
      </c>
      <c r="DC81">
        <v>677.92</v>
      </c>
      <c r="DD81">
        <v>743.26923076923072</v>
      </c>
      <c r="DE81">
        <v>780</v>
      </c>
      <c r="DF81">
        <v>644.03</v>
      </c>
      <c r="DG81">
        <v>919.31</v>
      </c>
      <c r="DH81">
        <v>953.84615384615381</v>
      </c>
      <c r="DI81">
        <v>946.66666666666663</v>
      </c>
      <c r="DJ81">
        <v>941.25</v>
      </c>
      <c r="DK81">
        <v>1170</v>
      </c>
      <c r="DL81">
        <v>1170</v>
      </c>
      <c r="DM81">
        <v>170.19</v>
      </c>
      <c r="DN81">
        <v>318.8</v>
      </c>
      <c r="DO81">
        <v>1147.5</v>
      </c>
      <c r="DP81">
        <v>2049.5</v>
      </c>
      <c r="DQ81">
        <v>7.5</v>
      </c>
    </row>
    <row r="82" spans="1:121" x14ac:dyDescent="0.2">
      <c r="A82" s="14">
        <v>7.75</v>
      </c>
      <c r="B82" s="684">
        <f t="shared" si="1"/>
        <v>9.2198466722488007E-2</v>
      </c>
      <c r="C82" s="684">
        <f t="shared" si="8"/>
        <v>9.2198466722487993E-2</v>
      </c>
      <c r="D82" s="684">
        <f t="shared" si="9"/>
        <v>2.3049616680621998E-2</v>
      </c>
      <c r="E82" s="684">
        <f t="shared" si="2"/>
        <v>109.05338414849211</v>
      </c>
      <c r="F82" s="684">
        <f t="shared" si="3"/>
        <v>76.615478891135538</v>
      </c>
      <c r="G82" s="684">
        <f t="shared" si="10"/>
        <v>76.615478891135524</v>
      </c>
      <c r="H82" s="684">
        <f t="shared" si="11"/>
        <v>19.153869722783881</v>
      </c>
      <c r="I82" s="1052">
        <f>HLOOKUP('Input &amp; Summary'!$B$6,TurbineProfiles,ROW(I82)-49,0)</f>
        <v>830.98430608118076</v>
      </c>
      <c r="J82" s="684">
        <f t="shared" si="4"/>
        <v>938.11717675426826</v>
      </c>
      <c r="K82" s="9">
        <f t="shared" si="5"/>
        <v>0.88580011822856752</v>
      </c>
      <c r="L82" s="14">
        <f t="shared" si="6"/>
        <v>938.11717675426826</v>
      </c>
      <c r="M82" s="684">
        <f t="shared" si="7"/>
        <v>0</v>
      </c>
      <c r="N82" s="684">
        <f t="shared" si="12"/>
        <v>2117.4921141893815</v>
      </c>
      <c r="O82" s="684">
        <f t="shared" si="13"/>
        <v>0.54029493710725196</v>
      </c>
      <c r="P82" s="684">
        <f t="shared" si="14"/>
        <v>19.153869722783881</v>
      </c>
      <c r="Q82" s="684">
        <f t="shared" si="18"/>
        <v>2.3246525170841914E-2</v>
      </c>
      <c r="R82" s="684">
        <f t="shared" si="19"/>
        <v>2.3047371093623648E-2</v>
      </c>
      <c r="S82" s="684">
        <f t="shared" si="15"/>
        <v>19.152003675230311</v>
      </c>
      <c r="T82" s="684">
        <f t="shared" si="16"/>
        <v>19.31749758789077</v>
      </c>
      <c r="U82" s="14">
        <f t="shared" si="17"/>
        <v>830.98430608118076</v>
      </c>
      <c r="V82" s="982">
        <v>500.625</v>
      </c>
      <c r="W82" s="982">
        <v>1168.1249999999998</v>
      </c>
      <c r="X82" s="982">
        <v>1668.75</v>
      </c>
      <c r="Y82" s="982">
        <v>595.87499999999989</v>
      </c>
      <c r="Z82" s="982">
        <v>1390.375</v>
      </c>
      <c r="AA82" s="982">
        <v>1986.25</v>
      </c>
      <c r="AB82" s="982">
        <v>647.625</v>
      </c>
      <c r="AC82" s="982">
        <v>1511.125</v>
      </c>
      <c r="AD82" s="982">
        <v>2158.75</v>
      </c>
      <c r="AE82" s="143">
        <v>462.5</v>
      </c>
      <c r="AF82" s="143">
        <v>554.75</v>
      </c>
      <c r="AG82" s="143">
        <v>274.75</v>
      </c>
      <c r="AH82" s="143">
        <v>260.25</v>
      </c>
      <c r="AI82" s="14">
        <v>278.625</v>
      </c>
      <c r="AJ82" s="143">
        <v>1337.5</v>
      </c>
      <c r="AK82" s="143">
        <v>382.875</v>
      </c>
      <c r="AL82" s="143">
        <v>727.16</v>
      </c>
      <c r="AM82" s="143">
        <v>693.4</v>
      </c>
      <c r="AN82" s="143">
        <v>635.52</v>
      </c>
      <c r="AO82" s="143">
        <v>587.29999999999995</v>
      </c>
      <c r="AP82" s="143">
        <v>589.01</v>
      </c>
      <c r="AQ82" s="143">
        <v>881.75</v>
      </c>
      <c r="AR82" s="143">
        <v>831.25</v>
      </c>
      <c r="AS82" s="143">
        <v>775</v>
      </c>
      <c r="AT82" s="143">
        <v>150.71</v>
      </c>
      <c r="AU82" s="143">
        <v>263.19</v>
      </c>
      <c r="AV82" s="143">
        <v>542.28</v>
      </c>
      <c r="AW82" s="143">
        <v>542.28</v>
      </c>
      <c r="AX82" s="143">
        <v>599.80999999999995</v>
      </c>
      <c r="AY82" s="143">
        <v>801.24</v>
      </c>
      <c r="AZ82" s="143">
        <v>1030</v>
      </c>
      <c r="BA82" s="143">
        <v>261.55</v>
      </c>
      <c r="BB82" s="143">
        <v>281</v>
      </c>
      <c r="BC82" s="143">
        <v>631.75</v>
      </c>
      <c r="BD82" s="143">
        <v>761.07499999999982</v>
      </c>
      <c r="BE82" s="143">
        <v>824.32500000000005</v>
      </c>
      <c r="BF82" s="143">
        <v>478</v>
      </c>
      <c r="BG82" s="143">
        <v>597.80999999999995</v>
      </c>
      <c r="BH82" s="143">
        <v>876.73</v>
      </c>
      <c r="BI82" s="143">
        <v>905.71</v>
      </c>
      <c r="BJ82" s="14">
        <v>292.35000000000002</v>
      </c>
      <c r="BK82" s="143">
        <v>482.14</v>
      </c>
      <c r="BL82" s="143">
        <v>1020</v>
      </c>
      <c r="BM82" s="143">
        <v>919.13</v>
      </c>
      <c r="BN82" s="143">
        <v>1218.75</v>
      </c>
      <c r="BO82" s="143">
        <v>189.78</v>
      </c>
      <c r="BP82" s="143">
        <v>227.35</v>
      </c>
      <c r="BQ82" s="143">
        <v>279.79000000000002</v>
      </c>
      <c r="BR82" s="143">
        <v>521</v>
      </c>
      <c r="BS82" s="143">
        <v>696.25</v>
      </c>
      <c r="BT82" s="143">
        <v>178.11499999999998</v>
      </c>
      <c r="BU82" s="143">
        <v>342.25</v>
      </c>
      <c r="BV82" s="143">
        <v>797.5</v>
      </c>
      <c r="BW82" s="143">
        <v>608.5</v>
      </c>
      <c r="BX82" s="143">
        <v>798</v>
      </c>
      <c r="BY82" s="143">
        <v>793.5</v>
      </c>
      <c r="BZ82" s="14">
        <v>1006.5</v>
      </c>
      <c r="CA82" s="143">
        <v>587</v>
      </c>
      <c r="CB82">
        <v>714.75</v>
      </c>
      <c r="CC82" s="143">
        <v>517.22</v>
      </c>
      <c r="CD82" s="143">
        <v>686.09</v>
      </c>
      <c r="CE82" s="143">
        <v>1130</v>
      </c>
      <c r="CF82" s="143">
        <v>1337.5</v>
      </c>
      <c r="CG82" s="143">
        <v>808.26</v>
      </c>
      <c r="CH82" s="143">
        <v>1070</v>
      </c>
      <c r="CI82" s="143">
        <v>860</v>
      </c>
      <c r="CJ82" s="143">
        <v>1249</v>
      </c>
      <c r="CK82" s="143">
        <v>1301.6666666666667</v>
      </c>
      <c r="CL82" s="143">
        <v>1308.3333333333335</v>
      </c>
      <c r="CM82" s="143">
        <v>1110</v>
      </c>
      <c r="CN82" s="143">
        <v>410.75</v>
      </c>
      <c r="CO82" s="143">
        <v>403.25</v>
      </c>
      <c r="CP82" s="143">
        <v>766.5</v>
      </c>
      <c r="CQ82" s="143">
        <v>245</v>
      </c>
      <c r="CR82" s="143">
        <v>648.25</v>
      </c>
      <c r="CS82" s="143">
        <v>232.32</v>
      </c>
      <c r="CT82" s="143">
        <v>191.87500000000003</v>
      </c>
      <c r="CU82" s="143">
        <v>171</v>
      </c>
      <c r="CV82" s="143">
        <v>188.25</v>
      </c>
      <c r="CW82" s="14">
        <v>200.22</v>
      </c>
      <c r="CX82" s="14">
        <v>863.62</v>
      </c>
      <c r="CY82" s="14">
        <v>667.5</v>
      </c>
      <c r="CZ82" s="670">
        <v>597.33000000000004</v>
      </c>
      <c r="DA82" s="670">
        <v>705</v>
      </c>
      <c r="DB82" s="670">
        <v>755.18</v>
      </c>
      <c r="DC82">
        <v>755.18</v>
      </c>
      <c r="DD82">
        <v>821.15384615384619</v>
      </c>
      <c r="DE82">
        <v>865</v>
      </c>
      <c r="DF82">
        <v>713.83</v>
      </c>
      <c r="DG82">
        <v>1010</v>
      </c>
      <c r="DH82">
        <v>1030.7692307692307</v>
      </c>
      <c r="DI82">
        <v>1040</v>
      </c>
      <c r="DJ82">
        <v>1028.125</v>
      </c>
      <c r="DK82">
        <v>1300</v>
      </c>
      <c r="DL82">
        <v>1300</v>
      </c>
      <c r="DM82">
        <v>191.6</v>
      </c>
      <c r="DN82">
        <v>353.5</v>
      </c>
      <c r="DO82">
        <v>1248.75</v>
      </c>
      <c r="DP82">
        <v>2291.25</v>
      </c>
      <c r="DQ82">
        <v>7.75</v>
      </c>
    </row>
    <row r="83" spans="1:121" x14ac:dyDescent="0.2">
      <c r="A83" s="14">
        <v>8</v>
      </c>
      <c r="B83" s="684">
        <f t="shared" ref="B83:B114" si="20">((PI()*$A83)/(2*$B$16*$B$16))*EXP(((-PI()*$A83*$A83)/(4*$B$16*$B$16)))</f>
        <v>9.0445139948363534E-2</v>
      </c>
      <c r="C83" s="684">
        <f t="shared" ref="C83:C114" si="21">WEIBULL(A83,$B$2,$B$16/EXP(GAMMALN(1+1/$B$2)),FALSE)</f>
        <v>9.0445139948363493E-2</v>
      </c>
      <c r="D83" s="684">
        <f t="shared" si="9"/>
        <v>2.2611284987090873E-2</v>
      </c>
      <c r="E83" s="684">
        <f t="shared" ref="E83:E114" si="22">((0.5*$B$15*0.25*PI()*$B$4^2*A83^3)*C83/(1000))*16/27</f>
        <v>117.66994135326011</v>
      </c>
      <c r="F83" s="684">
        <f t="shared" ref="F83:F114" si="23">((0.5*$B$15*0.25*PI()*$B$4^2*A83^3)*C83/(1000))*$B$7*K83</f>
        <v>82.915816073825326</v>
      </c>
      <c r="G83" s="684">
        <f t="shared" si="10"/>
        <v>82.915816073825312</v>
      </c>
      <c r="H83" s="684">
        <f t="shared" si="11"/>
        <v>20.728954018456328</v>
      </c>
      <c r="I83" s="1052">
        <f>HLOOKUP('Input &amp; Summary'!$B$6,TurbineProfiles,ROW(I83)-49,0)</f>
        <v>916.75258749296222</v>
      </c>
      <c r="J83" s="684">
        <f t="shared" ref="J83:J114" si="24">IF(AND(A83 &gt; $B$11,A83&lt;$B$12),IF(A83&gt;$B$18,N83,IF(A83&gt;=$O$25,M83,L83)),0)</f>
        <v>1031.8627655293164</v>
      </c>
      <c r="K83" s="9">
        <f t="shared" ref="K83:K114" si="25">IF(ISERROR(((J83/$B$17)-($B$19+$B$20*(J83/$B$17)+$B$21*(J83/$B$17)^2))/(J83/$B$17)),0,((J83/$B$17)-($B$19+$B$20*(J83/$B$17)+$B$21*(J83/$B$17)^2))/(J83/$B$17))</f>
        <v>0.88844429522824586</v>
      </c>
      <c r="L83" s="14">
        <f t="shared" ref="L83:L114" si="26">$I$28*(A83*$B$8/($B$4/2))^3/1000</f>
        <v>1031.8627655293164</v>
      </c>
      <c r="M83" s="684">
        <f t="shared" ref="M83:M114" si="27">IF(A83&gt;=$O$25,($B$17-$O$26)/($B$18-$O$25)*(A83-$O$25)+$O$26,0)</f>
        <v>0</v>
      </c>
      <c r="N83" s="684">
        <f t="shared" si="12"/>
        <v>2117.4921141893815</v>
      </c>
      <c r="O83" s="684">
        <f t="shared" si="13"/>
        <v>0.56312968201349756</v>
      </c>
      <c r="P83" s="684">
        <f t="shared" si="14"/>
        <v>20.728954018456328</v>
      </c>
      <c r="Q83" s="684">
        <f t="shared" si="18"/>
        <v>2.2834744906245596E-2</v>
      </c>
      <c r="R83" s="684">
        <f t="shared" si="19"/>
        <v>2.2609237357280487E-2</v>
      </c>
      <c r="S83" s="684">
        <f t="shared" si="15"/>
        <v>20.727076848529428</v>
      </c>
      <c r="T83" s="684">
        <f t="shared" si="16"/>
        <v>20.933811477542388</v>
      </c>
      <c r="U83" s="14">
        <f t="shared" si="17"/>
        <v>916.75258749296222</v>
      </c>
      <c r="V83" s="982">
        <v>548.99999999999989</v>
      </c>
      <c r="W83" s="982">
        <v>1281</v>
      </c>
      <c r="X83" s="982">
        <v>1830</v>
      </c>
      <c r="Y83" s="982">
        <v>651</v>
      </c>
      <c r="Z83" s="982">
        <v>1519</v>
      </c>
      <c r="AA83" s="982">
        <v>2170</v>
      </c>
      <c r="AB83" s="982">
        <v>708.00000000000011</v>
      </c>
      <c r="AC83" s="982">
        <v>1652.0000000000002</v>
      </c>
      <c r="AD83" s="982">
        <v>2360.0000000000005</v>
      </c>
      <c r="AE83" s="143">
        <v>507</v>
      </c>
      <c r="AF83" s="143">
        <v>608</v>
      </c>
      <c r="AG83" s="143">
        <v>299</v>
      </c>
      <c r="AH83" s="143">
        <v>297</v>
      </c>
      <c r="AI83" s="996">
        <v>318</v>
      </c>
      <c r="AJ83" s="143">
        <v>1470</v>
      </c>
      <c r="AK83" s="143">
        <v>441</v>
      </c>
      <c r="AL83" s="143">
        <v>809.05</v>
      </c>
      <c r="AM83" s="143">
        <v>760.81</v>
      </c>
      <c r="AN83" s="143">
        <v>717.4</v>
      </c>
      <c r="AO83" s="143">
        <v>664.35</v>
      </c>
      <c r="AP83" s="143">
        <v>655.78</v>
      </c>
      <c r="AQ83" s="143">
        <v>952</v>
      </c>
      <c r="AR83" s="143">
        <v>905</v>
      </c>
      <c r="AS83" s="143">
        <v>866.66666666666674</v>
      </c>
      <c r="AT83" s="143">
        <v>165.1</v>
      </c>
      <c r="AU83" s="143">
        <v>293.41000000000003</v>
      </c>
      <c r="AV83" s="143">
        <v>595.15</v>
      </c>
      <c r="AW83" s="143">
        <v>611.02</v>
      </c>
      <c r="AX83" s="143">
        <v>658.13</v>
      </c>
      <c r="AY83" s="143">
        <v>891.34</v>
      </c>
      <c r="AZ83" s="143">
        <v>1140</v>
      </c>
      <c r="BA83" s="143">
        <v>285.60000000000002</v>
      </c>
      <c r="BB83" s="143">
        <v>307</v>
      </c>
      <c r="BC83" s="143">
        <v>690</v>
      </c>
      <c r="BD83" s="143">
        <v>831.5</v>
      </c>
      <c r="BE83" s="143">
        <v>900.8</v>
      </c>
      <c r="BF83" s="143">
        <v>528</v>
      </c>
      <c r="BG83" s="143">
        <v>656.49</v>
      </c>
      <c r="BH83" s="143">
        <v>947.62</v>
      </c>
      <c r="BI83" s="143">
        <v>1000</v>
      </c>
      <c r="BJ83" s="996">
        <v>327.48</v>
      </c>
      <c r="BK83" s="143">
        <v>519.41</v>
      </c>
      <c r="BL83" s="143">
        <v>1090</v>
      </c>
      <c r="BM83" s="143">
        <v>1030</v>
      </c>
      <c r="BN83" s="143">
        <v>1335</v>
      </c>
      <c r="BO83" s="143">
        <v>212.77</v>
      </c>
      <c r="BP83" s="143">
        <v>250.41</v>
      </c>
      <c r="BQ83" s="143">
        <v>301.91000000000003</v>
      </c>
      <c r="BR83" s="143">
        <v>576</v>
      </c>
      <c r="BS83" s="143">
        <v>758</v>
      </c>
      <c r="BT83" s="143">
        <v>196.25</v>
      </c>
      <c r="BU83" s="143">
        <v>376</v>
      </c>
      <c r="BV83" s="143">
        <v>870</v>
      </c>
      <c r="BW83" s="143">
        <v>667</v>
      </c>
      <c r="BX83" s="143">
        <v>880</v>
      </c>
      <c r="BY83" s="143">
        <v>870</v>
      </c>
      <c r="BZ83" s="996">
        <v>1102</v>
      </c>
      <c r="CA83" s="143">
        <v>642</v>
      </c>
      <c r="CB83">
        <v>781</v>
      </c>
      <c r="CC83" s="143">
        <v>577.63</v>
      </c>
      <c r="CD83" s="143">
        <v>741.85</v>
      </c>
      <c r="CE83" s="143">
        <v>1250</v>
      </c>
      <c r="CF83" s="143">
        <v>1470</v>
      </c>
      <c r="CG83" s="143">
        <v>883.56</v>
      </c>
      <c r="CH83" s="143">
        <v>1180</v>
      </c>
      <c r="CI83" s="143">
        <v>920</v>
      </c>
      <c r="CJ83" s="143">
        <v>1338</v>
      </c>
      <c r="CK83" s="143">
        <v>1400</v>
      </c>
      <c r="CL83" s="143">
        <v>1400</v>
      </c>
      <c r="CM83" s="143">
        <v>1220</v>
      </c>
      <c r="CN83" s="143">
        <v>452</v>
      </c>
      <c r="CO83" s="143">
        <v>446</v>
      </c>
      <c r="CP83" s="143">
        <v>840</v>
      </c>
      <c r="CQ83" s="143">
        <v>269</v>
      </c>
      <c r="CR83" s="143">
        <v>709</v>
      </c>
      <c r="CS83" s="143">
        <v>246.95</v>
      </c>
      <c r="CT83" s="143">
        <v>209.8</v>
      </c>
      <c r="CU83" s="143">
        <v>188</v>
      </c>
      <c r="CV83" s="143">
        <v>206</v>
      </c>
      <c r="CW83" s="14">
        <v>221.6</v>
      </c>
      <c r="CX83" s="14">
        <v>921.97</v>
      </c>
      <c r="CY83" s="14">
        <v>735</v>
      </c>
      <c r="CZ83" s="670">
        <v>645.37</v>
      </c>
      <c r="DA83" s="670">
        <v>790</v>
      </c>
      <c r="DB83" s="670">
        <v>832.43</v>
      </c>
      <c r="DC83">
        <v>826.94</v>
      </c>
      <c r="DD83">
        <v>899.03846153846155</v>
      </c>
      <c r="DE83">
        <v>950</v>
      </c>
      <c r="DF83">
        <v>795.17</v>
      </c>
      <c r="DG83">
        <v>1110</v>
      </c>
      <c r="DH83">
        <v>1107.6923076923076</v>
      </c>
      <c r="DI83">
        <v>1133.3333333333333</v>
      </c>
      <c r="DJ83">
        <v>1115</v>
      </c>
      <c r="DK83">
        <v>1420</v>
      </c>
      <c r="DL83">
        <v>1420</v>
      </c>
      <c r="DM83">
        <v>206.96</v>
      </c>
      <c r="DN83">
        <v>388.2</v>
      </c>
      <c r="DO83">
        <v>1350</v>
      </c>
      <c r="DP83">
        <v>2533</v>
      </c>
      <c r="DQ83">
        <v>8</v>
      </c>
    </row>
    <row r="84" spans="1:121" x14ac:dyDescent="0.2">
      <c r="A84" s="14">
        <v>8.25</v>
      </c>
      <c r="B84" s="684">
        <f t="shared" si="20"/>
        <v>8.8495260517859026E-2</v>
      </c>
      <c r="C84" s="684">
        <f t="shared" si="21"/>
        <v>8.8495260517859012E-2</v>
      </c>
      <c r="D84" s="684">
        <f t="shared" si="9"/>
        <v>2.2123815129464753E-2</v>
      </c>
      <c r="E84" s="684">
        <f t="shared" si="22"/>
        <v>126.26767933670004</v>
      </c>
      <c r="F84" s="684">
        <f t="shared" si="23"/>
        <v>89.207863973616057</v>
      </c>
      <c r="G84" s="684">
        <f t="shared" si="10"/>
        <v>89.207863973616071</v>
      </c>
      <c r="H84" s="684">
        <f t="shared" si="11"/>
        <v>22.301965993404018</v>
      </c>
      <c r="I84" s="1052">
        <f>HLOOKUP('Input &amp; Summary'!$B$6,TurbineProfiles,ROW(I84)-49,0)</f>
        <v>1008.052447685752</v>
      </c>
      <c r="J84" s="684">
        <f t="shared" si="24"/>
        <v>1131.6544251961379</v>
      </c>
      <c r="K84" s="9">
        <f t="shared" si="25"/>
        <v>0.89077763073390248</v>
      </c>
      <c r="L84" s="14">
        <f t="shared" si="26"/>
        <v>1131.6544251961379</v>
      </c>
      <c r="M84" s="684">
        <f t="shared" si="27"/>
        <v>0</v>
      </c>
      <c r="N84" s="684">
        <f t="shared" si="12"/>
        <v>2117.4921141893815</v>
      </c>
      <c r="O84" s="684">
        <f t="shared" si="13"/>
        <v>0.58550112691655953</v>
      </c>
      <c r="P84" s="684">
        <f t="shared" si="14"/>
        <v>22.301965993404018</v>
      </c>
      <c r="Q84" s="684">
        <f t="shared" si="18"/>
        <v>2.2371444903061977E-2</v>
      </c>
      <c r="R84" s="684">
        <f t="shared" si="19"/>
        <v>2.2121968373041367E-2</v>
      </c>
      <c r="S84" s="684">
        <f t="shared" si="15"/>
        <v>22.300104366071142</v>
      </c>
      <c r="T84" s="684">
        <f t="shared" si="16"/>
        <v>22.551589792798566</v>
      </c>
      <c r="U84" s="14">
        <f t="shared" si="17"/>
        <v>1008.052447685752</v>
      </c>
      <c r="V84" s="982">
        <v>607.875</v>
      </c>
      <c r="W84" s="982">
        <v>1418.375</v>
      </c>
      <c r="X84" s="982">
        <v>2026.25</v>
      </c>
      <c r="Y84" s="982">
        <v>715.875</v>
      </c>
      <c r="Z84" s="982">
        <v>1670.375</v>
      </c>
      <c r="AA84" s="982">
        <v>2386.25</v>
      </c>
      <c r="AB84" s="982">
        <v>779.625</v>
      </c>
      <c r="AC84" s="982">
        <v>1819.125</v>
      </c>
      <c r="AD84" s="982">
        <v>2598.7500000000005</v>
      </c>
      <c r="AE84" s="143">
        <v>565</v>
      </c>
      <c r="AF84" s="143">
        <v>677.75</v>
      </c>
      <c r="AG84" s="143">
        <v>329.25</v>
      </c>
      <c r="AH84" s="143">
        <v>327</v>
      </c>
      <c r="AI84" s="14">
        <v>350.25</v>
      </c>
      <c r="AJ84" s="143">
        <v>1676.25</v>
      </c>
      <c r="AK84" s="143">
        <v>487</v>
      </c>
      <c r="AL84" s="143">
        <v>876.46</v>
      </c>
      <c r="AM84" s="143">
        <v>876.46</v>
      </c>
      <c r="AN84" s="143">
        <v>794.46</v>
      </c>
      <c r="AO84" s="143">
        <v>741.41</v>
      </c>
      <c r="AP84" s="143">
        <v>730.38</v>
      </c>
      <c r="AQ84" s="143">
        <v>1022.25</v>
      </c>
      <c r="AR84" s="143">
        <v>978.75</v>
      </c>
      <c r="AS84" s="143">
        <v>958.33333333333326</v>
      </c>
      <c r="AT84" s="143">
        <v>177.68</v>
      </c>
      <c r="AU84" s="143">
        <v>323.63</v>
      </c>
      <c r="AV84" s="143">
        <v>655.95</v>
      </c>
      <c r="AW84" s="143">
        <v>706.21</v>
      </c>
      <c r="AX84" s="143">
        <v>742.93</v>
      </c>
      <c r="AY84" s="143">
        <v>981.45</v>
      </c>
      <c r="AZ84" s="143">
        <v>1260</v>
      </c>
      <c r="BA84" s="143">
        <v>316.375</v>
      </c>
      <c r="BB84" s="143">
        <v>339.07499999999999</v>
      </c>
      <c r="BC84" s="143">
        <v>762</v>
      </c>
      <c r="BD84" s="143">
        <v>917.32500000000005</v>
      </c>
      <c r="BE84" s="143">
        <v>994.2</v>
      </c>
      <c r="BF84" s="143">
        <v>586</v>
      </c>
      <c r="BG84" s="143">
        <v>724.94</v>
      </c>
      <c r="BH84" s="143">
        <v>1060</v>
      </c>
      <c r="BI84" s="143">
        <v>1070</v>
      </c>
      <c r="BJ84" s="14">
        <v>354.34</v>
      </c>
      <c r="BK84" s="143">
        <v>555.12</v>
      </c>
      <c r="BL84" s="143">
        <v>1190</v>
      </c>
      <c r="BM84" s="143">
        <v>1100</v>
      </c>
      <c r="BN84" s="143">
        <v>1482.5</v>
      </c>
      <c r="BO84" s="143">
        <v>235.76</v>
      </c>
      <c r="BP84" s="143">
        <v>282.08</v>
      </c>
      <c r="BQ84" s="143">
        <v>326.05</v>
      </c>
      <c r="BR84" s="143">
        <v>634</v>
      </c>
      <c r="BS84" s="143">
        <v>822.75</v>
      </c>
      <c r="BT84" s="143">
        <v>216.38749999999999</v>
      </c>
      <c r="BU84" s="143">
        <v>416</v>
      </c>
      <c r="BV84" s="143">
        <v>961.75</v>
      </c>
      <c r="BW84" s="143">
        <v>743.75</v>
      </c>
      <c r="BX84" s="143">
        <v>971</v>
      </c>
      <c r="BY84" s="143">
        <v>957.5</v>
      </c>
      <c r="BZ84" s="14">
        <v>1220.25</v>
      </c>
      <c r="CA84" s="143">
        <v>711.25</v>
      </c>
      <c r="CB84">
        <v>865</v>
      </c>
      <c r="CC84" s="143">
        <v>633</v>
      </c>
      <c r="CD84" s="143">
        <v>807.68</v>
      </c>
      <c r="CE84" s="143">
        <v>1370</v>
      </c>
      <c r="CF84" s="143">
        <v>1637.5</v>
      </c>
      <c r="CG84" s="143">
        <v>963.26</v>
      </c>
      <c r="CH84" s="143">
        <v>1280</v>
      </c>
      <c r="CI84" s="143">
        <v>980</v>
      </c>
      <c r="CJ84" s="143">
        <v>1427</v>
      </c>
      <c r="CK84" s="143">
        <v>1550</v>
      </c>
      <c r="CL84" s="143">
        <v>1500</v>
      </c>
      <c r="CM84" s="143">
        <v>1330</v>
      </c>
      <c r="CN84" s="143">
        <v>500.25</v>
      </c>
      <c r="CO84" s="143">
        <v>489.75</v>
      </c>
      <c r="CP84" s="143">
        <v>925</v>
      </c>
      <c r="CQ84" s="143">
        <v>294.75</v>
      </c>
      <c r="CR84" s="143">
        <v>775.25</v>
      </c>
      <c r="CS84" s="143">
        <v>279.88</v>
      </c>
      <c r="CT84" s="143">
        <v>228.85000000000002</v>
      </c>
      <c r="CU84" s="143">
        <v>208</v>
      </c>
      <c r="CV84" s="143">
        <v>226.25</v>
      </c>
      <c r="CW84" s="14">
        <v>243</v>
      </c>
      <c r="CX84" s="14">
        <v>984.21</v>
      </c>
      <c r="CY84" s="14">
        <v>805</v>
      </c>
      <c r="CZ84" s="670">
        <v>710.58</v>
      </c>
      <c r="DA84" s="670">
        <v>862.14285714285711</v>
      </c>
      <c r="DB84" s="670">
        <v>904.2</v>
      </c>
      <c r="DC84">
        <v>904.2</v>
      </c>
      <c r="DD84">
        <v>976.92307692307691</v>
      </c>
      <c r="DE84">
        <v>1035</v>
      </c>
      <c r="DF84">
        <v>888.05</v>
      </c>
      <c r="DG84">
        <v>1200</v>
      </c>
      <c r="DH84">
        <v>1184.6153846153848</v>
      </c>
      <c r="DI84">
        <v>1226.6666666666667</v>
      </c>
      <c r="DJ84">
        <v>1201.875</v>
      </c>
      <c r="DK84">
        <v>1540</v>
      </c>
      <c r="DL84">
        <v>1540</v>
      </c>
      <c r="DM84">
        <v>231.35</v>
      </c>
      <c r="DN84">
        <v>431.09999999999997</v>
      </c>
      <c r="DO84">
        <v>1495</v>
      </c>
      <c r="DP84">
        <v>2774.75</v>
      </c>
      <c r="DQ84">
        <v>8.25</v>
      </c>
    </row>
    <row r="85" spans="1:121" x14ac:dyDescent="0.2">
      <c r="A85" s="14">
        <v>8.5</v>
      </c>
      <c r="B85" s="684">
        <f t="shared" si="20"/>
        <v>8.6368100505540724E-2</v>
      </c>
      <c r="C85" s="684">
        <f t="shared" si="21"/>
        <v>8.6368100505540696E-2</v>
      </c>
      <c r="D85" s="684">
        <f t="shared" si="9"/>
        <v>2.1592025126385174E-2</v>
      </c>
      <c r="E85" s="684">
        <f t="shared" si="22"/>
        <v>134.77845894073363</v>
      </c>
      <c r="F85" s="684">
        <f t="shared" si="23"/>
        <v>95.441652318467973</v>
      </c>
      <c r="G85" s="684">
        <f t="shared" si="10"/>
        <v>95.441652318467959</v>
      </c>
      <c r="H85" s="684">
        <f t="shared" si="11"/>
        <v>23.86041307961699</v>
      </c>
      <c r="I85" s="1052">
        <f>HLOOKUP('Input &amp; Summary'!$B$6,TurbineProfiles,ROW(I85)-49,0)</f>
        <v>1105.0567484964565</v>
      </c>
      <c r="J85" s="684">
        <f t="shared" si="24"/>
        <v>1237.6810954701004</v>
      </c>
      <c r="K85" s="9">
        <f t="shared" si="25"/>
        <v>0.89284449163920532</v>
      </c>
      <c r="L85" s="14">
        <f t="shared" si="26"/>
        <v>1237.6810954701004</v>
      </c>
      <c r="M85" s="684">
        <f t="shared" si="27"/>
        <v>0</v>
      </c>
      <c r="N85" s="684">
        <f t="shared" si="12"/>
        <v>2117.4921141893815</v>
      </c>
      <c r="O85" s="684">
        <f t="shared" si="13"/>
        <v>0.6073625385753193</v>
      </c>
      <c r="P85" s="684">
        <f t="shared" si="14"/>
        <v>23.86041307961699</v>
      </c>
      <c r="Q85" s="684">
        <f t="shared" si="18"/>
        <v>2.1861411658759766E-2</v>
      </c>
      <c r="R85" s="684">
        <f t="shared" si="19"/>
        <v>2.1590380429491018E-2</v>
      </c>
      <c r="S85" s="684">
        <f t="shared" si="15"/>
        <v>23.858595596214872</v>
      </c>
      <c r="T85" s="684">
        <f t="shared" si="16"/>
        <v>24.158100485171595</v>
      </c>
      <c r="U85" s="14">
        <f t="shared" si="17"/>
        <v>1105.0567484964565</v>
      </c>
      <c r="V85" s="982">
        <v>666.75</v>
      </c>
      <c r="W85" s="982">
        <v>1555.75</v>
      </c>
      <c r="X85" s="982">
        <v>2222.5</v>
      </c>
      <c r="Y85" s="982">
        <v>780.75</v>
      </c>
      <c r="Z85" s="982">
        <v>1821.7499999999998</v>
      </c>
      <c r="AA85" s="982">
        <v>2602.5</v>
      </c>
      <c r="AB85" s="982">
        <v>851.25000000000011</v>
      </c>
      <c r="AC85" s="982">
        <v>1986.25</v>
      </c>
      <c r="AD85" s="982">
        <v>2837.5</v>
      </c>
      <c r="AE85" s="143">
        <v>623</v>
      </c>
      <c r="AF85" s="143">
        <v>747.5</v>
      </c>
      <c r="AG85" s="143">
        <v>359.5</v>
      </c>
      <c r="AH85" s="143">
        <v>349.5</v>
      </c>
      <c r="AI85" s="14">
        <v>374.4375</v>
      </c>
      <c r="AJ85" s="143">
        <v>1882.5</v>
      </c>
      <c r="AK85" s="143">
        <v>521.5</v>
      </c>
      <c r="AL85" s="143">
        <v>987.27</v>
      </c>
      <c r="AM85" s="143">
        <v>982.45</v>
      </c>
      <c r="AN85" s="143">
        <v>905.29</v>
      </c>
      <c r="AO85" s="143">
        <v>808.83</v>
      </c>
      <c r="AP85" s="143">
        <v>804.99</v>
      </c>
      <c r="AQ85" s="143">
        <v>1092.5</v>
      </c>
      <c r="AR85" s="143">
        <v>1052.5</v>
      </c>
      <c r="AS85" s="143">
        <v>1050</v>
      </c>
      <c r="AT85" s="143">
        <v>192.08</v>
      </c>
      <c r="AU85" s="143">
        <v>353.58</v>
      </c>
      <c r="AV85" s="143">
        <v>722.04</v>
      </c>
      <c r="AW85" s="143">
        <v>793.47</v>
      </c>
      <c r="AX85" s="143">
        <v>817.14</v>
      </c>
      <c r="AY85" s="143">
        <v>1080</v>
      </c>
      <c r="AZ85" s="143">
        <v>1390</v>
      </c>
      <c r="BA85" s="143">
        <v>347.15</v>
      </c>
      <c r="BB85" s="143">
        <v>371.15</v>
      </c>
      <c r="BC85" s="143">
        <v>834</v>
      </c>
      <c r="BD85" s="143">
        <v>1003.1500000000001</v>
      </c>
      <c r="BE85" s="143">
        <v>1087.6000000000001</v>
      </c>
      <c r="BF85" s="143">
        <v>644</v>
      </c>
      <c r="BG85" s="143">
        <v>798.29</v>
      </c>
      <c r="BH85" s="143">
        <v>1130</v>
      </c>
      <c r="BI85" s="143">
        <v>1170</v>
      </c>
      <c r="BJ85" s="14">
        <v>381.2</v>
      </c>
      <c r="BK85" s="143">
        <v>592.39</v>
      </c>
      <c r="BL85" s="143">
        <v>1300</v>
      </c>
      <c r="BM85" s="143">
        <v>1210</v>
      </c>
      <c r="BN85" s="143">
        <v>1630</v>
      </c>
      <c r="BO85" s="143">
        <v>254.92</v>
      </c>
      <c r="BP85" s="143">
        <v>308</v>
      </c>
      <c r="BQ85" s="143">
        <v>350.19</v>
      </c>
      <c r="BR85" s="143">
        <v>692</v>
      </c>
      <c r="BS85" s="143">
        <v>887.5</v>
      </c>
      <c r="BT85" s="143">
        <v>236.52499999999998</v>
      </c>
      <c r="BU85" s="143">
        <v>456</v>
      </c>
      <c r="BV85" s="143">
        <v>1053.5</v>
      </c>
      <c r="BW85" s="143">
        <v>820.5</v>
      </c>
      <c r="BX85" s="143">
        <v>1062</v>
      </c>
      <c r="BY85" s="143">
        <v>1045</v>
      </c>
      <c r="BZ85" s="14">
        <v>1338.5</v>
      </c>
      <c r="CA85" s="143">
        <v>780.5</v>
      </c>
      <c r="CB85">
        <v>949</v>
      </c>
      <c r="CC85" s="143">
        <v>683.34</v>
      </c>
      <c r="CD85" s="143">
        <v>883.54</v>
      </c>
      <c r="CE85" s="143">
        <v>1490</v>
      </c>
      <c r="CF85" s="143">
        <v>1805</v>
      </c>
      <c r="CG85" s="143">
        <v>1040</v>
      </c>
      <c r="CH85" s="143">
        <v>1420</v>
      </c>
      <c r="CI85" s="143">
        <v>1040</v>
      </c>
      <c r="CJ85" s="143">
        <v>1516</v>
      </c>
      <c r="CK85" s="143">
        <v>1700</v>
      </c>
      <c r="CL85" s="143">
        <v>1600</v>
      </c>
      <c r="CM85" s="143">
        <v>1440</v>
      </c>
      <c r="CN85" s="143">
        <v>548.5</v>
      </c>
      <c r="CO85" s="143">
        <v>533.5</v>
      </c>
      <c r="CP85" s="143">
        <v>1010</v>
      </c>
      <c r="CQ85" s="143">
        <v>320.5</v>
      </c>
      <c r="CR85" s="143">
        <v>841.5</v>
      </c>
      <c r="CS85" s="143">
        <v>312.8</v>
      </c>
      <c r="CT85" s="143">
        <v>247.90000000000003</v>
      </c>
      <c r="CU85" s="143">
        <v>228</v>
      </c>
      <c r="CV85" s="143">
        <v>246.5</v>
      </c>
      <c r="CW85" s="14">
        <v>265.89999999999998</v>
      </c>
      <c r="CX85" s="14">
        <v>1040</v>
      </c>
      <c r="CY85" s="14">
        <v>875</v>
      </c>
      <c r="CZ85" s="670">
        <v>768.94</v>
      </c>
      <c r="DA85" s="670">
        <v>934.28571428571422</v>
      </c>
      <c r="DB85" s="670">
        <v>992.49</v>
      </c>
      <c r="DC85">
        <v>997.99</v>
      </c>
      <c r="DD85">
        <v>1054.8076923076924</v>
      </c>
      <c r="DE85">
        <v>1120</v>
      </c>
      <c r="DF85">
        <v>992.55</v>
      </c>
      <c r="DG85">
        <v>1290</v>
      </c>
      <c r="DH85">
        <v>1261.5384615384614</v>
      </c>
      <c r="DI85">
        <v>1320</v>
      </c>
      <c r="DJ85">
        <v>1288.75</v>
      </c>
      <c r="DK85">
        <v>1680</v>
      </c>
      <c r="DL85">
        <v>1680</v>
      </c>
      <c r="DM85">
        <v>252.77</v>
      </c>
      <c r="DN85">
        <v>473.99999999999994</v>
      </c>
      <c r="DO85">
        <v>1640</v>
      </c>
      <c r="DP85">
        <v>3016.5</v>
      </c>
      <c r="DQ85">
        <v>8.5</v>
      </c>
    </row>
    <row r="86" spans="1:121" x14ac:dyDescent="0.2">
      <c r="A86" s="14">
        <v>8.75</v>
      </c>
      <c r="B86" s="684">
        <f t="shared" si="20"/>
        <v>8.4083046391379423E-2</v>
      </c>
      <c r="C86" s="684">
        <f t="shared" si="21"/>
        <v>8.4083046391379437E-2</v>
      </c>
      <c r="D86" s="684">
        <f t="shared" si="9"/>
        <v>2.1020761597844859E-2</v>
      </c>
      <c r="E86" s="684">
        <f t="shared" si="22"/>
        <v>143.13404282616025</v>
      </c>
      <c r="F86" s="684">
        <f t="shared" si="23"/>
        <v>101.56713646912921</v>
      </c>
      <c r="G86" s="684">
        <f t="shared" si="10"/>
        <v>101.56713646912917</v>
      </c>
      <c r="H86" s="684">
        <f t="shared" si="11"/>
        <v>25.391784117282292</v>
      </c>
      <c r="I86" s="1052">
        <f>HLOOKUP('Input &amp; Summary'!$B$6,TurbineProfiles,ROW(I86)-49,0)</f>
        <v>1207.9383517619822</v>
      </c>
      <c r="J86" s="684">
        <f t="shared" si="24"/>
        <v>1350.1317160665719</v>
      </c>
      <c r="K86" s="9">
        <f t="shared" si="25"/>
        <v>0.89468185761989871</v>
      </c>
      <c r="L86" s="14">
        <f t="shared" si="26"/>
        <v>1350.1317160665719</v>
      </c>
      <c r="M86" s="684">
        <f t="shared" si="27"/>
        <v>0</v>
      </c>
      <c r="N86" s="684">
        <f t="shared" si="12"/>
        <v>2117.4921141893815</v>
      </c>
      <c r="O86" s="684">
        <f t="shared" si="13"/>
        <v>0.62867201945276541</v>
      </c>
      <c r="P86" s="684">
        <f t="shared" si="14"/>
        <v>25.391784117282292</v>
      </c>
      <c r="Q86" s="684">
        <f t="shared" si="18"/>
        <v>2.1309480877446108E-2</v>
      </c>
      <c r="R86" s="684">
        <f t="shared" si="19"/>
        <v>2.1019318495251738E-2</v>
      </c>
      <c r="S86" s="684">
        <f t="shared" si="15"/>
        <v>25.390040938314531</v>
      </c>
      <c r="T86" s="684">
        <f t="shared" si="16"/>
        <v>25.740539208005728</v>
      </c>
      <c r="U86" s="14">
        <f t="shared" si="17"/>
        <v>1207.9383517619822</v>
      </c>
      <c r="V86" s="982">
        <v>725.625</v>
      </c>
      <c r="W86" s="982">
        <v>1693.125</v>
      </c>
      <c r="X86" s="982">
        <v>2418.75</v>
      </c>
      <c r="Y86" s="982">
        <v>845.625</v>
      </c>
      <c r="Z86" s="982">
        <v>1973.125</v>
      </c>
      <c r="AA86" s="982">
        <v>2818.7499999999995</v>
      </c>
      <c r="AB86" s="982">
        <v>922.87499999999989</v>
      </c>
      <c r="AC86" s="982">
        <v>2153.375</v>
      </c>
      <c r="AD86" s="982">
        <v>3076.25</v>
      </c>
      <c r="AE86" s="143">
        <v>681</v>
      </c>
      <c r="AF86" s="143">
        <v>817.25</v>
      </c>
      <c r="AG86" s="143">
        <v>389.75</v>
      </c>
      <c r="AH86" s="143">
        <v>372</v>
      </c>
      <c r="AI86" s="14">
        <v>398.625</v>
      </c>
      <c r="AJ86" s="143">
        <v>2088.75</v>
      </c>
      <c r="AK86" s="143">
        <v>556</v>
      </c>
      <c r="AL86" s="143">
        <v>1120</v>
      </c>
      <c r="AM86" s="143">
        <v>1040</v>
      </c>
      <c r="AN86" s="143">
        <v>967.88</v>
      </c>
      <c r="AO86" s="143">
        <v>890.72</v>
      </c>
      <c r="AP86" s="143">
        <v>883.53</v>
      </c>
      <c r="AQ86" s="143">
        <v>1162.75</v>
      </c>
      <c r="AR86" s="143">
        <v>1126.25</v>
      </c>
      <c r="AS86" s="143">
        <v>1141.6666666666665</v>
      </c>
      <c r="AT86" s="143">
        <v>208.28</v>
      </c>
      <c r="AU86" s="143">
        <v>383.81</v>
      </c>
      <c r="AV86" s="143">
        <v>788.14</v>
      </c>
      <c r="AW86" s="143">
        <v>888.66</v>
      </c>
      <c r="AX86" s="143">
        <v>891.34</v>
      </c>
      <c r="AY86" s="143">
        <v>1180</v>
      </c>
      <c r="AZ86" s="143">
        <v>1530</v>
      </c>
      <c r="BA86" s="143">
        <v>377.92499999999995</v>
      </c>
      <c r="BB86" s="143">
        <v>403.22499999999997</v>
      </c>
      <c r="BC86" s="143">
        <v>906</v>
      </c>
      <c r="BD86" s="143">
        <v>1088.9750000000001</v>
      </c>
      <c r="BE86" s="143">
        <v>1181.0000000000002</v>
      </c>
      <c r="BF86" s="143">
        <v>709</v>
      </c>
      <c r="BG86" s="143">
        <v>871.63</v>
      </c>
      <c r="BH86" s="143">
        <v>1200</v>
      </c>
      <c r="BI86" s="143">
        <v>1280</v>
      </c>
      <c r="BJ86" s="14">
        <v>418.39</v>
      </c>
      <c r="BK86" s="143">
        <v>638.98</v>
      </c>
      <c r="BL86" s="143">
        <v>1430</v>
      </c>
      <c r="BM86" s="143">
        <v>1290</v>
      </c>
      <c r="BN86" s="143">
        <v>1777.5</v>
      </c>
      <c r="BO86" s="143">
        <v>274.08999999999997</v>
      </c>
      <c r="BP86" s="143">
        <v>333.92</v>
      </c>
      <c r="BQ86" s="143">
        <v>374.33</v>
      </c>
      <c r="BR86" s="143">
        <v>750</v>
      </c>
      <c r="BS86" s="143">
        <v>952.25</v>
      </c>
      <c r="BT86" s="143">
        <v>256.66249999999997</v>
      </c>
      <c r="BU86" s="143">
        <v>496</v>
      </c>
      <c r="BV86" s="143">
        <v>1145.25</v>
      </c>
      <c r="BW86" s="143">
        <v>897.25</v>
      </c>
      <c r="BX86" s="143">
        <v>1162</v>
      </c>
      <c r="BY86" s="143">
        <v>1141</v>
      </c>
      <c r="BZ86" s="14">
        <v>1456.75</v>
      </c>
      <c r="CA86" s="143">
        <v>849.75</v>
      </c>
      <c r="CB86">
        <v>1033</v>
      </c>
      <c r="CC86" s="143">
        <v>738.71</v>
      </c>
      <c r="CD86" s="143">
        <v>969.53</v>
      </c>
      <c r="CE86" s="143">
        <v>1610</v>
      </c>
      <c r="CF86" s="143">
        <v>1972.5</v>
      </c>
      <c r="CG86" s="143">
        <v>1110</v>
      </c>
      <c r="CH86" s="143">
        <v>1560</v>
      </c>
      <c r="CI86" s="143">
        <v>1100</v>
      </c>
      <c r="CJ86" s="143">
        <v>1605</v>
      </c>
      <c r="CK86" s="143">
        <v>1850</v>
      </c>
      <c r="CL86" s="143">
        <v>1700</v>
      </c>
      <c r="CM86" s="143">
        <v>1550</v>
      </c>
      <c r="CN86" s="143">
        <v>596.75</v>
      </c>
      <c r="CO86" s="143">
        <v>577.25</v>
      </c>
      <c r="CP86" s="143">
        <v>1095</v>
      </c>
      <c r="CQ86" s="143">
        <v>346.25</v>
      </c>
      <c r="CR86" s="143">
        <v>907.75</v>
      </c>
      <c r="CS86" s="143">
        <v>334.76</v>
      </c>
      <c r="CT86" s="143">
        <v>266.95000000000005</v>
      </c>
      <c r="CU86" s="143">
        <v>248</v>
      </c>
      <c r="CV86" s="143">
        <v>266.75</v>
      </c>
      <c r="CW86" s="14">
        <v>284.23</v>
      </c>
      <c r="CX86" s="14">
        <v>1100</v>
      </c>
      <c r="CY86" s="14">
        <v>945</v>
      </c>
      <c r="CZ86" s="670">
        <v>837.58</v>
      </c>
      <c r="DA86" s="670">
        <v>1006.4285714285714</v>
      </c>
      <c r="DB86" s="670">
        <v>1080</v>
      </c>
      <c r="DC86">
        <v>1090</v>
      </c>
      <c r="DD86">
        <v>1132.6923076923076</v>
      </c>
      <c r="DE86">
        <v>1205</v>
      </c>
      <c r="DF86">
        <v>1090</v>
      </c>
      <c r="DG86">
        <v>1390</v>
      </c>
      <c r="DH86">
        <v>1338.4615384615386</v>
      </c>
      <c r="DI86">
        <v>1413.3333333333335</v>
      </c>
      <c r="DJ86">
        <v>1375.625</v>
      </c>
      <c r="DK86">
        <v>1810</v>
      </c>
      <c r="DL86">
        <v>1810</v>
      </c>
      <c r="DM86">
        <v>274.19</v>
      </c>
      <c r="DN86">
        <v>516.9</v>
      </c>
      <c r="DO86">
        <v>1785</v>
      </c>
      <c r="DP86">
        <v>3258.25</v>
      </c>
      <c r="DQ86">
        <v>8.75</v>
      </c>
    </row>
    <row r="87" spans="1:121" x14ac:dyDescent="0.2">
      <c r="A87" s="14">
        <v>9</v>
      </c>
      <c r="B87" s="684">
        <f t="shared" si="20"/>
        <v>8.1659440624649332E-2</v>
      </c>
      <c r="C87" s="684">
        <f t="shared" si="21"/>
        <v>8.1659440624649332E-2</v>
      </c>
      <c r="D87" s="684">
        <f t="shared" si="9"/>
        <v>2.0414860156162333E-2</v>
      </c>
      <c r="E87" s="684">
        <f t="shared" si="22"/>
        <v>151.26702648485687</v>
      </c>
      <c r="F87" s="684">
        <f t="shared" si="23"/>
        <v>107.53487731892409</v>
      </c>
      <c r="G87" s="684">
        <f t="shared" si="10"/>
        <v>107.53487731892403</v>
      </c>
      <c r="H87" s="684">
        <f t="shared" si="11"/>
        <v>26.883719329731008</v>
      </c>
      <c r="I87" s="1052">
        <f>HLOOKUP('Input &amp; Summary'!$B$6,TurbineProfiles,ROW(I87)-49,0)</f>
        <v>1316.870119319236</v>
      </c>
      <c r="J87" s="684">
        <f t="shared" si="24"/>
        <v>1469.1952267009208</v>
      </c>
      <c r="K87" s="9">
        <f t="shared" si="25"/>
        <v>0.89632071721078832</v>
      </c>
      <c r="L87" s="14">
        <f t="shared" si="26"/>
        <v>1469.1952267009208</v>
      </c>
      <c r="M87" s="684">
        <f t="shared" si="27"/>
        <v>0</v>
      </c>
      <c r="N87" s="684">
        <f t="shared" si="12"/>
        <v>2117.4921141893815</v>
      </c>
      <c r="O87" s="684">
        <f t="shared" si="13"/>
        <v>0.64939251634101569</v>
      </c>
      <c r="P87" s="684">
        <f t="shared" si="14"/>
        <v>26.883719329731008</v>
      </c>
      <c r="Q87" s="684">
        <f t="shared" si="18"/>
        <v>2.0720496888250284E-2</v>
      </c>
      <c r="R87" s="684">
        <f t="shared" si="19"/>
        <v>2.0413616623982556E-2</v>
      </c>
      <c r="S87" s="684">
        <f t="shared" si="15"/>
        <v>26.882081759361046</v>
      </c>
      <c r="T87" s="684">
        <f t="shared" si="16"/>
        <v>27.286203209584009</v>
      </c>
      <c r="U87" s="14">
        <f t="shared" si="17"/>
        <v>1316.870119319236</v>
      </c>
      <c r="V87" s="982">
        <v>784.5</v>
      </c>
      <c r="W87" s="982">
        <v>1830.5</v>
      </c>
      <c r="X87" s="982">
        <v>2615</v>
      </c>
      <c r="Y87" s="982">
        <v>910.5</v>
      </c>
      <c r="Z87" s="982">
        <v>2124.5</v>
      </c>
      <c r="AA87" s="982">
        <v>3035</v>
      </c>
      <c r="AB87" s="982">
        <v>994.49999999999989</v>
      </c>
      <c r="AC87" s="982">
        <v>2320.4999999999995</v>
      </c>
      <c r="AD87" s="982">
        <v>3314.9999999999995</v>
      </c>
      <c r="AE87" s="143">
        <v>739</v>
      </c>
      <c r="AF87" s="143">
        <v>887</v>
      </c>
      <c r="AG87" s="143">
        <v>420</v>
      </c>
      <c r="AH87" s="143">
        <v>417</v>
      </c>
      <c r="AI87" s="996">
        <v>447</v>
      </c>
      <c r="AJ87" s="143">
        <v>2295</v>
      </c>
      <c r="AK87" s="143">
        <v>625</v>
      </c>
      <c r="AL87" s="143">
        <v>1210</v>
      </c>
      <c r="AM87" s="143">
        <v>1130</v>
      </c>
      <c r="AN87" s="143">
        <v>1050</v>
      </c>
      <c r="AO87" s="143">
        <v>987.06</v>
      </c>
      <c r="AP87" s="143">
        <v>965.97</v>
      </c>
      <c r="AQ87" s="143">
        <v>1233</v>
      </c>
      <c r="AR87" s="143">
        <v>1200</v>
      </c>
      <c r="AS87" s="143">
        <v>1233.3333333333335</v>
      </c>
      <c r="AT87" s="143">
        <v>224.48</v>
      </c>
      <c r="AU87" s="143">
        <v>419.81</v>
      </c>
      <c r="AV87" s="143">
        <v>859.52</v>
      </c>
      <c r="AW87" s="143">
        <v>965.34</v>
      </c>
      <c r="AX87" s="143">
        <v>970.85</v>
      </c>
      <c r="AY87" s="143">
        <v>1280</v>
      </c>
      <c r="AZ87" s="143">
        <v>1650</v>
      </c>
      <c r="BA87" s="143">
        <v>408.7</v>
      </c>
      <c r="BB87" s="143">
        <v>435.3</v>
      </c>
      <c r="BC87" s="143">
        <v>978</v>
      </c>
      <c r="BD87" s="143">
        <v>1174.8</v>
      </c>
      <c r="BE87" s="143">
        <v>1274.4000000000001</v>
      </c>
      <c r="BF87" s="143">
        <v>774</v>
      </c>
      <c r="BG87" s="143">
        <v>940.08</v>
      </c>
      <c r="BH87" s="143">
        <v>1260</v>
      </c>
      <c r="BI87" s="143">
        <v>1380</v>
      </c>
      <c r="BJ87" s="996">
        <v>445.25</v>
      </c>
      <c r="BK87" s="143">
        <v>676.24</v>
      </c>
      <c r="BL87" s="143">
        <v>1520</v>
      </c>
      <c r="BM87" s="143">
        <v>1400</v>
      </c>
      <c r="BN87" s="143">
        <v>1925</v>
      </c>
      <c r="BO87" s="143">
        <v>297.08</v>
      </c>
      <c r="BP87" s="143">
        <v>359.83</v>
      </c>
      <c r="BQ87" s="143">
        <v>400.47</v>
      </c>
      <c r="BR87" s="143">
        <v>808</v>
      </c>
      <c r="BS87" s="143">
        <v>1017</v>
      </c>
      <c r="BT87" s="143">
        <v>276.8</v>
      </c>
      <c r="BU87" s="143">
        <v>536</v>
      </c>
      <c r="BV87" s="143">
        <v>1237</v>
      </c>
      <c r="BW87" s="143">
        <v>974</v>
      </c>
      <c r="BX87" s="143">
        <v>1262</v>
      </c>
      <c r="BY87" s="143">
        <v>1237</v>
      </c>
      <c r="BZ87" s="996">
        <v>1575</v>
      </c>
      <c r="CA87" s="143">
        <v>919</v>
      </c>
      <c r="CB87">
        <v>1117</v>
      </c>
      <c r="CC87" s="143">
        <v>804.13</v>
      </c>
      <c r="CD87" s="143">
        <v>1050</v>
      </c>
      <c r="CE87" s="143">
        <v>1720</v>
      </c>
      <c r="CF87" s="143">
        <v>2140</v>
      </c>
      <c r="CG87" s="143">
        <v>1200</v>
      </c>
      <c r="CH87" s="143">
        <v>1730</v>
      </c>
      <c r="CI87" s="143">
        <v>1160</v>
      </c>
      <c r="CJ87" s="143">
        <v>1694</v>
      </c>
      <c r="CK87" s="143">
        <v>2000</v>
      </c>
      <c r="CL87" s="143">
        <v>1800</v>
      </c>
      <c r="CM87" s="143">
        <v>1660</v>
      </c>
      <c r="CN87" s="143">
        <v>645</v>
      </c>
      <c r="CO87" s="143">
        <v>621</v>
      </c>
      <c r="CP87" s="143">
        <v>1180</v>
      </c>
      <c r="CQ87" s="143">
        <v>372</v>
      </c>
      <c r="CR87" s="143">
        <v>974</v>
      </c>
      <c r="CS87" s="143">
        <v>367.68</v>
      </c>
      <c r="CT87" s="143">
        <v>286</v>
      </c>
      <c r="CU87" s="143">
        <v>268</v>
      </c>
      <c r="CV87" s="143">
        <v>287</v>
      </c>
      <c r="CW87" s="14">
        <v>308.64999999999998</v>
      </c>
      <c r="CX87" s="14">
        <v>1160</v>
      </c>
      <c r="CY87" s="14">
        <v>1015</v>
      </c>
      <c r="CZ87" s="670">
        <v>899.38</v>
      </c>
      <c r="DA87" s="670">
        <v>1078.5714285714284</v>
      </c>
      <c r="DB87" s="670">
        <v>1140</v>
      </c>
      <c r="DC87">
        <v>1190</v>
      </c>
      <c r="DD87">
        <v>1210.5769230769231</v>
      </c>
      <c r="DE87">
        <v>1290</v>
      </c>
      <c r="DF87">
        <v>1200</v>
      </c>
      <c r="DG87">
        <v>1460</v>
      </c>
      <c r="DH87">
        <v>1415.3846153846152</v>
      </c>
      <c r="DI87">
        <v>1506.6666666666665</v>
      </c>
      <c r="DJ87">
        <v>1462.5</v>
      </c>
      <c r="DK87">
        <v>1960</v>
      </c>
      <c r="DL87">
        <v>1960</v>
      </c>
      <c r="DM87">
        <v>301.66000000000003</v>
      </c>
      <c r="DN87">
        <v>559.79999999999995</v>
      </c>
      <c r="DO87">
        <v>1930</v>
      </c>
      <c r="DP87">
        <v>3500</v>
      </c>
      <c r="DQ87">
        <v>9</v>
      </c>
    </row>
    <row r="88" spans="1:121" x14ac:dyDescent="0.2">
      <c r="A88" s="14">
        <v>9.25</v>
      </c>
      <c r="B88" s="684">
        <f t="shared" si="20"/>
        <v>7.9116432074891926E-2</v>
      </c>
      <c r="C88" s="684">
        <f t="shared" si="21"/>
        <v>7.9116432074891926E-2</v>
      </c>
      <c r="D88" s="684">
        <f t="shared" si="9"/>
        <v>1.9779108018722982E-2</v>
      </c>
      <c r="E88" s="684">
        <f t="shared" si="22"/>
        <v>159.11174280396801</v>
      </c>
      <c r="F88" s="684">
        <f t="shared" si="23"/>
        <v>113.296701759323</v>
      </c>
      <c r="G88" s="684">
        <f t="shared" si="10"/>
        <v>113.29670175932301</v>
      </c>
      <c r="H88" s="684">
        <f t="shared" si="11"/>
        <v>28.324175439830753</v>
      </c>
      <c r="I88" s="1052">
        <f>HLOOKUP('Input &amp; Summary'!$B$6,TurbineProfiles,ROW(I88)-49,0)</f>
        <v>1432.0249130051252</v>
      </c>
      <c r="J88" s="684">
        <f t="shared" si="24"/>
        <v>1595.0605670885154</v>
      </c>
      <c r="K88" s="9">
        <f t="shared" si="25"/>
        <v>0.89778717031355038</v>
      </c>
      <c r="L88" s="14">
        <f t="shared" si="26"/>
        <v>1595.0605670885154</v>
      </c>
      <c r="M88" s="684">
        <f t="shared" si="27"/>
        <v>0</v>
      </c>
      <c r="N88" s="684">
        <f t="shared" si="12"/>
        <v>2117.4921141893815</v>
      </c>
      <c r="O88" s="684">
        <f t="shared" si="13"/>
        <v>0.66949179046204743</v>
      </c>
      <c r="P88" s="684">
        <f t="shared" si="14"/>
        <v>28.324175439830753</v>
      </c>
      <c r="Q88" s="684">
        <f t="shared" si="18"/>
        <v>2.009927412103174E-2</v>
      </c>
      <c r="R88" s="684">
        <f t="shared" si="19"/>
        <v>1.9778060579223822E-2</v>
      </c>
      <c r="S88" s="684">
        <f t="shared" si="15"/>
        <v>28.322675480373089</v>
      </c>
      <c r="T88" s="684">
        <f t="shared" si="16"/>
        <v>28.782661274636641</v>
      </c>
      <c r="U88" s="14">
        <f t="shared" si="17"/>
        <v>1432.0249130051252</v>
      </c>
      <c r="V88" s="982">
        <v>851.625</v>
      </c>
      <c r="W88" s="982">
        <v>1987.1249999999998</v>
      </c>
      <c r="X88" s="982">
        <v>2838.75</v>
      </c>
      <c r="Y88" s="982">
        <v>974.25</v>
      </c>
      <c r="Z88" s="982">
        <v>2273.25</v>
      </c>
      <c r="AA88" s="982">
        <v>3247.4999999999995</v>
      </c>
      <c r="AB88" s="982">
        <v>1060.125</v>
      </c>
      <c r="AC88" s="982">
        <v>2473.625</v>
      </c>
      <c r="AD88" s="982">
        <v>3533.75</v>
      </c>
      <c r="AE88" s="143">
        <v>809.5</v>
      </c>
      <c r="AF88" s="143">
        <v>971.5</v>
      </c>
      <c r="AG88" s="143">
        <v>453</v>
      </c>
      <c r="AH88" s="143">
        <v>450</v>
      </c>
      <c r="AI88" s="14">
        <v>482</v>
      </c>
      <c r="AJ88" s="143">
        <v>2493.75</v>
      </c>
      <c r="AK88" s="143">
        <v>673.75</v>
      </c>
      <c r="AL88" s="143">
        <v>1320</v>
      </c>
      <c r="AM88" s="143">
        <v>1280</v>
      </c>
      <c r="AN88" s="143">
        <v>1150</v>
      </c>
      <c r="AO88" s="143">
        <v>1080</v>
      </c>
      <c r="AP88" s="143">
        <v>1060</v>
      </c>
      <c r="AQ88" s="143">
        <v>1318.25</v>
      </c>
      <c r="AR88" s="143">
        <v>1300</v>
      </c>
      <c r="AS88" s="143">
        <v>1325</v>
      </c>
      <c r="AT88" s="143">
        <v>246.1</v>
      </c>
      <c r="AU88" s="143">
        <v>455.83</v>
      </c>
      <c r="AV88" s="143">
        <v>928.26</v>
      </c>
      <c r="AW88" s="143">
        <v>1010</v>
      </c>
      <c r="AX88" s="143">
        <v>1070</v>
      </c>
      <c r="AY88" s="143">
        <v>1380</v>
      </c>
      <c r="AZ88" s="143">
        <v>1780</v>
      </c>
      <c r="BA88" s="143">
        <v>440.02499999999998</v>
      </c>
      <c r="BB88" s="143">
        <v>467.6</v>
      </c>
      <c r="BC88" s="143">
        <v>1057.5</v>
      </c>
      <c r="BD88" s="143">
        <v>1263.175</v>
      </c>
      <c r="BE88" s="143">
        <v>1364.0500000000002</v>
      </c>
      <c r="BF88" s="143">
        <v>850.25</v>
      </c>
      <c r="BG88" s="143">
        <v>1010</v>
      </c>
      <c r="BH88" s="143">
        <v>1310</v>
      </c>
      <c r="BI88" s="143">
        <v>1510</v>
      </c>
      <c r="BJ88" s="14">
        <v>480.37</v>
      </c>
      <c r="BK88" s="143">
        <v>711.96</v>
      </c>
      <c r="BL88" s="143">
        <v>1650</v>
      </c>
      <c r="BM88" s="143">
        <v>1480</v>
      </c>
      <c r="BN88" s="143">
        <v>2097.5</v>
      </c>
      <c r="BO88" s="143">
        <v>316.25</v>
      </c>
      <c r="BP88" s="143">
        <v>385.76</v>
      </c>
      <c r="BQ88" s="143">
        <v>428.63</v>
      </c>
      <c r="BR88" s="143">
        <v>870.5</v>
      </c>
      <c r="BS88" s="143">
        <v>1077.25</v>
      </c>
      <c r="BT88" s="143">
        <v>298.50749999999999</v>
      </c>
      <c r="BU88" s="143">
        <v>578</v>
      </c>
      <c r="BV88" s="143">
        <v>1333.5</v>
      </c>
      <c r="BW88" s="143">
        <v>1060.25</v>
      </c>
      <c r="BX88" s="143">
        <v>1368.5</v>
      </c>
      <c r="BY88" s="143">
        <v>1333.5</v>
      </c>
      <c r="BZ88" s="14">
        <v>1686</v>
      </c>
      <c r="CA88" s="143">
        <v>998.5</v>
      </c>
      <c r="CB88">
        <v>1217.75</v>
      </c>
      <c r="CC88" s="143">
        <v>869.55</v>
      </c>
      <c r="CD88" s="143">
        <v>1120</v>
      </c>
      <c r="CE88" s="143">
        <v>1860</v>
      </c>
      <c r="CF88" s="143">
        <v>2340</v>
      </c>
      <c r="CG88" s="143">
        <v>1280</v>
      </c>
      <c r="CH88" s="143">
        <v>1900</v>
      </c>
      <c r="CI88" s="143">
        <v>1220</v>
      </c>
      <c r="CJ88" s="143">
        <v>1783</v>
      </c>
      <c r="CK88" s="143">
        <v>2100</v>
      </c>
      <c r="CL88" s="143">
        <v>1900</v>
      </c>
      <c r="CM88" s="143">
        <v>1770</v>
      </c>
      <c r="CN88" s="143">
        <v>699</v>
      </c>
      <c r="CO88" s="143">
        <v>668.5</v>
      </c>
      <c r="CP88" s="143">
        <v>1268.75</v>
      </c>
      <c r="CQ88" s="143">
        <v>396.75</v>
      </c>
      <c r="CR88" s="143">
        <v>1035.25</v>
      </c>
      <c r="CS88" s="143">
        <v>393.29</v>
      </c>
      <c r="CT88" s="143">
        <v>306.35000000000002</v>
      </c>
      <c r="CU88" s="143">
        <v>290</v>
      </c>
      <c r="CV88" s="143">
        <v>308</v>
      </c>
      <c r="CW88" s="14">
        <v>331.56</v>
      </c>
      <c r="CX88" s="14">
        <v>1210</v>
      </c>
      <c r="CY88" s="14">
        <v>1097.5</v>
      </c>
      <c r="CZ88" s="670">
        <v>968.03</v>
      </c>
      <c r="DA88" s="670">
        <v>1150.7142857142858</v>
      </c>
      <c r="DB88" s="670">
        <v>1220</v>
      </c>
      <c r="DC88">
        <v>1260</v>
      </c>
      <c r="DD88">
        <v>1288.4615384615386</v>
      </c>
      <c r="DE88">
        <v>1375</v>
      </c>
      <c r="DF88">
        <v>1290</v>
      </c>
      <c r="DG88">
        <v>1550</v>
      </c>
      <c r="DH88">
        <v>1492.3076923076924</v>
      </c>
      <c r="DI88">
        <v>1600</v>
      </c>
      <c r="DJ88">
        <v>1549.375</v>
      </c>
      <c r="DK88">
        <v>2110</v>
      </c>
      <c r="DL88">
        <v>2110</v>
      </c>
      <c r="DM88">
        <v>320.01</v>
      </c>
      <c r="DN88">
        <v>606.79999999999995</v>
      </c>
      <c r="DO88">
        <v>2075</v>
      </c>
      <c r="DP88">
        <v>3875</v>
      </c>
      <c r="DQ88">
        <v>9.25</v>
      </c>
    </row>
    <row r="89" spans="1:121" x14ac:dyDescent="0.2">
      <c r="A89" s="14">
        <v>9.5</v>
      </c>
      <c r="B89" s="684">
        <f t="shared" si="20"/>
        <v>7.6472836531744262E-2</v>
      </c>
      <c r="C89" s="684">
        <f t="shared" si="21"/>
        <v>7.6472836531744276E-2</v>
      </c>
      <c r="D89" s="684">
        <f t="shared" si="9"/>
        <v>1.9118209132936069E-2</v>
      </c>
      <c r="E89" s="684">
        <f t="shared" si="22"/>
        <v>166.60512476150484</v>
      </c>
      <c r="F89" s="684">
        <f t="shared" si="23"/>
        <v>118.8063324898781</v>
      </c>
      <c r="G89" s="684">
        <f t="shared" si="10"/>
        <v>118.8063324898781</v>
      </c>
      <c r="H89" s="684">
        <f t="shared" si="11"/>
        <v>29.701583122469525</v>
      </c>
      <c r="I89" s="1052">
        <f>HLOOKUP('Input &amp; Summary'!$B$6,TurbineProfiles,ROW(I89)-49,0)</f>
        <v>1553.5755946565546</v>
      </c>
      <c r="J89" s="684">
        <f t="shared" si="24"/>
        <v>1727.9166769447222</v>
      </c>
      <c r="K89" s="9">
        <f t="shared" si="25"/>
        <v>0.8991033047979865</v>
      </c>
      <c r="L89" s="14">
        <f t="shared" si="26"/>
        <v>1727.9166769447222</v>
      </c>
      <c r="M89" s="684">
        <f t="shared" si="27"/>
        <v>0</v>
      </c>
      <c r="N89" s="684">
        <f t="shared" si="12"/>
        <v>2117.4921141893815</v>
      </c>
      <c r="O89" s="684">
        <f t="shared" si="13"/>
        <v>0.68894235141503368</v>
      </c>
      <c r="P89" s="684">
        <f t="shared" si="14"/>
        <v>29.701583122469525</v>
      </c>
      <c r="Q89" s="684">
        <f t="shared" si="18"/>
        <v>1.9450560952986251E-2</v>
      </c>
      <c r="R89" s="684">
        <f t="shared" si="19"/>
        <v>1.911735296948236E-2</v>
      </c>
      <c r="S89" s="684">
        <f t="shared" si="15"/>
        <v>29.700253007822806</v>
      </c>
      <c r="T89" s="684">
        <f t="shared" si="16"/>
        <v>30.217916798939175</v>
      </c>
      <c r="U89" s="14">
        <f t="shared" si="17"/>
        <v>1553.5755946565546</v>
      </c>
      <c r="V89" s="982">
        <v>918.75</v>
      </c>
      <c r="W89" s="982">
        <v>2143.75</v>
      </c>
      <c r="X89" s="982">
        <v>3062.4999999999995</v>
      </c>
      <c r="Y89" s="982">
        <v>1037.9999999999998</v>
      </c>
      <c r="Z89" s="982">
        <v>2421.9999999999995</v>
      </c>
      <c r="AA89" s="982">
        <v>3460</v>
      </c>
      <c r="AB89" s="982">
        <v>1125.75</v>
      </c>
      <c r="AC89" s="982">
        <v>2626.75</v>
      </c>
      <c r="AD89" s="982">
        <v>3752.4999999999995</v>
      </c>
      <c r="AE89" s="143">
        <v>880</v>
      </c>
      <c r="AF89" s="143">
        <v>1056</v>
      </c>
      <c r="AG89" s="143">
        <v>486</v>
      </c>
      <c r="AH89" s="143">
        <v>474.75</v>
      </c>
      <c r="AI89" s="14">
        <v>508.25</v>
      </c>
      <c r="AJ89" s="143">
        <v>2692.5</v>
      </c>
      <c r="AK89" s="143">
        <v>710.3125</v>
      </c>
      <c r="AL89" s="143">
        <v>1440</v>
      </c>
      <c r="AM89" s="143">
        <v>1380</v>
      </c>
      <c r="AN89" s="143">
        <v>1270</v>
      </c>
      <c r="AO89" s="143">
        <v>1190</v>
      </c>
      <c r="AP89" s="143">
        <v>1150</v>
      </c>
      <c r="AQ89" s="143">
        <v>1403.5</v>
      </c>
      <c r="AR89" s="143">
        <v>1400</v>
      </c>
      <c r="AS89" s="143">
        <v>1416.6666666666665</v>
      </c>
      <c r="AT89" s="143">
        <v>258.69</v>
      </c>
      <c r="AU89" s="143">
        <v>480.01</v>
      </c>
      <c r="AV89" s="143">
        <v>1000</v>
      </c>
      <c r="AW89" s="143">
        <v>1050</v>
      </c>
      <c r="AX89" s="143">
        <v>1160</v>
      </c>
      <c r="AY89" s="143">
        <v>1480</v>
      </c>
      <c r="AZ89" s="143">
        <v>1930</v>
      </c>
      <c r="BA89" s="143">
        <v>471.34999999999997</v>
      </c>
      <c r="BB89" s="143">
        <v>499.90000000000003</v>
      </c>
      <c r="BC89" s="143">
        <v>1137</v>
      </c>
      <c r="BD89" s="143">
        <v>1351.55</v>
      </c>
      <c r="BE89" s="143">
        <v>1453.7000000000003</v>
      </c>
      <c r="BF89" s="143">
        <v>926.5</v>
      </c>
      <c r="BG89" s="143">
        <v>1060</v>
      </c>
      <c r="BH89" s="143">
        <v>1350</v>
      </c>
      <c r="BI89" s="143">
        <v>1640</v>
      </c>
      <c r="BJ89" s="14">
        <v>507.23</v>
      </c>
      <c r="BK89" s="143">
        <v>749.22</v>
      </c>
      <c r="BL89" s="143">
        <v>1780</v>
      </c>
      <c r="BM89" s="143">
        <v>1600</v>
      </c>
      <c r="BN89" s="143">
        <v>2270</v>
      </c>
      <c r="BO89" s="143">
        <v>339.25</v>
      </c>
      <c r="BP89" s="143">
        <v>414.56</v>
      </c>
      <c r="BQ89" s="143">
        <v>464.81</v>
      </c>
      <c r="BR89" s="143">
        <v>933</v>
      </c>
      <c r="BS89" s="143">
        <v>1137.5</v>
      </c>
      <c r="BT89" s="143">
        <v>320.21499999999997</v>
      </c>
      <c r="BU89" s="143">
        <v>620</v>
      </c>
      <c r="BV89" s="143">
        <v>1430</v>
      </c>
      <c r="BW89" s="143">
        <v>1146.5</v>
      </c>
      <c r="BX89" s="143">
        <v>1475</v>
      </c>
      <c r="BY89" s="143">
        <v>1430</v>
      </c>
      <c r="BZ89" s="14">
        <v>1797</v>
      </c>
      <c r="CA89" s="143">
        <v>1078</v>
      </c>
      <c r="CB89">
        <v>1318.5</v>
      </c>
      <c r="CC89" s="143">
        <v>945.03</v>
      </c>
      <c r="CD89" s="143">
        <v>1210</v>
      </c>
      <c r="CE89" s="143">
        <v>2000</v>
      </c>
      <c r="CF89" s="143">
        <v>2540</v>
      </c>
      <c r="CG89" s="143">
        <v>1350</v>
      </c>
      <c r="CH89" s="143">
        <v>2120</v>
      </c>
      <c r="CI89" s="143">
        <v>1280</v>
      </c>
      <c r="CJ89" s="143">
        <v>1872</v>
      </c>
      <c r="CK89" s="143">
        <v>2200</v>
      </c>
      <c r="CL89" s="143">
        <v>2000</v>
      </c>
      <c r="CM89" s="143">
        <v>1880</v>
      </c>
      <c r="CN89" s="143">
        <v>753</v>
      </c>
      <c r="CO89" s="143">
        <v>716</v>
      </c>
      <c r="CP89" s="143">
        <v>1357.5</v>
      </c>
      <c r="CQ89" s="143">
        <v>421.5</v>
      </c>
      <c r="CR89" s="143">
        <v>1096.5</v>
      </c>
      <c r="CS89" s="143">
        <v>411.58</v>
      </c>
      <c r="CT89" s="143">
        <v>326.70000000000005</v>
      </c>
      <c r="CU89" s="143">
        <v>312</v>
      </c>
      <c r="CV89" s="143">
        <v>329</v>
      </c>
      <c r="CW89" s="14">
        <v>355.98</v>
      </c>
      <c r="CX89" s="14">
        <v>1260</v>
      </c>
      <c r="CY89" s="14">
        <v>1180</v>
      </c>
      <c r="CZ89" s="670">
        <v>1030</v>
      </c>
      <c r="DA89" s="670">
        <v>1222.8571428571429</v>
      </c>
      <c r="DB89" s="670">
        <v>1310</v>
      </c>
      <c r="DC89">
        <v>1350</v>
      </c>
      <c r="DD89">
        <v>1366.3461538461538</v>
      </c>
      <c r="DE89">
        <v>1460</v>
      </c>
      <c r="DF89">
        <v>1380</v>
      </c>
      <c r="DG89">
        <v>1620</v>
      </c>
      <c r="DH89">
        <v>1569.2307692307693</v>
      </c>
      <c r="DI89">
        <v>1670</v>
      </c>
      <c r="DJ89">
        <v>1636.25</v>
      </c>
      <c r="DK89">
        <v>2270</v>
      </c>
      <c r="DL89">
        <v>2270</v>
      </c>
      <c r="DM89">
        <v>344.45</v>
      </c>
      <c r="DN89">
        <v>653.79999999999995</v>
      </c>
      <c r="DO89">
        <v>2220</v>
      </c>
      <c r="DP89">
        <v>4250</v>
      </c>
      <c r="DQ89">
        <v>9.5</v>
      </c>
    </row>
    <row r="90" spans="1:121" x14ac:dyDescent="0.2">
      <c r="A90" s="14">
        <v>9.75</v>
      </c>
      <c r="B90" s="684">
        <f t="shared" si="20"/>
        <v>7.3747008225401159E-2</v>
      </c>
      <c r="C90" s="684">
        <f t="shared" si="21"/>
        <v>7.3747008225401173E-2</v>
      </c>
      <c r="D90" s="684">
        <f t="shared" si="9"/>
        <v>1.8436752056350293E-2</v>
      </c>
      <c r="E90" s="684">
        <f t="shared" si="22"/>
        <v>173.68751216524234</v>
      </c>
      <c r="F90" s="684">
        <f t="shared" si="23"/>
        <v>124.01997692318224</v>
      </c>
      <c r="G90" s="684">
        <f t="shared" si="10"/>
        <v>124.01997692318223</v>
      </c>
      <c r="H90" s="684">
        <f t="shared" si="11"/>
        <v>31.004994230795557</v>
      </c>
      <c r="I90" s="1052">
        <f>HLOOKUP('Input &amp; Summary'!$B$6,TurbineProfiles,ROW(I90)-49,0)</f>
        <v>1681.6950261104314</v>
      </c>
      <c r="J90" s="684">
        <f t="shared" si="24"/>
        <v>1867.95249598491</v>
      </c>
      <c r="K90" s="9">
        <f t="shared" si="25"/>
        <v>0.90028789796591102</v>
      </c>
      <c r="L90" s="14">
        <f t="shared" si="26"/>
        <v>1867.95249598491</v>
      </c>
      <c r="M90" s="684">
        <f t="shared" si="27"/>
        <v>0</v>
      </c>
      <c r="N90" s="684">
        <f t="shared" si="12"/>
        <v>2117.4921141893815</v>
      </c>
      <c r="O90" s="684">
        <f t="shared" si="13"/>
        <v>0.70772135760797972</v>
      </c>
      <c r="P90" s="684">
        <f t="shared" si="14"/>
        <v>31.004994230795557</v>
      </c>
      <c r="Q90" s="684">
        <f t="shared" si="18"/>
        <v>1.8779006192946035E-2</v>
      </c>
      <c r="R90" s="684">
        <f t="shared" si="19"/>
        <v>1.8436081136455784E-2</v>
      </c>
      <c r="S90" s="684">
        <f t="shared" si="15"/>
        <v>31.003865948146043</v>
      </c>
      <c r="T90" s="684">
        <f t="shared" si="16"/>
        <v>31.580561309974335</v>
      </c>
      <c r="U90" s="14">
        <f t="shared" si="17"/>
        <v>1681.6950261104314</v>
      </c>
      <c r="V90" s="982">
        <v>985.87499999999989</v>
      </c>
      <c r="W90" s="982">
        <v>2300.375</v>
      </c>
      <c r="X90" s="982">
        <v>3286.2499999999995</v>
      </c>
      <c r="Y90" s="982">
        <v>1101.75</v>
      </c>
      <c r="Z90" s="982">
        <v>2570.75</v>
      </c>
      <c r="AA90" s="982">
        <v>3672.4999999999995</v>
      </c>
      <c r="AB90" s="982">
        <v>1191.3749999999998</v>
      </c>
      <c r="AC90" s="982">
        <v>2779.8749999999995</v>
      </c>
      <c r="AD90" s="982">
        <v>3971.2499999999995</v>
      </c>
      <c r="AE90" s="143">
        <v>950.5</v>
      </c>
      <c r="AF90" s="143">
        <v>1140.5</v>
      </c>
      <c r="AG90" s="143">
        <v>519</v>
      </c>
      <c r="AH90" s="143">
        <v>499.5</v>
      </c>
      <c r="AI90" s="14">
        <v>534.5</v>
      </c>
      <c r="AJ90" s="143">
        <v>2891.25</v>
      </c>
      <c r="AK90" s="143">
        <v>746.875</v>
      </c>
      <c r="AL90" s="143">
        <v>1550</v>
      </c>
      <c r="AM90" s="143">
        <v>1470</v>
      </c>
      <c r="AN90" s="143">
        <v>1370</v>
      </c>
      <c r="AO90" s="143">
        <v>1310</v>
      </c>
      <c r="AP90" s="143">
        <v>1250</v>
      </c>
      <c r="AQ90" s="143">
        <v>1488.75</v>
      </c>
      <c r="AR90" s="143">
        <v>1500</v>
      </c>
      <c r="AS90" s="143">
        <v>1508.3333333333335</v>
      </c>
      <c r="AT90" s="143">
        <v>273.08</v>
      </c>
      <c r="AU90" s="143">
        <v>510.22</v>
      </c>
      <c r="AV90" s="143">
        <v>1070</v>
      </c>
      <c r="AW90" s="143">
        <v>1090</v>
      </c>
      <c r="AX90" s="143">
        <v>1260</v>
      </c>
      <c r="AY90" s="143">
        <v>1590</v>
      </c>
      <c r="AZ90" s="143">
        <v>2050</v>
      </c>
      <c r="BA90" s="143">
        <v>502.67499999999995</v>
      </c>
      <c r="BB90" s="143">
        <v>532.20000000000005</v>
      </c>
      <c r="BC90" s="143">
        <v>1216.5</v>
      </c>
      <c r="BD90" s="143">
        <v>1439.925</v>
      </c>
      <c r="BE90" s="143">
        <v>1543.3500000000004</v>
      </c>
      <c r="BF90" s="143">
        <v>1002.75</v>
      </c>
      <c r="BG90" s="143">
        <v>1130</v>
      </c>
      <c r="BH90" s="143">
        <v>1390</v>
      </c>
      <c r="BI90" s="143">
        <v>1790</v>
      </c>
      <c r="BJ90" s="14">
        <v>542.35</v>
      </c>
      <c r="BK90" s="143">
        <v>784.94</v>
      </c>
      <c r="BL90" s="143">
        <v>1890</v>
      </c>
      <c r="BM90" s="143">
        <v>1720</v>
      </c>
      <c r="BN90" s="143">
        <v>2442.5</v>
      </c>
      <c r="BO90" s="143">
        <v>362.24</v>
      </c>
      <c r="BP90" s="143">
        <v>440.49</v>
      </c>
      <c r="BQ90" s="143">
        <v>501</v>
      </c>
      <c r="BR90" s="143">
        <v>995.5</v>
      </c>
      <c r="BS90" s="143">
        <v>1197.75</v>
      </c>
      <c r="BT90" s="143">
        <v>341.92249999999996</v>
      </c>
      <c r="BU90" s="143">
        <v>662</v>
      </c>
      <c r="BV90" s="143">
        <v>1526.5</v>
      </c>
      <c r="BW90" s="143">
        <v>1232.75</v>
      </c>
      <c r="BX90" s="143">
        <v>1588.5</v>
      </c>
      <c r="BY90" s="143">
        <v>1526.5</v>
      </c>
      <c r="BZ90" s="14">
        <v>1908</v>
      </c>
      <c r="CA90" s="143">
        <v>1157.5</v>
      </c>
      <c r="CB90">
        <v>1419.25</v>
      </c>
      <c r="CC90" s="143">
        <v>1000</v>
      </c>
      <c r="CD90" s="143">
        <v>1310</v>
      </c>
      <c r="CE90" s="143">
        <v>2130</v>
      </c>
      <c r="CF90" s="143">
        <v>2740</v>
      </c>
      <c r="CG90" s="143">
        <v>1440</v>
      </c>
      <c r="CH90" s="143">
        <v>2320</v>
      </c>
      <c r="CI90" s="143">
        <v>1340</v>
      </c>
      <c r="CJ90" s="143">
        <v>1961</v>
      </c>
      <c r="CK90" s="143">
        <v>2225</v>
      </c>
      <c r="CL90" s="143">
        <v>2050</v>
      </c>
      <c r="CM90" s="143">
        <v>1990</v>
      </c>
      <c r="CN90" s="143">
        <v>807</v>
      </c>
      <c r="CO90" s="143">
        <v>763.5</v>
      </c>
      <c r="CP90" s="143">
        <v>1446.25</v>
      </c>
      <c r="CQ90" s="143">
        <v>446.25</v>
      </c>
      <c r="CR90" s="143">
        <v>1157.75</v>
      </c>
      <c r="CS90" s="143">
        <v>437.2</v>
      </c>
      <c r="CT90" s="143">
        <v>347.05000000000007</v>
      </c>
      <c r="CU90" s="143">
        <v>334</v>
      </c>
      <c r="CV90" s="143">
        <v>350</v>
      </c>
      <c r="CW90" s="14">
        <v>378.88</v>
      </c>
      <c r="CX90" s="14">
        <v>1310</v>
      </c>
      <c r="CY90" s="14">
        <v>1262.5</v>
      </c>
      <c r="CZ90" s="670">
        <v>1110</v>
      </c>
      <c r="DA90" s="670">
        <v>1295</v>
      </c>
      <c r="DB90" s="670">
        <v>1410</v>
      </c>
      <c r="DC90">
        <v>1460</v>
      </c>
      <c r="DD90">
        <v>1444.2307692307693</v>
      </c>
      <c r="DE90">
        <v>1545</v>
      </c>
      <c r="DF90">
        <v>1470</v>
      </c>
      <c r="DG90">
        <v>1690</v>
      </c>
      <c r="DH90">
        <v>1646.1538461538462</v>
      </c>
      <c r="DI90">
        <v>1740</v>
      </c>
      <c r="DJ90">
        <v>1723.125</v>
      </c>
      <c r="DK90">
        <v>2430</v>
      </c>
      <c r="DL90">
        <v>2430</v>
      </c>
      <c r="DM90">
        <v>371.92</v>
      </c>
      <c r="DN90">
        <v>700.8</v>
      </c>
      <c r="DO90">
        <v>2365</v>
      </c>
      <c r="DP90">
        <v>4625</v>
      </c>
      <c r="DQ90">
        <v>9.75</v>
      </c>
    </row>
    <row r="91" spans="1:121" x14ac:dyDescent="0.2">
      <c r="A91" s="14">
        <v>10</v>
      </c>
      <c r="B91" s="684">
        <f t="shared" si="20"/>
        <v>7.095672314633221E-2</v>
      </c>
      <c r="C91" s="684">
        <f t="shared" si="21"/>
        <v>7.0956723146332182E-2</v>
      </c>
      <c r="D91" s="684">
        <f t="shared" si="9"/>
        <v>1.7739180786583045E-2</v>
      </c>
      <c r="E91" s="684">
        <f t="shared" si="22"/>
        <v>180.30338991989854</v>
      </c>
      <c r="F91" s="684">
        <f t="shared" si="23"/>
        <v>128.89692095670088</v>
      </c>
      <c r="G91" s="684">
        <f t="shared" si="10"/>
        <v>128.90057196299307</v>
      </c>
      <c r="H91" s="684">
        <f t="shared" si="11"/>
        <v>32.225142990748267</v>
      </c>
      <c r="I91" s="1052">
        <f>HLOOKUP('Input &amp; Summary'!$B$6,TurbineProfiles,ROW(I91)-49,0)</f>
        <v>1816.6082965410453</v>
      </c>
      <c r="J91" s="684">
        <f t="shared" si="24"/>
        <v>2015.4140489261804</v>
      </c>
      <c r="K91" s="9">
        <f t="shared" si="25"/>
        <v>0.90135736500841623</v>
      </c>
      <c r="L91" s="14">
        <f t="shared" si="26"/>
        <v>2015.3569639244461</v>
      </c>
      <c r="M91" s="684">
        <f t="shared" si="27"/>
        <v>2015.4140489261804</v>
      </c>
      <c r="N91" s="684">
        <f t="shared" si="12"/>
        <v>2117.4921141893815</v>
      </c>
      <c r="O91" s="684">
        <f t="shared" si="13"/>
        <v>0.72581048603017406</v>
      </c>
      <c r="P91" s="684">
        <f t="shared" si="14"/>
        <v>32.225142990748267</v>
      </c>
      <c r="Q91" s="684">
        <f t="shared" si="18"/>
        <v>1.8089128422194345E-2</v>
      </c>
      <c r="R91" s="684">
        <f t="shared" si="19"/>
        <v>1.7738687991058155E-2</v>
      </c>
      <c r="S91" s="684">
        <f t="shared" si="15"/>
        <v>32.224247774309255</v>
      </c>
      <c r="T91" s="684">
        <f t="shared" si="16"/>
        <v>32.860860768954673</v>
      </c>
      <c r="U91" s="14">
        <f t="shared" si="17"/>
        <v>1816.6082965410453</v>
      </c>
      <c r="V91" s="982">
        <v>1052.9999999999998</v>
      </c>
      <c r="W91" s="982">
        <v>2456.9999999999995</v>
      </c>
      <c r="X91" s="982">
        <v>3509.9999999999995</v>
      </c>
      <c r="Y91" s="982">
        <v>1165.4999999999998</v>
      </c>
      <c r="Z91" s="982">
        <v>2719.4999999999995</v>
      </c>
      <c r="AA91" s="982">
        <v>3885</v>
      </c>
      <c r="AB91" s="982">
        <v>1256.9999999999998</v>
      </c>
      <c r="AC91" s="982">
        <v>2932.9999999999995</v>
      </c>
      <c r="AD91" s="982">
        <v>4189.9999999999991</v>
      </c>
      <c r="AE91" s="143">
        <v>1021</v>
      </c>
      <c r="AF91" s="143">
        <v>1225</v>
      </c>
      <c r="AG91" s="143">
        <v>552</v>
      </c>
      <c r="AH91" s="143">
        <v>549</v>
      </c>
      <c r="AI91" s="996">
        <v>587</v>
      </c>
      <c r="AJ91" s="143">
        <v>3090</v>
      </c>
      <c r="AK91" s="143">
        <v>820</v>
      </c>
      <c r="AL91" s="143">
        <v>1660</v>
      </c>
      <c r="AM91" s="143">
        <v>1590</v>
      </c>
      <c r="AN91" s="143">
        <v>1490</v>
      </c>
      <c r="AO91" s="143">
        <v>1380</v>
      </c>
      <c r="AP91" s="143">
        <v>1350</v>
      </c>
      <c r="AQ91" s="143">
        <v>1574</v>
      </c>
      <c r="AR91" s="143">
        <v>1600</v>
      </c>
      <c r="AS91" s="143">
        <v>1600</v>
      </c>
      <c r="AT91" s="143">
        <v>291.08999999999997</v>
      </c>
      <c r="AU91" s="143">
        <v>540</v>
      </c>
      <c r="AV91" s="143">
        <v>1150</v>
      </c>
      <c r="AW91" s="143">
        <v>1150</v>
      </c>
      <c r="AX91" s="143">
        <v>1350</v>
      </c>
      <c r="AY91" s="143">
        <v>1690</v>
      </c>
      <c r="AZ91" s="143">
        <v>2180</v>
      </c>
      <c r="BA91" s="143">
        <v>534</v>
      </c>
      <c r="BB91" s="143">
        <v>564.5</v>
      </c>
      <c r="BC91" s="143">
        <v>1296</v>
      </c>
      <c r="BD91" s="143">
        <v>1528.3</v>
      </c>
      <c r="BE91" s="143">
        <v>1633</v>
      </c>
      <c r="BF91" s="143">
        <v>1079</v>
      </c>
      <c r="BG91" s="143">
        <v>1190</v>
      </c>
      <c r="BH91" s="143">
        <v>1420</v>
      </c>
      <c r="BI91" s="143">
        <v>1920</v>
      </c>
      <c r="BJ91" s="996">
        <v>589.88</v>
      </c>
      <c r="BK91" s="143">
        <v>826.85</v>
      </c>
      <c r="BL91" s="143">
        <v>1960</v>
      </c>
      <c r="BM91" s="143">
        <v>1790</v>
      </c>
      <c r="BN91" s="143">
        <v>2615</v>
      </c>
      <c r="BO91" s="143">
        <v>381.39</v>
      </c>
      <c r="BP91" s="143">
        <v>460.66</v>
      </c>
      <c r="BQ91" s="143">
        <v>533.16999999999996</v>
      </c>
      <c r="BR91" s="143">
        <v>1058</v>
      </c>
      <c r="BS91" s="143">
        <v>1258</v>
      </c>
      <c r="BT91" s="143">
        <v>363.63</v>
      </c>
      <c r="BU91" s="143">
        <v>704</v>
      </c>
      <c r="BV91" s="143">
        <v>1623</v>
      </c>
      <c r="BW91" s="143">
        <v>1319</v>
      </c>
      <c r="BX91" s="143">
        <v>1702</v>
      </c>
      <c r="BY91" s="143">
        <v>1623</v>
      </c>
      <c r="BZ91" s="996">
        <v>2019</v>
      </c>
      <c r="CA91" s="143">
        <v>1237</v>
      </c>
      <c r="CB91">
        <v>1520</v>
      </c>
      <c r="CC91" s="143">
        <v>1080</v>
      </c>
      <c r="CD91" s="143">
        <v>1380</v>
      </c>
      <c r="CE91" s="143">
        <v>2250</v>
      </c>
      <c r="CF91" s="143">
        <v>2940</v>
      </c>
      <c r="CG91" s="143">
        <v>1520</v>
      </c>
      <c r="CH91" s="143">
        <v>2530</v>
      </c>
      <c r="CI91" s="143">
        <v>1400</v>
      </c>
      <c r="CJ91" s="143">
        <v>2050</v>
      </c>
      <c r="CK91" s="143">
        <v>2250</v>
      </c>
      <c r="CL91" s="143">
        <v>2100</v>
      </c>
      <c r="CM91" s="143">
        <v>2100</v>
      </c>
      <c r="CN91" s="143">
        <v>861</v>
      </c>
      <c r="CO91" s="143">
        <v>811</v>
      </c>
      <c r="CP91" s="143">
        <v>1535</v>
      </c>
      <c r="CQ91" s="143">
        <v>471</v>
      </c>
      <c r="CR91" s="143">
        <v>1219</v>
      </c>
      <c r="CS91" s="143">
        <v>462.8</v>
      </c>
      <c r="CT91" s="143">
        <v>367.4</v>
      </c>
      <c r="CU91" s="143">
        <v>356</v>
      </c>
      <c r="CV91" s="143">
        <v>371</v>
      </c>
      <c r="CW91" s="14">
        <v>401.79</v>
      </c>
      <c r="CX91" s="14">
        <v>1360</v>
      </c>
      <c r="CY91" s="14">
        <v>1345</v>
      </c>
      <c r="CZ91" s="670">
        <v>1170</v>
      </c>
      <c r="DA91" s="670">
        <v>1367.1428571428571</v>
      </c>
      <c r="DB91" s="670">
        <v>1480</v>
      </c>
      <c r="DC91">
        <v>1560</v>
      </c>
      <c r="DD91">
        <v>1522.1153846153848</v>
      </c>
      <c r="DE91">
        <v>1630</v>
      </c>
      <c r="DF91">
        <v>1560</v>
      </c>
      <c r="DG91">
        <v>1730</v>
      </c>
      <c r="DH91">
        <v>1723.0769230769231</v>
      </c>
      <c r="DI91">
        <v>1760</v>
      </c>
      <c r="DJ91">
        <v>1810</v>
      </c>
      <c r="DK91">
        <v>2560</v>
      </c>
      <c r="DL91">
        <v>2560</v>
      </c>
      <c r="DM91">
        <v>396.33</v>
      </c>
      <c r="DN91">
        <v>747.8</v>
      </c>
      <c r="DO91">
        <v>2510</v>
      </c>
      <c r="DP91">
        <v>5000</v>
      </c>
      <c r="DQ91">
        <v>10</v>
      </c>
    </row>
    <row r="92" spans="1:121" x14ac:dyDescent="0.2">
      <c r="A92" s="14">
        <v>10.25</v>
      </c>
      <c r="B92" s="684">
        <f t="shared" si="20"/>
        <v>6.8119074749803429E-2</v>
      </c>
      <c r="C92" s="684">
        <f t="shared" si="21"/>
        <v>6.8119074749803415E-2</v>
      </c>
      <c r="D92" s="684">
        <f t="shared" si="9"/>
        <v>1.7029768687450854E-2</v>
      </c>
      <c r="E92" s="684">
        <f t="shared" si="22"/>
        <v>186.40204707569254</v>
      </c>
      <c r="F92" s="684">
        <f t="shared" si="23"/>
        <v>133.35333537196865</v>
      </c>
      <c r="G92" s="684">
        <f t="shared" si="10"/>
        <v>130.10743277212453</v>
      </c>
      <c r="H92" s="684">
        <f t="shared" si="11"/>
        <v>32.526858193031131</v>
      </c>
      <c r="I92" s="1052">
        <f>HLOOKUP('Input &amp; Summary'!$B$6,TurbineProfiles,ROW(I92)-49,0)</f>
        <v>1910</v>
      </c>
      <c r="J92" s="684">
        <f t="shared" si="24"/>
        <v>2117.4921141893815</v>
      </c>
      <c r="K92" s="9">
        <f t="shared" si="25"/>
        <v>0.90201044301465383</v>
      </c>
      <c r="L92" s="14">
        <f t="shared" si="26"/>
        <v>2170.3190204786988</v>
      </c>
      <c r="M92" s="684">
        <f t="shared" si="27"/>
        <v>2166.7494985176127</v>
      </c>
      <c r="N92" s="684">
        <f t="shared" si="12"/>
        <v>2117.4921141893815</v>
      </c>
      <c r="O92" s="684">
        <f t="shared" si="13"/>
        <v>0.74319577439246909</v>
      </c>
      <c r="P92" s="684">
        <f t="shared" si="14"/>
        <v>32.526858193031131</v>
      </c>
      <c r="Q92" s="684">
        <f t="shared" si="18"/>
        <v>1.7385288362295026E-2</v>
      </c>
      <c r="R92" s="684">
        <f t="shared" si="19"/>
        <v>1.7029445943668953E-2</v>
      </c>
      <c r="S92" s="684">
        <f t="shared" si="15"/>
        <v>32.526241752407699</v>
      </c>
      <c r="T92" s="684">
        <f t="shared" si="16"/>
        <v>33.205900771983501</v>
      </c>
      <c r="U92" s="14">
        <f t="shared" si="17"/>
        <v>1910</v>
      </c>
      <c r="V92" s="982">
        <v>1110.75</v>
      </c>
      <c r="W92" s="982">
        <v>2591.75</v>
      </c>
      <c r="X92" s="982">
        <v>3702.4999999999995</v>
      </c>
      <c r="Y92" s="982">
        <v>1213.4999999999998</v>
      </c>
      <c r="Z92" s="982">
        <v>2831.4999999999995</v>
      </c>
      <c r="AA92" s="982">
        <v>4045</v>
      </c>
      <c r="AB92" s="982">
        <v>1297.4999999999998</v>
      </c>
      <c r="AC92" s="982">
        <v>3027.4999999999995</v>
      </c>
      <c r="AD92" s="982">
        <v>4324.9999999999991</v>
      </c>
      <c r="AE92" s="143">
        <v>1099.25</v>
      </c>
      <c r="AF92" s="143">
        <v>1281.25</v>
      </c>
      <c r="AG92" s="143">
        <v>578.5</v>
      </c>
      <c r="AH92" s="143">
        <v>591</v>
      </c>
      <c r="AI92" s="14">
        <v>632</v>
      </c>
      <c r="AJ92" s="143">
        <v>3317.5</v>
      </c>
      <c r="AK92" s="143">
        <v>866.5</v>
      </c>
      <c r="AL92" s="143">
        <v>1770</v>
      </c>
      <c r="AM92" s="143">
        <v>1720</v>
      </c>
      <c r="AN92" s="143">
        <v>1610</v>
      </c>
      <c r="AO92" s="143">
        <v>1500</v>
      </c>
      <c r="AP92" s="143">
        <v>1440</v>
      </c>
      <c r="AQ92" s="143">
        <v>1659.25</v>
      </c>
      <c r="AR92" s="143">
        <v>1662.5</v>
      </c>
      <c r="AS92" s="143">
        <v>1670</v>
      </c>
      <c r="AT92" s="143">
        <v>310.91000000000003</v>
      </c>
      <c r="AU92" s="143">
        <v>564.62</v>
      </c>
      <c r="AV92" s="143">
        <v>1220</v>
      </c>
      <c r="AW92" s="143">
        <v>1240</v>
      </c>
      <c r="AX92" s="143">
        <v>1450</v>
      </c>
      <c r="AY92" s="143">
        <v>1810</v>
      </c>
      <c r="AZ92" s="143">
        <v>2250</v>
      </c>
      <c r="BA92" s="143">
        <v>566</v>
      </c>
      <c r="BB92" s="143">
        <v>594.52499999999998</v>
      </c>
      <c r="BC92" s="143">
        <v>1371.5</v>
      </c>
      <c r="BD92" s="143">
        <v>1594.9</v>
      </c>
      <c r="BE92" s="143">
        <v>1690.5</v>
      </c>
      <c r="BF92" s="143">
        <v>1145</v>
      </c>
      <c r="BG92" s="143">
        <v>1240</v>
      </c>
      <c r="BH92" s="143">
        <v>1450</v>
      </c>
      <c r="BI92" s="143">
        <v>2010</v>
      </c>
      <c r="BJ92" s="14">
        <v>627.07000000000005</v>
      </c>
      <c r="BK92" s="143">
        <v>859.47</v>
      </c>
      <c r="BL92" s="143">
        <v>2030</v>
      </c>
      <c r="BM92" s="143">
        <v>1890</v>
      </c>
      <c r="BN92" s="143">
        <v>2865</v>
      </c>
      <c r="BO92" s="143">
        <v>400.56</v>
      </c>
      <c r="BP92" s="143">
        <v>483.71</v>
      </c>
      <c r="BQ92" s="143">
        <v>563.34</v>
      </c>
      <c r="BR92" s="143">
        <v>1114.75</v>
      </c>
      <c r="BS92" s="143">
        <v>1319.5</v>
      </c>
      <c r="BT92" s="143">
        <v>383.79250000000002</v>
      </c>
      <c r="BU92" s="143">
        <v>745.75</v>
      </c>
      <c r="BV92" s="143">
        <v>1720.25</v>
      </c>
      <c r="BW92" s="143">
        <v>1408</v>
      </c>
      <c r="BX92" s="143">
        <v>1815</v>
      </c>
      <c r="BY92" s="143">
        <v>1729</v>
      </c>
      <c r="BZ92" s="14">
        <v>2090.25</v>
      </c>
      <c r="CA92" s="143">
        <v>1313</v>
      </c>
      <c r="CB92">
        <v>1552.5</v>
      </c>
      <c r="CC92" s="143">
        <v>1150</v>
      </c>
      <c r="CD92" s="143">
        <v>1500</v>
      </c>
      <c r="CE92" s="143">
        <v>2370</v>
      </c>
      <c r="CF92" s="143">
        <v>3163.75</v>
      </c>
      <c r="CG92" s="143">
        <v>1620</v>
      </c>
      <c r="CH92" s="143">
        <v>2740</v>
      </c>
      <c r="CI92" s="143">
        <v>1485.7142857142858</v>
      </c>
      <c r="CJ92" s="143">
        <v>2125</v>
      </c>
      <c r="CK92" s="143">
        <v>2260</v>
      </c>
      <c r="CL92" s="143">
        <v>2137.5</v>
      </c>
      <c r="CM92" s="143">
        <v>2280</v>
      </c>
      <c r="CN92" s="143">
        <v>883.25</v>
      </c>
      <c r="CO92" s="143">
        <v>855.75</v>
      </c>
      <c r="CP92" s="143">
        <v>1615.25</v>
      </c>
      <c r="CQ92" s="143">
        <v>489.75</v>
      </c>
      <c r="CR92" s="143">
        <v>1259.75</v>
      </c>
      <c r="CS92" s="143">
        <v>477.44</v>
      </c>
      <c r="CT92" s="143">
        <v>387.95</v>
      </c>
      <c r="CU92" s="143">
        <v>377</v>
      </c>
      <c r="CV92" s="143">
        <v>390.75</v>
      </c>
      <c r="CW92" s="14">
        <v>421.63</v>
      </c>
      <c r="CX92" s="14">
        <v>1400</v>
      </c>
      <c r="CY92" s="14">
        <v>1418.5</v>
      </c>
      <c r="CZ92" s="670">
        <v>1240</v>
      </c>
      <c r="DA92" s="670">
        <v>1439.2857142857142</v>
      </c>
      <c r="DB92" s="670">
        <v>1570</v>
      </c>
      <c r="DC92">
        <v>1650</v>
      </c>
      <c r="DD92">
        <v>1600</v>
      </c>
      <c r="DE92">
        <v>1715</v>
      </c>
      <c r="DF92">
        <v>1650</v>
      </c>
      <c r="DG92">
        <v>1750</v>
      </c>
      <c r="DH92">
        <v>1800</v>
      </c>
      <c r="DI92">
        <v>1775</v>
      </c>
      <c r="DJ92">
        <v>1881.25</v>
      </c>
      <c r="DK92">
        <v>2700</v>
      </c>
      <c r="DL92">
        <v>2700</v>
      </c>
      <c r="DM92">
        <v>426.83</v>
      </c>
      <c r="DN92">
        <v>794.3</v>
      </c>
      <c r="DO92">
        <v>2655</v>
      </c>
      <c r="DP92">
        <v>5241.5</v>
      </c>
      <c r="DQ92">
        <v>10.25</v>
      </c>
    </row>
    <row r="93" spans="1:121" x14ac:dyDescent="0.2">
      <c r="A93" s="14">
        <v>10.5</v>
      </c>
      <c r="B93" s="684">
        <f t="shared" si="20"/>
        <v>6.5250382440785265E-2</v>
      </c>
      <c r="C93" s="684">
        <f t="shared" si="21"/>
        <v>6.5250382440785265E-2</v>
      </c>
      <c r="D93" s="684">
        <f t="shared" si="9"/>
        <v>1.6312595610196316E-2</v>
      </c>
      <c r="E93" s="684">
        <f t="shared" si="22"/>
        <v>191.93814782644301</v>
      </c>
      <c r="F93" s="684">
        <f t="shared" si="23"/>
        <v>137.31390078232624</v>
      </c>
      <c r="G93" s="684">
        <f t="shared" si="10"/>
        <v>124.62823046189986</v>
      </c>
      <c r="H93" s="684">
        <f t="shared" si="11"/>
        <v>31.157057615474965</v>
      </c>
      <c r="I93" s="1052">
        <f>HLOOKUP('Input &amp; Summary'!$B$6,TurbineProfiles,ROW(I93)-49,0)</f>
        <v>1910</v>
      </c>
      <c r="J93" s="684">
        <f t="shared" si="24"/>
        <v>2117.4921141893815</v>
      </c>
      <c r="K93" s="9">
        <f t="shared" si="25"/>
        <v>0.90201044301465383</v>
      </c>
      <c r="L93" s="14">
        <f t="shared" si="26"/>
        <v>2333.0276053630364</v>
      </c>
      <c r="M93" s="684">
        <f t="shared" si="27"/>
        <v>2318.0849481090449</v>
      </c>
      <c r="N93" s="684">
        <f t="shared" si="12"/>
        <v>2117.4921141893815</v>
      </c>
      <c r="O93" s="684">
        <f t="shared" si="13"/>
        <v>0.75986743878494445</v>
      </c>
      <c r="P93" s="684">
        <f t="shared" si="14"/>
        <v>31.157057615474965</v>
      </c>
      <c r="Q93" s="684">
        <f t="shared" si="18"/>
        <v>1.667166439247536E-2</v>
      </c>
      <c r="R93" s="684">
        <f t="shared" si="19"/>
        <v>1.6312434027555667E-2</v>
      </c>
      <c r="S93" s="684">
        <f t="shared" si="15"/>
        <v>31.156748992631325</v>
      </c>
      <c r="T93" s="684">
        <f t="shared" si="16"/>
        <v>31.842878989627938</v>
      </c>
      <c r="U93" s="14">
        <f t="shared" si="17"/>
        <v>1910</v>
      </c>
      <c r="V93" s="982">
        <v>1168.4999999999998</v>
      </c>
      <c r="W93" s="982">
        <v>2726.4999999999995</v>
      </c>
      <c r="X93" s="982">
        <v>3894.9999999999995</v>
      </c>
      <c r="Y93" s="982">
        <v>1261.4999999999998</v>
      </c>
      <c r="Z93" s="982">
        <v>2943.5</v>
      </c>
      <c r="AA93" s="982">
        <v>4205</v>
      </c>
      <c r="AB93" s="982">
        <v>1337.9999999999998</v>
      </c>
      <c r="AC93" s="982">
        <v>3122</v>
      </c>
      <c r="AD93" s="982">
        <v>4459.9999999999991</v>
      </c>
      <c r="AE93" s="143">
        <v>1177.5</v>
      </c>
      <c r="AF93" s="143">
        <v>1337.5</v>
      </c>
      <c r="AG93" s="143">
        <v>605</v>
      </c>
      <c r="AH93" s="143">
        <v>622.5</v>
      </c>
      <c r="AI93" s="14">
        <v>665.75</v>
      </c>
      <c r="AJ93" s="143">
        <v>3545</v>
      </c>
      <c r="AK93" s="143">
        <v>901.375</v>
      </c>
      <c r="AL93" s="143">
        <v>1880</v>
      </c>
      <c r="AM93" s="143">
        <v>1840</v>
      </c>
      <c r="AN93" s="143">
        <v>1710</v>
      </c>
      <c r="AO93" s="143">
        <v>1610</v>
      </c>
      <c r="AP93" s="143">
        <v>1540</v>
      </c>
      <c r="AQ93" s="143">
        <v>1744.5</v>
      </c>
      <c r="AR93" s="143">
        <v>1725</v>
      </c>
      <c r="AS93" s="143">
        <v>1740</v>
      </c>
      <c r="AT93" s="143">
        <v>341.56</v>
      </c>
      <c r="AU93" s="143">
        <v>600.63</v>
      </c>
      <c r="AV93" s="143">
        <v>1290</v>
      </c>
      <c r="AW93" s="143">
        <v>1320</v>
      </c>
      <c r="AX93" s="143">
        <v>1550</v>
      </c>
      <c r="AY93" s="143">
        <v>1900</v>
      </c>
      <c r="AZ93" s="143">
        <v>2330</v>
      </c>
      <c r="BA93" s="143">
        <v>598</v>
      </c>
      <c r="BB93" s="143">
        <v>624.54999999999995</v>
      </c>
      <c r="BC93" s="143">
        <v>1447</v>
      </c>
      <c r="BD93" s="143">
        <v>1661.5</v>
      </c>
      <c r="BE93" s="143">
        <v>1748</v>
      </c>
      <c r="BF93" s="143">
        <v>1211</v>
      </c>
      <c r="BG93" s="143">
        <v>1290</v>
      </c>
      <c r="BH93" s="143">
        <v>1470</v>
      </c>
      <c r="BI93" s="143">
        <v>2110</v>
      </c>
      <c r="BJ93" s="14">
        <v>674.58</v>
      </c>
      <c r="BK93" s="143">
        <v>887.42</v>
      </c>
      <c r="BL93" s="143">
        <v>2120</v>
      </c>
      <c r="BM93" s="143">
        <v>1960</v>
      </c>
      <c r="BN93" s="143">
        <v>3115</v>
      </c>
      <c r="BO93" s="143">
        <v>423.56</v>
      </c>
      <c r="BP93" s="143">
        <v>518.25</v>
      </c>
      <c r="BQ93" s="143">
        <v>591.49</v>
      </c>
      <c r="BR93" s="143">
        <v>1171.5</v>
      </c>
      <c r="BS93" s="143">
        <v>1381</v>
      </c>
      <c r="BT93" s="143">
        <v>403.95500000000004</v>
      </c>
      <c r="BU93" s="143">
        <v>787.5</v>
      </c>
      <c r="BV93" s="143">
        <v>1817.5</v>
      </c>
      <c r="BW93" s="143">
        <v>1497</v>
      </c>
      <c r="BX93" s="143">
        <v>1928</v>
      </c>
      <c r="BY93" s="143">
        <v>1835</v>
      </c>
      <c r="BZ93" s="14">
        <v>2161.5</v>
      </c>
      <c r="CA93" s="143">
        <v>1389</v>
      </c>
      <c r="CB93">
        <v>1585</v>
      </c>
      <c r="CC93" s="143">
        <v>1220</v>
      </c>
      <c r="CD93" s="143">
        <v>1590</v>
      </c>
      <c r="CE93" s="143">
        <v>2510</v>
      </c>
      <c r="CF93" s="143">
        <v>3387.5</v>
      </c>
      <c r="CG93" s="143">
        <v>1690</v>
      </c>
      <c r="CH93" s="143">
        <v>2910</v>
      </c>
      <c r="CI93" s="143">
        <v>1571.4285714285713</v>
      </c>
      <c r="CJ93" s="143">
        <v>2200</v>
      </c>
      <c r="CK93" s="143">
        <v>2270</v>
      </c>
      <c r="CL93" s="143">
        <v>2175</v>
      </c>
      <c r="CM93" s="143">
        <v>2460</v>
      </c>
      <c r="CN93" s="143">
        <v>905.5</v>
      </c>
      <c r="CO93" s="143">
        <v>900.5</v>
      </c>
      <c r="CP93" s="143">
        <v>1695.5</v>
      </c>
      <c r="CQ93" s="143">
        <v>508.5</v>
      </c>
      <c r="CR93" s="143">
        <v>1300.5</v>
      </c>
      <c r="CS93" s="143">
        <v>499.39</v>
      </c>
      <c r="CT93" s="143">
        <v>408.5</v>
      </c>
      <c r="CU93" s="143">
        <v>398</v>
      </c>
      <c r="CV93" s="143">
        <v>410.5</v>
      </c>
      <c r="CW93" s="14">
        <v>443.02</v>
      </c>
      <c r="CX93" s="14">
        <v>1440</v>
      </c>
      <c r="CY93" s="14">
        <v>1492</v>
      </c>
      <c r="CZ93" s="670">
        <v>1300</v>
      </c>
      <c r="DA93" s="670">
        <v>1511.4285714285716</v>
      </c>
      <c r="DB93" s="670">
        <v>1640</v>
      </c>
      <c r="DC93">
        <v>1730</v>
      </c>
      <c r="DD93">
        <v>1650</v>
      </c>
      <c r="DE93">
        <v>1800</v>
      </c>
      <c r="DF93">
        <v>1750</v>
      </c>
      <c r="DG93">
        <v>1770</v>
      </c>
      <c r="DH93">
        <v>1840</v>
      </c>
      <c r="DI93">
        <v>1790</v>
      </c>
      <c r="DJ93">
        <v>1952.5</v>
      </c>
      <c r="DK93">
        <v>2810</v>
      </c>
      <c r="DL93">
        <v>2810</v>
      </c>
      <c r="DM93">
        <v>454.31</v>
      </c>
      <c r="DN93">
        <v>840.8</v>
      </c>
      <c r="DO93">
        <v>2800</v>
      </c>
      <c r="DP93">
        <v>5483</v>
      </c>
      <c r="DQ93">
        <v>10.5</v>
      </c>
    </row>
    <row r="94" spans="1:121" x14ac:dyDescent="0.2">
      <c r="A94" s="14">
        <v>10.75</v>
      </c>
      <c r="B94" s="684">
        <f t="shared" si="20"/>
        <v>6.2366113050746068E-2</v>
      </c>
      <c r="C94" s="684">
        <f t="shared" si="21"/>
        <v>6.2366113050746026E-2</v>
      </c>
      <c r="D94" s="684">
        <f t="shared" si="9"/>
        <v>1.5591528262686507E-2</v>
      </c>
      <c r="E94" s="684">
        <f t="shared" si="22"/>
        <v>196.87220763818979</v>
      </c>
      <c r="F94" s="684">
        <f t="shared" si="23"/>
        <v>140.84376187099781</v>
      </c>
      <c r="G94" s="684">
        <f t="shared" si="10"/>
        <v>119.11927592692491</v>
      </c>
      <c r="H94" s="684">
        <f t="shared" si="11"/>
        <v>29.779818981731228</v>
      </c>
      <c r="I94" s="1052">
        <f>HLOOKUP('Input &amp; Summary'!$B$6,TurbineProfiles,ROW(I94)-49,0)</f>
        <v>1910</v>
      </c>
      <c r="J94" s="684">
        <f t="shared" si="24"/>
        <v>2117.4921141893815</v>
      </c>
      <c r="K94" s="9">
        <f t="shared" si="25"/>
        <v>0.90201044301465383</v>
      </c>
      <c r="L94" s="14">
        <f t="shared" si="26"/>
        <v>2503.671658292827</v>
      </c>
      <c r="M94" s="684">
        <f t="shared" si="27"/>
        <v>2469.4203977004772</v>
      </c>
      <c r="N94" s="684">
        <f t="shared" si="12"/>
        <v>2117.4921141893815</v>
      </c>
      <c r="O94" s="684">
        <f t="shared" si="13"/>
        <v>0.77581967007724151</v>
      </c>
      <c r="P94" s="684">
        <f t="shared" si="14"/>
        <v>29.779818981731228</v>
      </c>
      <c r="Q94" s="684">
        <f t="shared" si="18"/>
        <v>1.5952231292297059E-2</v>
      </c>
      <c r="R94" s="684">
        <f t="shared" si="19"/>
        <v>1.5591518268436411E-2</v>
      </c>
      <c r="S94" s="684">
        <f t="shared" si="15"/>
        <v>29.779799892713545</v>
      </c>
      <c r="T94" s="684">
        <f t="shared" si="16"/>
        <v>30.468761768287383</v>
      </c>
      <c r="U94" s="14">
        <f t="shared" si="17"/>
        <v>1910</v>
      </c>
      <c r="V94" s="982">
        <v>1226.2499999999998</v>
      </c>
      <c r="W94" s="982">
        <v>2861.2499999999995</v>
      </c>
      <c r="X94" s="982">
        <v>4087.4999999999995</v>
      </c>
      <c r="Y94" s="982">
        <v>1309.5</v>
      </c>
      <c r="Z94" s="982">
        <v>3055.5</v>
      </c>
      <c r="AA94" s="982">
        <v>4365</v>
      </c>
      <c r="AB94" s="982">
        <v>1378.4999999999998</v>
      </c>
      <c r="AC94" s="982">
        <v>3216.5</v>
      </c>
      <c r="AD94" s="982">
        <v>4595</v>
      </c>
      <c r="AE94" s="143">
        <v>1255.75</v>
      </c>
      <c r="AF94" s="143">
        <v>1393.75</v>
      </c>
      <c r="AG94" s="143">
        <v>631.5</v>
      </c>
      <c r="AH94" s="143">
        <v>654</v>
      </c>
      <c r="AI94" s="14">
        <v>699.5</v>
      </c>
      <c r="AJ94" s="143">
        <v>3772.5</v>
      </c>
      <c r="AK94" s="143">
        <v>936.25</v>
      </c>
      <c r="AL94" s="143">
        <v>1980</v>
      </c>
      <c r="AM94" s="143">
        <v>1960</v>
      </c>
      <c r="AN94" s="143">
        <v>1820</v>
      </c>
      <c r="AO94" s="143">
        <v>1720</v>
      </c>
      <c r="AP94" s="143">
        <v>1630</v>
      </c>
      <c r="AQ94" s="143">
        <v>1829.75</v>
      </c>
      <c r="AR94" s="143">
        <v>1787.5</v>
      </c>
      <c r="AS94" s="143">
        <v>1810</v>
      </c>
      <c r="AT94" s="143">
        <v>364.99</v>
      </c>
      <c r="AU94" s="143">
        <v>625.05999999999995</v>
      </c>
      <c r="AV94" s="143">
        <v>1360</v>
      </c>
      <c r="AW94" s="143">
        <v>1420</v>
      </c>
      <c r="AX94" s="143">
        <v>1640</v>
      </c>
      <c r="AY94" s="143">
        <v>2030</v>
      </c>
      <c r="AZ94" s="143">
        <v>2400</v>
      </c>
      <c r="BA94" s="143">
        <v>630</v>
      </c>
      <c r="BB94" s="143">
        <v>654.57499999999993</v>
      </c>
      <c r="BC94" s="143">
        <v>1522.5</v>
      </c>
      <c r="BD94" s="143">
        <v>1728.1</v>
      </c>
      <c r="BE94" s="143">
        <v>1805.5</v>
      </c>
      <c r="BF94" s="143">
        <v>1276.5</v>
      </c>
      <c r="BG94" s="143">
        <v>1330</v>
      </c>
      <c r="BH94" s="143">
        <v>1490</v>
      </c>
      <c r="BI94" s="143">
        <v>2190</v>
      </c>
      <c r="BJ94" s="14">
        <v>707.64</v>
      </c>
      <c r="BK94" s="143">
        <v>913.81</v>
      </c>
      <c r="BL94" s="143">
        <v>2170</v>
      </c>
      <c r="BM94" s="143">
        <v>2060</v>
      </c>
      <c r="BN94" s="143">
        <v>3365</v>
      </c>
      <c r="BO94" s="143">
        <v>450.37</v>
      </c>
      <c r="BP94" s="143">
        <v>538.42999999999995</v>
      </c>
      <c r="BQ94" s="143">
        <v>619.64</v>
      </c>
      <c r="BR94" s="143">
        <v>1228.25</v>
      </c>
      <c r="BS94" s="143">
        <v>1442.5</v>
      </c>
      <c r="BT94" s="143">
        <v>424.11750000000006</v>
      </c>
      <c r="BU94" s="143">
        <v>829.25</v>
      </c>
      <c r="BV94" s="143">
        <v>1914.75</v>
      </c>
      <c r="BW94" s="143">
        <v>1586</v>
      </c>
      <c r="BX94" s="143">
        <v>2022</v>
      </c>
      <c r="BY94" s="143">
        <v>1939</v>
      </c>
      <c r="BZ94" s="14">
        <v>2232.75</v>
      </c>
      <c r="CA94" s="143">
        <v>1465</v>
      </c>
      <c r="CB94">
        <v>1617.5</v>
      </c>
      <c r="CC94" s="143">
        <v>1300</v>
      </c>
      <c r="CD94" s="143">
        <v>1680</v>
      </c>
      <c r="CE94" s="143">
        <v>2630</v>
      </c>
      <c r="CF94" s="143">
        <v>3611.25</v>
      </c>
      <c r="CG94" s="143">
        <v>1760</v>
      </c>
      <c r="CH94" s="143">
        <v>3130</v>
      </c>
      <c r="CI94" s="143">
        <v>1657.1428571428571</v>
      </c>
      <c r="CJ94" s="143">
        <v>2220</v>
      </c>
      <c r="CK94" s="143">
        <v>2280</v>
      </c>
      <c r="CL94" s="143">
        <v>2212.5</v>
      </c>
      <c r="CM94" s="143">
        <v>2640</v>
      </c>
      <c r="CN94" s="143">
        <v>927.75</v>
      </c>
      <c r="CO94" s="143">
        <v>945.25</v>
      </c>
      <c r="CP94" s="143">
        <v>1775.75</v>
      </c>
      <c r="CQ94" s="143">
        <v>527.25</v>
      </c>
      <c r="CR94" s="143">
        <v>1341.25</v>
      </c>
      <c r="CS94" s="143">
        <v>517.67999999999995</v>
      </c>
      <c r="CT94" s="143">
        <v>429.05</v>
      </c>
      <c r="CU94" s="143">
        <v>419</v>
      </c>
      <c r="CV94" s="143">
        <v>430.25</v>
      </c>
      <c r="CW94" s="14">
        <v>465.92</v>
      </c>
      <c r="CX94" s="14">
        <v>1470</v>
      </c>
      <c r="CY94" s="14">
        <v>1565.5</v>
      </c>
      <c r="CZ94" s="670">
        <v>1370</v>
      </c>
      <c r="DA94" s="670">
        <v>1583.5714285714284</v>
      </c>
      <c r="DB94" s="670">
        <v>1700</v>
      </c>
      <c r="DC94">
        <v>1800</v>
      </c>
      <c r="DD94">
        <v>1700</v>
      </c>
      <c r="DE94">
        <v>1845</v>
      </c>
      <c r="DF94">
        <v>1850</v>
      </c>
      <c r="DG94">
        <v>1780</v>
      </c>
      <c r="DH94">
        <v>1880</v>
      </c>
      <c r="DI94">
        <v>1792.5</v>
      </c>
      <c r="DJ94">
        <v>2023.75</v>
      </c>
      <c r="DK94">
        <v>2880</v>
      </c>
      <c r="DL94">
        <v>2880</v>
      </c>
      <c r="DM94">
        <v>481.74</v>
      </c>
      <c r="DN94">
        <v>887.3</v>
      </c>
      <c r="DO94">
        <v>2875</v>
      </c>
      <c r="DP94">
        <v>5724.5</v>
      </c>
      <c r="DQ94">
        <v>10.75</v>
      </c>
    </row>
    <row r="95" spans="1:121" x14ac:dyDescent="0.2">
      <c r="A95" s="14">
        <v>11</v>
      </c>
      <c r="B95" s="684">
        <f t="shared" si="20"/>
        <v>5.9480815342153485E-2</v>
      </c>
      <c r="C95" s="684">
        <f t="shared" si="21"/>
        <v>5.9480815342153485E-2</v>
      </c>
      <c r="D95" s="684">
        <f t="shared" si="9"/>
        <v>1.4870203835538371E-2</v>
      </c>
      <c r="E95" s="684">
        <f t="shared" si="22"/>
        <v>201.17096975084394</v>
      </c>
      <c r="F95" s="684">
        <f t="shared" si="23"/>
        <v>143.91912651793382</v>
      </c>
      <c r="G95" s="684">
        <f t="shared" si="10"/>
        <v>113.60835730351316</v>
      </c>
      <c r="H95" s="684">
        <f t="shared" si="11"/>
        <v>28.40208932587829</v>
      </c>
      <c r="I95" s="1052">
        <f>HLOOKUP('Input &amp; Summary'!$B$6,TurbineProfiles,ROW(I95)-49,0)</f>
        <v>1910</v>
      </c>
      <c r="J95" s="684">
        <f t="shared" si="24"/>
        <v>2117.4921141893815</v>
      </c>
      <c r="K95" s="9">
        <f t="shared" si="25"/>
        <v>0.90201044301465383</v>
      </c>
      <c r="L95" s="14">
        <f t="shared" si="26"/>
        <v>2682.4401189834384</v>
      </c>
      <c r="M95" s="684">
        <f t="shared" si="27"/>
        <v>2620.755847291909</v>
      </c>
      <c r="N95" s="684">
        <f t="shared" si="12"/>
        <v>2117.4921141893815</v>
      </c>
      <c r="O95" s="684">
        <f t="shared" si="13"/>
        <v>0.79105041231757844</v>
      </c>
      <c r="P95" s="684">
        <f t="shared" si="14"/>
        <v>28.40208932587829</v>
      </c>
      <c r="Q95" s="684">
        <f t="shared" si="18"/>
        <v>1.5230742240336936E-2</v>
      </c>
      <c r="R95" s="684">
        <f t="shared" si="19"/>
        <v>1.4870335309252303E-2</v>
      </c>
      <c r="S95" s="684">
        <f t="shared" si="15"/>
        <v>28.4023404406719</v>
      </c>
      <c r="T95" s="684">
        <f t="shared" si="16"/>
        <v>29.09071767904355</v>
      </c>
      <c r="U95" s="14">
        <f t="shared" si="17"/>
        <v>1910</v>
      </c>
      <c r="V95" s="982">
        <v>1283.9999999999998</v>
      </c>
      <c r="W95" s="982">
        <v>2995.9999999999995</v>
      </c>
      <c r="X95" s="982">
        <v>4279.9999999999991</v>
      </c>
      <c r="Y95" s="982">
        <v>1357.5</v>
      </c>
      <c r="Z95" s="982">
        <v>3167.5</v>
      </c>
      <c r="AA95" s="982">
        <v>4525</v>
      </c>
      <c r="AB95" s="982">
        <v>1419</v>
      </c>
      <c r="AC95" s="982">
        <v>3311</v>
      </c>
      <c r="AD95" s="982">
        <v>4729.9999999999991</v>
      </c>
      <c r="AE95" s="143">
        <v>1334</v>
      </c>
      <c r="AF95" s="143">
        <v>1450</v>
      </c>
      <c r="AG95" s="143">
        <v>658</v>
      </c>
      <c r="AH95" s="143">
        <v>717</v>
      </c>
      <c r="AI95" s="996">
        <v>767</v>
      </c>
      <c r="AJ95" s="143">
        <v>4000</v>
      </c>
      <c r="AK95" s="143">
        <v>1006</v>
      </c>
      <c r="AL95" s="143">
        <v>2100</v>
      </c>
      <c r="AM95" s="143">
        <v>2020</v>
      </c>
      <c r="AN95" s="143">
        <v>1920</v>
      </c>
      <c r="AO95" s="143">
        <v>1840</v>
      </c>
      <c r="AP95" s="143">
        <v>1700</v>
      </c>
      <c r="AQ95" s="143">
        <v>1915</v>
      </c>
      <c r="AR95" s="143">
        <v>1850</v>
      </c>
      <c r="AS95" s="143">
        <v>1880</v>
      </c>
      <c r="AT95" s="143">
        <v>384.81</v>
      </c>
      <c r="AU95" s="143">
        <v>666.85</v>
      </c>
      <c r="AV95" s="143">
        <v>1410</v>
      </c>
      <c r="AW95" s="143">
        <v>1500</v>
      </c>
      <c r="AX95" s="143">
        <v>1730</v>
      </c>
      <c r="AY95" s="143">
        <v>2140</v>
      </c>
      <c r="AZ95" s="143">
        <v>2470</v>
      </c>
      <c r="BA95" s="143">
        <v>662</v>
      </c>
      <c r="BB95" s="143">
        <v>684.6</v>
      </c>
      <c r="BC95" s="143">
        <v>1598</v>
      </c>
      <c r="BD95" s="143">
        <v>1794.7</v>
      </c>
      <c r="BE95" s="143">
        <v>1863</v>
      </c>
      <c r="BF95" s="143">
        <v>1342</v>
      </c>
      <c r="BG95" s="143">
        <v>1370</v>
      </c>
      <c r="BH95" s="143">
        <v>1500</v>
      </c>
      <c r="BI95" s="143">
        <v>2260</v>
      </c>
      <c r="BJ95" s="996">
        <v>751.03</v>
      </c>
      <c r="BK95" s="143">
        <v>937.11</v>
      </c>
      <c r="BL95" s="143">
        <v>2240</v>
      </c>
      <c r="BM95" s="143">
        <v>2120</v>
      </c>
      <c r="BN95" s="143">
        <v>3615</v>
      </c>
      <c r="BO95" s="143">
        <v>469.54</v>
      </c>
      <c r="BP95" s="143">
        <v>552.85</v>
      </c>
      <c r="BQ95" s="143">
        <v>645.79</v>
      </c>
      <c r="BR95" s="143">
        <v>1285</v>
      </c>
      <c r="BS95" s="143">
        <v>1504</v>
      </c>
      <c r="BT95" s="143">
        <v>444.28</v>
      </c>
      <c r="BU95" s="143">
        <v>871</v>
      </c>
      <c r="BV95" s="143">
        <v>2012</v>
      </c>
      <c r="BW95" s="143">
        <v>1675</v>
      </c>
      <c r="BX95" s="143">
        <v>2116</v>
      </c>
      <c r="BY95" s="143">
        <v>2043</v>
      </c>
      <c r="BZ95" s="996">
        <v>2304</v>
      </c>
      <c r="CA95" s="143">
        <v>1541</v>
      </c>
      <c r="CB95">
        <v>1650</v>
      </c>
      <c r="CC95" s="143">
        <v>1380</v>
      </c>
      <c r="CD95" s="143">
        <v>1770</v>
      </c>
      <c r="CE95" s="143">
        <v>2750</v>
      </c>
      <c r="CF95" s="143">
        <v>3835</v>
      </c>
      <c r="CG95" s="143">
        <v>1830</v>
      </c>
      <c r="CH95" s="143">
        <v>3270</v>
      </c>
      <c r="CI95" s="143">
        <v>1742.8571428571429</v>
      </c>
      <c r="CJ95" s="143">
        <v>2240</v>
      </c>
      <c r="CK95" s="143">
        <v>2290</v>
      </c>
      <c r="CL95" s="143">
        <v>2250</v>
      </c>
      <c r="CM95" s="143">
        <v>2820</v>
      </c>
      <c r="CN95" s="143">
        <v>950</v>
      </c>
      <c r="CO95" s="143">
        <v>990</v>
      </c>
      <c r="CP95" s="143">
        <v>1856</v>
      </c>
      <c r="CQ95" s="143">
        <v>546</v>
      </c>
      <c r="CR95" s="143">
        <v>1382</v>
      </c>
      <c r="CS95" s="143">
        <v>532.32000000000005</v>
      </c>
      <c r="CT95" s="143">
        <v>449.6</v>
      </c>
      <c r="CU95" s="143">
        <v>440</v>
      </c>
      <c r="CV95" s="143">
        <v>450</v>
      </c>
      <c r="CW95" s="14">
        <v>488.83</v>
      </c>
      <c r="CX95" s="14">
        <v>1500</v>
      </c>
      <c r="CY95" s="14">
        <v>1639</v>
      </c>
      <c r="CZ95" s="670">
        <v>1420</v>
      </c>
      <c r="DA95" s="670">
        <v>1655.7142857142858</v>
      </c>
      <c r="DB95" s="670">
        <v>1750</v>
      </c>
      <c r="DC95">
        <v>1860</v>
      </c>
      <c r="DD95">
        <v>1750</v>
      </c>
      <c r="DE95">
        <v>1890</v>
      </c>
      <c r="DF95">
        <v>1950</v>
      </c>
      <c r="DG95">
        <v>1790</v>
      </c>
      <c r="DH95">
        <v>1920</v>
      </c>
      <c r="DI95">
        <v>1795</v>
      </c>
      <c r="DJ95">
        <v>2095</v>
      </c>
      <c r="DK95">
        <v>2930</v>
      </c>
      <c r="DL95">
        <v>2930</v>
      </c>
      <c r="DM95">
        <v>515.28</v>
      </c>
      <c r="DN95">
        <v>933.8</v>
      </c>
      <c r="DO95">
        <v>2925</v>
      </c>
      <c r="DP95">
        <v>5966</v>
      </c>
      <c r="DQ95">
        <v>11</v>
      </c>
    </row>
    <row r="96" spans="1:121" x14ac:dyDescent="0.2">
      <c r="A96" s="14">
        <v>11.25</v>
      </c>
      <c r="B96" s="684">
        <f t="shared" si="20"/>
        <v>5.6608067411454292E-2</v>
      </c>
      <c r="C96" s="684">
        <f t="shared" si="21"/>
        <v>5.6608067411454292E-2</v>
      </c>
      <c r="D96" s="684">
        <f t="shared" si="9"/>
        <v>1.4152016852863573E-2</v>
      </c>
      <c r="E96" s="684">
        <f t="shared" si="22"/>
        <v>204.80767935794088</v>
      </c>
      <c r="F96" s="684">
        <f t="shared" si="23"/>
        <v>146.52085414643315</v>
      </c>
      <c r="G96" s="684">
        <f>$I96*$C96</f>
        <v>108.1214087558777</v>
      </c>
      <c r="H96" s="684">
        <f t="shared" si="11"/>
        <v>27.030352188969424</v>
      </c>
      <c r="I96" s="1052">
        <f>HLOOKUP('Input &amp; Summary'!$B$6,TurbineProfiles,ROW(I96)-49,0)</f>
        <v>1910</v>
      </c>
      <c r="J96" s="684">
        <f t="shared" si="24"/>
        <v>2117.4921141893815</v>
      </c>
      <c r="K96" s="9">
        <f t="shared" si="25"/>
        <v>0.90201044301465383</v>
      </c>
      <c r="L96" s="14">
        <f t="shared" si="26"/>
        <v>2869.5219271502369</v>
      </c>
      <c r="M96" s="684">
        <f t="shared" si="27"/>
        <v>2772.0912968833413</v>
      </c>
      <c r="N96" s="684">
        <f t="shared" si="12"/>
        <v>2117.4921141893815</v>
      </c>
      <c r="O96" s="684">
        <f t="shared" si="13"/>
        <v>0.80556112637453303</v>
      </c>
      <c r="P96" s="684">
        <f t="shared" si="14"/>
        <v>27.030352188969424</v>
      </c>
      <c r="Q96" s="684">
        <f t="shared" si="18"/>
        <v>1.4510714056954588E-2</v>
      </c>
      <c r="R96" s="684">
        <f t="shared" si="19"/>
        <v>1.4152279257964695E-2</v>
      </c>
      <c r="S96" s="684">
        <f t="shared" si="15"/>
        <v>27.030853382712568</v>
      </c>
      <c r="T96" s="684">
        <f t="shared" si="16"/>
        <v>27.715463848783262</v>
      </c>
      <c r="U96" s="14">
        <f t="shared" si="17"/>
        <v>1910</v>
      </c>
      <c r="V96" s="982">
        <v>1321.5</v>
      </c>
      <c r="W96" s="982">
        <v>3083.4999999999995</v>
      </c>
      <c r="X96" s="982">
        <v>4404.9999999999991</v>
      </c>
      <c r="Y96" s="982">
        <v>1382.625</v>
      </c>
      <c r="Z96" s="982">
        <v>3226.125</v>
      </c>
      <c r="AA96" s="982">
        <v>4608.7500000000009</v>
      </c>
      <c r="AB96" s="982">
        <v>1434.375</v>
      </c>
      <c r="AC96" s="982">
        <v>3346.875</v>
      </c>
      <c r="AD96" s="982">
        <v>4781.25</v>
      </c>
      <c r="AE96" s="143">
        <v>1375.5</v>
      </c>
      <c r="AF96" s="143">
        <v>1462.5</v>
      </c>
      <c r="AG96" s="143">
        <v>673</v>
      </c>
      <c r="AH96" s="143">
        <v>731.5</v>
      </c>
      <c r="AI96" s="14">
        <v>782.5</v>
      </c>
      <c r="AJ96" s="143">
        <v>4220</v>
      </c>
      <c r="AK96" s="143">
        <v>1042.75</v>
      </c>
      <c r="AL96" s="143">
        <v>2180</v>
      </c>
      <c r="AM96" s="143">
        <v>2100</v>
      </c>
      <c r="AN96" s="143">
        <v>2010</v>
      </c>
      <c r="AO96" s="143">
        <v>1920</v>
      </c>
      <c r="AP96" s="143">
        <v>1770</v>
      </c>
      <c r="AQ96" s="143">
        <v>1957.5</v>
      </c>
      <c r="AR96" s="143">
        <v>1885</v>
      </c>
      <c r="AS96" s="143">
        <v>1917.5</v>
      </c>
      <c r="AT96" s="143">
        <v>395.58</v>
      </c>
      <c r="AU96" s="143">
        <v>691.03</v>
      </c>
      <c r="AV96" s="143">
        <v>1440</v>
      </c>
      <c r="AW96" s="143">
        <v>1500</v>
      </c>
      <c r="AX96" s="143">
        <v>1820</v>
      </c>
      <c r="AY96" s="143">
        <v>2220</v>
      </c>
      <c r="AZ96" s="143">
        <v>2480</v>
      </c>
      <c r="BA96" s="143">
        <v>684.25</v>
      </c>
      <c r="BB96" s="143">
        <v>708.42499999999995</v>
      </c>
      <c r="BC96" s="143">
        <v>1653</v>
      </c>
      <c r="BD96" s="143">
        <v>1828.8</v>
      </c>
      <c r="BE96" s="143">
        <v>1887.35</v>
      </c>
      <c r="BF96" s="143">
        <v>1371.5</v>
      </c>
      <c r="BG96" s="143">
        <v>1390</v>
      </c>
      <c r="BH96" s="143">
        <v>1500</v>
      </c>
      <c r="BI96" s="143">
        <v>2320</v>
      </c>
      <c r="BJ96" s="14">
        <v>782.02</v>
      </c>
      <c r="BK96" s="143">
        <v>958.85</v>
      </c>
      <c r="BL96" s="143">
        <v>2310</v>
      </c>
      <c r="BM96" s="143">
        <v>2210</v>
      </c>
      <c r="BN96" s="143">
        <v>3910</v>
      </c>
      <c r="BO96" s="143">
        <v>484.88</v>
      </c>
      <c r="BP96" s="143">
        <v>573.03</v>
      </c>
      <c r="BQ96" s="143">
        <v>671.93</v>
      </c>
      <c r="BR96" s="143">
        <v>1320.25</v>
      </c>
      <c r="BS96" s="143">
        <v>1537.25</v>
      </c>
      <c r="BT96" s="143">
        <v>466.60500000000002</v>
      </c>
      <c r="BU96" s="143">
        <v>907.25</v>
      </c>
      <c r="BV96" s="143">
        <v>2066.5</v>
      </c>
      <c r="BW96" s="143">
        <v>1757.25</v>
      </c>
      <c r="BX96" s="143">
        <v>2189</v>
      </c>
      <c r="BY96" s="143">
        <v>2121.5</v>
      </c>
      <c r="BZ96" s="14">
        <v>2342.5</v>
      </c>
      <c r="CA96" s="143">
        <v>1568.25</v>
      </c>
      <c r="CB96">
        <v>1650</v>
      </c>
      <c r="CC96" s="143">
        <v>1450</v>
      </c>
      <c r="CD96" s="143">
        <v>1860</v>
      </c>
      <c r="CE96" s="143">
        <v>2850</v>
      </c>
      <c r="CF96" s="143">
        <v>4013.75</v>
      </c>
      <c r="CG96" s="143">
        <v>1890</v>
      </c>
      <c r="CH96" s="143">
        <v>3370</v>
      </c>
      <c r="CI96" s="143">
        <v>1828.5714285714284</v>
      </c>
      <c r="CJ96" s="143">
        <v>2246.6666666666665</v>
      </c>
      <c r="CK96" s="143">
        <v>2300</v>
      </c>
      <c r="CL96" s="143">
        <v>2260</v>
      </c>
      <c r="CM96" s="143">
        <v>3000</v>
      </c>
      <c r="CN96" s="143">
        <v>950</v>
      </c>
      <c r="CO96" s="143">
        <v>1024.25</v>
      </c>
      <c r="CP96" s="143">
        <v>1901.25</v>
      </c>
      <c r="CQ96" s="143">
        <v>555.5</v>
      </c>
      <c r="CR96" s="143">
        <v>1396</v>
      </c>
      <c r="CS96" s="143">
        <v>546.95000000000005</v>
      </c>
      <c r="CT96" s="143">
        <v>468.47500000000002</v>
      </c>
      <c r="CU96" s="143">
        <v>457.5</v>
      </c>
      <c r="CV96" s="143">
        <v>466</v>
      </c>
      <c r="CW96" s="14">
        <v>508.7</v>
      </c>
      <c r="CX96" s="14">
        <v>1530</v>
      </c>
      <c r="CY96" s="14">
        <v>1673</v>
      </c>
      <c r="CZ96" s="670">
        <v>1490</v>
      </c>
      <c r="DA96" s="670">
        <v>1727.8571428571429</v>
      </c>
      <c r="DB96" s="670">
        <v>1770</v>
      </c>
      <c r="DC96">
        <v>1910</v>
      </c>
      <c r="DD96">
        <v>1760</v>
      </c>
      <c r="DE96">
        <v>1926.6666666666667</v>
      </c>
      <c r="DF96">
        <v>2030</v>
      </c>
      <c r="DG96">
        <v>1790</v>
      </c>
      <c r="DH96">
        <v>1935</v>
      </c>
      <c r="DI96">
        <v>1797.5</v>
      </c>
      <c r="DJ96">
        <v>2166.25</v>
      </c>
      <c r="DK96">
        <v>2960</v>
      </c>
      <c r="DL96">
        <v>2960</v>
      </c>
      <c r="DM96">
        <v>536.69000000000005</v>
      </c>
      <c r="DN96">
        <v>977.25</v>
      </c>
      <c r="DO96">
        <v>2950</v>
      </c>
      <c r="DP96">
        <v>6149.5</v>
      </c>
      <c r="DQ96">
        <v>11.25</v>
      </c>
    </row>
    <row r="97" spans="1:121" x14ac:dyDescent="0.2">
      <c r="A97" s="14">
        <v>11.5</v>
      </c>
      <c r="B97" s="684">
        <f t="shared" si="20"/>
        <v>5.3760436708768337E-2</v>
      </c>
      <c r="C97" s="684">
        <f t="shared" si="21"/>
        <v>5.3760436708768296E-2</v>
      </c>
      <c r="D97" s="684">
        <f t="shared" si="9"/>
        <v>1.3440109177192074E-2</v>
      </c>
      <c r="E97" s="684">
        <f t="shared" si="22"/>
        <v>207.7622547880066</v>
      </c>
      <c r="F97" s="684">
        <f t="shared" si="23"/>
        <v>148.63457818749657</v>
      </c>
      <c r="G97" s="684">
        <f t="shared" si="10"/>
        <v>102.68243411374745</v>
      </c>
      <c r="H97" s="684">
        <f t="shared" si="11"/>
        <v>25.670608528436862</v>
      </c>
      <c r="I97" s="1052">
        <f>HLOOKUP('Input &amp; Summary'!$B$6,TurbineProfiles,ROW(I97)-49,0)</f>
        <v>1910</v>
      </c>
      <c r="J97" s="684">
        <f t="shared" si="24"/>
        <v>2117.4921141893815</v>
      </c>
      <c r="K97" s="9">
        <f t="shared" si="25"/>
        <v>0.90201044301465383</v>
      </c>
      <c r="L97" s="14">
        <f t="shared" si="26"/>
        <v>3065.1060225085921</v>
      </c>
      <c r="M97" s="684">
        <f t="shared" si="27"/>
        <v>2923.4267464747736</v>
      </c>
      <c r="N97" s="684">
        <f t="shared" si="12"/>
        <v>2117.4921141893815</v>
      </c>
      <c r="O97" s="684">
        <f t="shared" si="13"/>
        <v>0.81935654201402719</v>
      </c>
      <c r="P97" s="684">
        <f t="shared" si="14"/>
        <v>25.670608528436862</v>
      </c>
      <c r="Q97" s="684">
        <f t="shared" si="18"/>
        <v>1.3795415639494157E-2</v>
      </c>
      <c r="R97" s="684">
        <f t="shared" si="19"/>
        <v>1.3440491688091361E-2</v>
      </c>
      <c r="S97" s="684">
        <f t="shared" si="15"/>
        <v>25.671339124254498</v>
      </c>
      <c r="T97" s="684">
        <f t="shared" si="16"/>
        <v>26.349243871433842</v>
      </c>
      <c r="U97" s="14">
        <f t="shared" si="17"/>
        <v>1910</v>
      </c>
      <c r="V97" s="982">
        <v>1359</v>
      </c>
      <c r="W97" s="982">
        <v>3171</v>
      </c>
      <c r="X97" s="982">
        <v>4529.9999999999991</v>
      </c>
      <c r="Y97" s="982">
        <v>1407.75</v>
      </c>
      <c r="Z97" s="982">
        <v>3284.7500000000005</v>
      </c>
      <c r="AA97" s="982">
        <v>4692.5000000000009</v>
      </c>
      <c r="AB97" s="982">
        <v>1449.7499999999998</v>
      </c>
      <c r="AC97" s="982">
        <v>3382.7499999999995</v>
      </c>
      <c r="AD97" s="982">
        <v>4832.5</v>
      </c>
      <c r="AE97" s="143">
        <v>1417</v>
      </c>
      <c r="AF97" s="143">
        <v>1475</v>
      </c>
      <c r="AG97" s="143">
        <v>688</v>
      </c>
      <c r="AH97" s="143">
        <v>742.375</v>
      </c>
      <c r="AI97" s="14">
        <v>794.125</v>
      </c>
      <c r="AJ97" s="143">
        <v>4440</v>
      </c>
      <c r="AK97" s="143">
        <v>1070.3125</v>
      </c>
      <c r="AL97" s="143">
        <v>2240</v>
      </c>
      <c r="AM97" s="143">
        <v>2180</v>
      </c>
      <c r="AN97" s="143">
        <v>2100</v>
      </c>
      <c r="AO97" s="143">
        <v>2010</v>
      </c>
      <c r="AP97" s="143">
        <v>1810</v>
      </c>
      <c r="AQ97" s="143">
        <v>2000</v>
      </c>
      <c r="AR97" s="143">
        <v>1920</v>
      </c>
      <c r="AS97" s="143">
        <v>1950</v>
      </c>
      <c r="AT97" s="143">
        <v>404.56</v>
      </c>
      <c r="AU97" s="143">
        <v>721.25</v>
      </c>
      <c r="AV97" s="143">
        <v>1460</v>
      </c>
      <c r="AW97" s="143">
        <v>1500</v>
      </c>
      <c r="AX97" s="143">
        <v>1910</v>
      </c>
      <c r="AY97" s="143">
        <v>2290</v>
      </c>
      <c r="AZ97" s="143">
        <v>2500</v>
      </c>
      <c r="BA97" s="143">
        <v>706.5</v>
      </c>
      <c r="BB97" s="143">
        <v>732.25</v>
      </c>
      <c r="BC97" s="143">
        <v>1708</v>
      </c>
      <c r="BD97" s="143">
        <v>1862.8999999999999</v>
      </c>
      <c r="BE97" s="143">
        <v>1911.6999999999998</v>
      </c>
      <c r="BF97" s="143">
        <v>1401</v>
      </c>
      <c r="BG97" s="143">
        <v>1410</v>
      </c>
      <c r="BH97" s="143">
        <v>1500</v>
      </c>
      <c r="BI97" s="143">
        <v>2370</v>
      </c>
      <c r="BJ97" s="14">
        <v>813.02</v>
      </c>
      <c r="BK97" s="143">
        <v>975.93</v>
      </c>
      <c r="BL97" s="143">
        <v>2360</v>
      </c>
      <c r="BM97" s="143">
        <v>2290</v>
      </c>
      <c r="BN97" s="143">
        <v>4205</v>
      </c>
      <c r="BO97" s="143">
        <v>511.69</v>
      </c>
      <c r="BP97" s="143">
        <v>593.20000000000005</v>
      </c>
      <c r="BQ97" s="143">
        <v>694.07</v>
      </c>
      <c r="BR97" s="143">
        <v>1355.5</v>
      </c>
      <c r="BS97" s="143">
        <v>1570.5</v>
      </c>
      <c r="BT97" s="143">
        <v>488.93000000000006</v>
      </c>
      <c r="BU97" s="143">
        <v>943.5</v>
      </c>
      <c r="BV97" s="143">
        <v>2121</v>
      </c>
      <c r="BW97" s="143">
        <v>1839.5</v>
      </c>
      <c r="BX97" s="143">
        <v>2262</v>
      </c>
      <c r="BY97" s="143">
        <v>2200</v>
      </c>
      <c r="BZ97" s="14">
        <v>2381</v>
      </c>
      <c r="CA97" s="143">
        <v>1595.5</v>
      </c>
      <c r="CB97">
        <v>1650</v>
      </c>
      <c r="CC97" s="143">
        <v>1510</v>
      </c>
      <c r="CD97" s="143">
        <v>1930</v>
      </c>
      <c r="CE97" s="143">
        <v>2960</v>
      </c>
      <c r="CF97" s="143">
        <v>4192.5</v>
      </c>
      <c r="CG97" s="143">
        <v>1950</v>
      </c>
      <c r="CH97" s="143">
        <v>3440</v>
      </c>
      <c r="CI97" s="143">
        <v>1914.2857142857142</v>
      </c>
      <c r="CJ97" s="143">
        <v>2253.3333333333335</v>
      </c>
      <c r="CK97" s="143">
        <v>2300</v>
      </c>
      <c r="CL97" s="143">
        <v>2270</v>
      </c>
      <c r="CM97" s="143">
        <v>3100</v>
      </c>
      <c r="CN97" s="143">
        <v>950</v>
      </c>
      <c r="CO97" s="143">
        <v>1058.5</v>
      </c>
      <c r="CP97" s="143">
        <v>1946.5</v>
      </c>
      <c r="CQ97" s="143">
        <v>565</v>
      </c>
      <c r="CR97" s="143">
        <v>1410</v>
      </c>
      <c r="CS97" s="143">
        <v>557.92999999999995</v>
      </c>
      <c r="CT97" s="143">
        <v>487.35</v>
      </c>
      <c r="CU97" s="143">
        <v>475</v>
      </c>
      <c r="CV97" s="143">
        <v>482</v>
      </c>
      <c r="CW97" s="14">
        <v>527.05999999999995</v>
      </c>
      <c r="CX97" s="14">
        <v>1550</v>
      </c>
      <c r="CY97" s="14">
        <v>1707</v>
      </c>
      <c r="CZ97" s="670">
        <v>1550</v>
      </c>
      <c r="DA97" s="670">
        <v>1800</v>
      </c>
      <c r="DB97" s="670">
        <v>1790</v>
      </c>
      <c r="DC97">
        <v>1950</v>
      </c>
      <c r="DD97">
        <v>1770</v>
      </c>
      <c r="DE97">
        <v>1963.3333333333333</v>
      </c>
      <c r="DF97">
        <v>2140</v>
      </c>
      <c r="DG97">
        <v>1800</v>
      </c>
      <c r="DH97">
        <v>1950</v>
      </c>
      <c r="DI97">
        <v>1800</v>
      </c>
      <c r="DJ97">
        <v>2237.5</v>
      </c>
      <c r="DK97">
        <v>2980</v>
      </c>
      <c r="DL97">
        <v>2980</v>
      </c>
      <c r="DM97">
        <v>567.19000000000005</v>
      </c>
      <c r="DN97">
        <v>1020.7</v>
      </c>
      <c r="DO97">
        <v>2975</v>
      </c>
      <c r="DP97">
        <v>6333</v>
      </c>
      <c r="DQ97">
        <v>11.5</v>
      </c>
    </row>
    <row r="98" spans="1:121" x14ac:dyDescent="0.2">
      <c r="A98" s="14">
        <v>11.75</v>
      </c>
      <c r="B98" s="684">
        <f t="shared" si="20"/>
        <v>5.0949452254076759E-2</v>
      </c>
      <c r="C98" s="684">
        <f t="shared" si="21"/>
        <v>5.0949452254076759E-2</v>
      </c>
      <c r="D98" s="684">
        <f t="shared" si="9"/>
        <v>1.273736306351919E-2</v>
      </c>
      <c r="E98" s="684">
        <f t="shared" si="22"/>
        <v>210.02135694364148</v>
      </c>
      <c r="F98" s="684">
        <f t="shared" si="23"/>
        <v>150.25075575703573</v>
      </c>
      <c r="G98" s="684">
        <f t="shared" si="10"/>
        <v>97.313453805286613</v>
      </c>
      <c r="H98" s="684">
        <f t="shared" si="11"/>
        <v>24.328363451321653</v>
      </c>
      <c r="I98" s="1052">
        <f>HLOOKUP('Input &amp; Summary'!$B$6,TurbineProfiles,ROW(I98)-49,0)</f>
        <v>1910</v>
      </c>
      <c r="J98" s="684">
        <f t="shared" si="24"/>
        <v>2117.4921141893815</v>
      </c>
      <c r="K98" s="9">
        <f t="shared" si="25"/>
        <v>0.90201044301465383</v>
      </c>
      <c r="L98" s="14">
        <f t="shared" si="26"/>
        <v>3269.3813447738712</v>
      </c>
      <c r="M98" s="684">
        <f t="shared" si="27"/>
        <v>3074.7621960662059</v>
      </c>
      <c r="N98" s="684">
        <f t="shared" si="12"/>
        <v>2117.4921141893815</v>
      </c>
      <c r="O98" s="684">
        <f t="shared" si="13"/>
        <v>0.83244440151589538</v>
      </c>
      <c r="P98" s="684">
        <f t="shared" si="14"/>
        <v>24.328363451321653</v>
      </c>
      <c r="Q98" s="684">
        <f t="shared" si="18"/>
        <v>1.3087859501868193E-2</v>
      </c>
      <c r="R98" s="684">
        <f t="shared" si="19"/>
        <v>1.2737854687080996E-2</v>
      </c>
      <c r="S98" s="684">
        <f t="shared" si="15"/>
        <v>24.329302452324704</v>
      </c>
      <c r="T98" s="684">
        <f t="shared" si="16"/>
        <v>24.997811648568248</v>
      </c>
      <c r="U98" s="14">
        <f t="shared" si="17"/>
        <v>1910</v>
      </c>
      <c r="V98" s="982">
        <v>1396.4999999999998</v>
      </c>
      <c r="W98" s="982">
        <v>3258.4999999999995</v>
      </c>
      <c r="X98" s="982">
        <v>4654.9999999999991</v>
      </c>
      <c r="Y98" s="982">
        <v>1432.8750000000002</v>
      </c>
      <c r="Z98" s="982">
        <v>3343.3750000000005</v>
      </c>
      <c r="AA98" s="982">
        <v>4776.2500000000009</v>
      </c>
      <c r="AB98" s="982">
        <v>1465.1249999999998</v>
      </c>
      <c r="AC98" s="982">
        <v>3418.6249999999995</v>
      </c>
      <c r="AD98" s="982">
        <v>4883.7499999999991</v>
      </c>
      <c r="AE98" s="143">
        <v>1458.5</v>
      </c>
      <c r="AF98" s="143">
        <v>1487.5</v>
      </c>
      <c r="AG98" s="143">
        <v>703</v>
      </c>
      <c r="AH98" s="143">
        <v>753.25</v>
      </c>
      <c r="AI98" s="14">
        <v>805.75</v>
      </c>
      <c r="AJ98" s="143">
        <v>4660</v>
      </c>
      <c r="AK98" s="143">
        <v>1097.875</v>
      </c>
      <c r="AL98" s="143">
        <v>2300</v>
      </c>
      <c r="AM98" s="143">
        <v>2250</v>
      </c>
      <c r="AN98" s="143">
        <v>2180</v>
      </c>
      <c r="AO98" s="143">
        <v>2090</v>
      </c>
      <c r="AP98" s="143">
        <v>1860</v>
      </c>
      <c r="AQ98" s="143">
        <v>2000</v>
      </c>
      <c r="AR98" s="143">
        <v>1955</v>
      </c>
      <c r="AS98" s="143">
        <v>1975</v>
      </c>
      <c r="AT98" s="143">
        <v>420.76</v>
      </c>
      <c r="AU98" s="143">
        <v>739.89</v>
      </c>
      <c r="AV98" s="143">
        <v>1490</v>
      </c>
      <c r="AW98" s="143">
        <v>1500</v>
      </c>
      <c r="AX98" s="143">
        <v>2000</v>
      </c>
      <c r="AY98" s="143">
        <v>2360</v>
      </c>
      <c r="AZ98" s="143">
        <v>2500</v>
      </c>
      <c r="BA98" s="143">
        <v>728.75</v>
      </c>
      <c r="BB98" s="143">
        <v>756.07500000000005</v>
      </c>
      <c r="BC98" s="143">
        <v>1763</v>
      </c>
      <c r="BD98" s="143">
        <v>1896.9999999999998</v>
      </c>
      <c r="BE98" s="143">
        <v>1936.0499999999997</v>
      </c>
      <c r="BF98" s="143">
        <v>1430.5</v>
      </c>
      <c r="BG98" s="143">
        <v>1430</v>
      </c>
      <c r="BH98" s="143">
        <v>1500</v>
      </c>
      <c r="BI98" s="143">
        <v>2420</v>
      </c>
      <c r="BJ98" s="14">
        <v>854.34</v>
      </c>
      <c r="BK98" s="143">
        <v>985.25</v>
      </c>
      <c r="BL98" s="143">
        <v>2380</v>
      </c>
      <c r="BM98" s="143">
        <v>2330</v>
      </c>
      <c r="BN98" s="143">
        <v>4500</v>
      </c>
      <c r="BO98" s="143">
        <v>534.67999999999995</v>
      </c>
      <c r="BP98" s="143">
        <v>610.5</v>
      </c>
      <c r="BQ98" s="143">
        <v>718.2</v>
      </c>
      <c r="BR98" s="143">
        <v>1390.75</v>
      </c>
      <c r="BS98" s="143">
        <v>1603.75</v>
      </c>
      <c r="BT98" s="143">
        <v>511.25500000000011</v>
      </c>
      <c r="BU98" s="143">
        <v>979.75</v>
      </c>
      <c r="BV98" s="143">
        <v>2175.5</v>
      </c>
      <c r="BW98" s="143">
        <v>1921.75</v>
      </c>
      <c r="BX98" s="143">
        <v>2316</v>
      </c>
      <c r="BY98" s="143">
        <v>2272.5</v>
      </c>
      <c r="BZ98" s="14">
        <v>2419.5</v>
      </c>
      <c r="CA98" s="143">
        <v>1622.75</v>
      </c>
      <c r="CB98">
        <v>1650</v>
      </c>
      <c r="CC98" s="143">
        <v>1580</v>
      </c>
      <c r="CD98" s="143">
        <v>1990</v>
      </c>
      <c r="CE98" s="143">
        <v>3060</v>
      </c>
      <c r="CF98" s="143">
        <v>4371.25</v>
      </c>
      <c r="CG98" s="143">
        <v>2030</v>
      </c>
      <c r="CH98" s="143">
        <v>3480</v>
      </c>
      <c r="CI98" s="143">
        <v>2000</v>
      </c>
      <c r="CJ98" s="143">
        <v>2260</v>
      </c>
      <c r="CK98" s="143">
        <v>2300</v>
      </c>
      <c r="CL98" s="143">
        <v>2280</v>
      </c>
      <c r="CM98" s="143">
        <v>3200</v>
      </c>
      <c r="CN98" s="143">
        <v>950</v>
      </c>
      <c r="CO98" s="143">
        <v>1092.75</v>
      </c>
      <c r="CP98" s="143">
        <v>1991.75</v>
      </c>
      <c r="CQ98" s="143">
        <v>574.5</v>
      </c>
      <c r="CR98" s="143">
        <v>1424</v>
      </c>
      <c r="CS98" s="143">
        <v>568.9</v>
      </c>
      <c r="CT98" s="143">
        <v>506.22500000000002</v>
      </c>
      <c r="CU98" s="143">
        <v>492.5</v>
      </c>
      <c r="CV98" s="143">
        <v>498</v>
      </c>
      <c r="CW98" s="14">
        <v>540.85</v>
      </c>
      <c r="CX98" s="14">
        <v>1560</v>
      </c>
      <c r="CY98" s="14">
        <v>1741</v>
      </c>
      <c r="CZ98" s="670">
        <v>1610</v>
      </c>
      <c r="DA98" s="670">
        <v>1833</v>
      </c>
      <c r="DB98" s="670">
        <v>1800</v>
      </c>
      <c r="DC98">
        <v>1960</v>
      </c>
      <c r="DD98">
        <v>1780</v>
      </c>
      <c r="DE98">
        <v>2000</v>
      </c>
      <c r="DF98">
        <v>2230</v>
      </c>
      <c r="DG98">
        <v>1800</v>
      </c>
      <c r="DH98">
        <v>1965</v>
      </c>
      <c r="DI98">
        <v>1800</v>
      </c>
      <c r="DJ98">
        <v>2308.75</v>
      </c>
      <c r="DK98">
        <v>3000</v>
      </c>
      <c r="DL98">
        <v>3000</v>
      </c>
      <c r="DM98">
        <v>591.6</v>
      </c>
      <c r="DN98">
        <v>1064.1500000000001</v>
      </c>
      <c r="DO98">
        <v>2985</v>
      </c>
      <c r="DP98">
        <v>6516.5</v>
      </c>
      <c r="DQ98">
        <v>11.75</v>
      </c>
    </row>
    <row r="99" spans="1:121" x14ac:dyDescent="0.2">
      <c r="A99" s="14">
        <v>12</v>
      </c>
      <c r="B99" s="684">
        <f t="shared" si="20"/>
        <v>4.8185588506516441E-2</v>
      </c>
      <c r="C99" s="684">
        <f t="shared" si="21"/>
        <v>4.8185588506516441E-2</v>
      </c>
      <c r="D99" s="684">
        <f t="shared" si="9"/>
        <v>1.204639712662911E-2</v>
      </c>
      <c r="E99" s="684">
        <f t="shared" si="22"/>
        <v>211.57836006379452</v>
      </c>
      <c r="F99" s="684">
        <f t="shared" si="23"/>
        <v>151.36464673899826</v>
      </c>
      <c r="G99" s="684">
        <f t="shared" si="10"/>
        <v>92.034474047446409</v>
      </c>
      <c r="H99" s="684">
        <f t="shared" si="11"/>
        <v>23.008618511861602</v>
      </c>
      <c r="I99" s="1052">
        <f>HLOOKUP('Input &amp; Summary'!$B$6,TurbineProfiles,ROW(I99)-49,0)</f>
        <v>1910</v>
      </c>
      <c r="J99" s="684">
        <f t="shared" si="24"/>
        <v>2117.4921141893815</v>
      </c>
      <c r="K99" s="9">
        <f t="shared" si="25"/>
        <v>0.90201044301465383</v>
      </c>
      <c r="L99" s="14">
        <f t="shared" si="26"/>
        <v>3482.536833661442</v>
      </c>
      <c r="M99" s="684">
        <f t="shared" si="27"/>
        <v>3226.0976456576382</v>
      </c>
      <c r="N99" s="684">
        <f t="shared" si="12"/>
        <v>2117.4921141893815</v>
      </c>
      <c r="O99" s="684">
        <f t="shared" si="13"/>
        <v>0.84483519781363714</v>
      </c>
      <c r="P99" s="684">
        <f t="shared" si="14"/>
        <v>23.008618511861602</v>
      </c>
      <c r="Q99" s="684">
        <f t="shared" si="18"/>
        <v>1.2390796297741757E-2</v>
      </c>
      <c r="R99" s="684">
        <f t="shared" si="19"/>
        <v>1.2046986816849348E-2</v>
      </c>
      <c r="S99" s="684">
        <f t="shared" si="15"/>
        <v>23.009744820182256</v>
      </c>
      <c r="T99" s="684">
        <f t="shared" si="16"/>
        <v>23.666420928686758</v>
      </c>
      <c r="U99" s="14">
        <f t="shared" si="17"/>
        <v>1910</v>
      </c>
      <c r="V99" s="982">
        <v>1434</v>
      </c>
      <c r="W99" s="982">
        <v>3346</v>
      </c>
      <c r="X99" s="982">
        <v>4779.9999999999991</v>
      </c>
      <c r="Y99" s="982">
        <v>1458.0000000000002</v>
      </c>
      <c r="Z99" s="982">
        <v>3402.0000000000005</v>
      </c>
      <c r="AA99" s="982">
        <v>4860.0000000000009</v>
      </c>
      <c r="AB99" s="982">
        <v>1480.4999999999998</v>
      </c>
      <c r="AC99" s="982">
        <v>3454.4999999999995</v>
      </c>
      <c r="AD99" s="982">
        <v>4935</v>
      </c>
      <c r="AE99" s="143">
        <v>1500</v>
      </c>
      <c r="AF99" s="143">
        <v>1500</v>
      </c>
      <c r="AG99" s="143">
        <v>718</v>
      </c>
      <c r="AH99" s="143">
        <v>775</v>
      </c>
      <c r="AI99" s="996">
        <v>829</v>
      </c>
      <c r="AJ99" s="143">
        <v>4880</v>
      </c>
      <c r="AK99" s="143">
        <v>1153</v>
      </c>
      <c r="AL99" s="143">
        <v>2350</v>
      </c>
      <c r="AM99" s="143">
        <v>2320</v>
      </c>
      <c r="AN99" s="143">
        <v>2250</v>
      </c>
      <c r="AO99" s="143">
        <v>2160</v>
      </c>
      <c r="AP99" s="143">
        <v>1900</v>
      </c>
      <c r="AQ99" s="143">
        <v>2000</v>
      </c>
      <c r="AR99" s="143">
        <v>1990</v>
      </c>
      <c r="AS99" s="143">
        <v>2000</v>
      </c>
      <c r="AT99" s="143">
        <v>442.38</v>
      </c>
      <c r="AU99" s="143">
        <v>746.69</v>
      </c>
      <c r="AV99" s="143">
        <v>1500</v>
      </c>
      <c r="AW99" s="143">
        <v>1500</v>
      </c>
      <c r="AX99" s="143">
        <v>2080</v>
      </c>
      <c r="AY99" s="143">
        <v>2420</v>
      </c>
      <c r="AZ99" s="143">
        <v>2500</v>
      </c>
      <c r="BA99" s="143">
        <v>751</v>
      </c>
      <c r="BB99" s="143">
        <v>779.9</v>
      </c>
      <c r="BC99" s="143">
        <v>1818</v>
      </c>
      <c r="BD99" s="143">
        <v>1931.1</v>
      </c>
      <c r="BE99" s="143">
        <v>1960.4</v>
      </c>
      <c r="BF99" s="143">
        <v>1460</v>
      </c>
      <c r="BG99" s="143">
        <v>1440</v>
      </c>
      <c r="BH99" s="143">
        <v>1500</v>
      </c>
      <c r="BI99" s="143">
        <v>2460</v>
      </c>
      <c r="BJ99" s="996">
        <v>881.2</v>
      </c>
      <c r="BK99" s="143">
        <v>989.91</v>
      </c>
      <c r="BL99" s="143">
        <v>2390</v>
      </c>
      <c r="BM99" s="143">
        <v>2370</v>
      </c>
      <c r="BN99" s="143">
        <v>4795</v>
      </c>
      <c r="BO99" s="143">
        <v>553.85</v>
      </c>
      <c r="BP99" s="143">
        <v>627.79999999999995</v>
      </c>
      <c r="BQ99" s="143">
        <v>740.33</v>
      </c>
      <c r="BR99" s="143">
        <v>1426</v>
      </c>
      <c r="BS99" s="143">
        <v>1637</v>
      </c>
      <c r="BT99" s="143">
        <v>533.58000000000004</v>
      </c>
      <c r="BU99" s="143">
        <v>1016</v>
      </c>
      <c r="BV99" s="143">
        <v>2230</v>
      </c>
      <c r="BW99" s="143">
        <v>2004</v>
      </c>
      <c r="BX99" s="143">
        <v>2370</v>
      </c>
      <c r="BY99" s="143">
        <v>2345</v>
      </c>
      <c r="BZ99" s="996">
        <v>2458</v>
      </c>
      <c r="CA99" s="143">
        <v>1650</v>
      </c>
      <c r="CB99">
        <v>1650</v>
      </c>
      <c r="CC99" s="143">
        <v>1640</v>
      </c>
      <c r="CD99" s="143">
        <v>2030</v>
      </c>
      <c r="CE99" s="143">
        <v>3160</v>
      </c>
      <c r="CF99" s="143">
        <v>4550</v>
      </c>
      <c r="CG99" s="143">
        <v>2090</v>
      </c>
      <c r="CH99" s="143">
        <v>3510</v>
      </c>
      <c r="CI99" s="143">
        <v>2040</v>
      </c>
      <c r="CJ99" s="143">
        <v>2300</v>
      </c>
      <c r="CK99" s="143">
        <v>2300</v>
      </c>
      <c r="CL99" s="143">
        <v>2290</v>
      </c>
      <c r="CM99" s="143">
        <v>3300</v>
      </c>
      <c r="CN99" s="143">
        <v>950</v>
      </c>
      <c r="CO99" s="143">
        <v>1127</v>
      </c>
      <c r="CP99" s="143">
        <v>2037</v>
      </c>
      <c r="CQ99" s="143">
        <v>584</v>
      </c>
      <c r="CR99" s="143">
        <v>1438</v>
      </c>
      <c r="CS99" s="143">
        <v>579.88</v>
      </c>
      <c r="CT99" s="143">
        <v>525.1</v>
      </c>
      <c r="CU99" s="143">
        <v>510</v>
      </c>
      <c r="CV99" s="143">
        <v>514</v>
      </c>
      <c r="CW99" s="14">
        <v>556.16999999999996</v>
      </c>
      <c r="CX99" s="14">
        <v>1580</v>
      </c>
      <c r="CY99" s="14">
        <v>1775</v>
      </c>
      <c r="CZ99" s="670">
        <v>1660</v>
      </c>
      <c r="DA99" s="670">
        <v>1866</v>
      </c>
      <c r="DB99" s="670">
        <v>1800</v>
      </c>
      <c r="DC99">
        <v>1970</v>
      </c>
      <c r="DD99">
        <v>1790</v>
      </c>
      <c r="DE99">
        <v>2000</v>
      </c>
      <c r="DF99">
        <v>2340</v>
      </c>
      <c r="DG99">
        <v>1800</v>
      </c>
      <c r="DH99">
        <v>1980</v>
      </c>
      <c r="DI99">
        <v>1800</v>
      </c>
      <c r="DJ99">
        <v>2380</v>
      </c>
      <c r="DK99">
        <v>3000</v>
      </c>
      <c r="DL99">
        <v>3000</v>
      </c>
      <c r="DM99">
        <v>609.98</v>
      </c>
      <c r="DN99">
        <v>1107.5999999999999</v>
      </c>
      <c r="DO99">
        <v>2995</v>
      </c>
      <c r="DP99">
        <v>6700</v>
      </c>
      <c r="DQ99">
        <v>12</v>
      </c>
    </row>
    <row r="100" spans="1:121" x14ac:dyDescent="0.2">
      <c r="A100" s="14">
        <v>12.25</v>
      </c>
      <c r="B100" s="684">
        <f t="shared" si="20"/>
        <v>4.5478260236384405E-2</v>
      </c>
      <c r="C100" s="684">
        <f t="shared" si="21"/>
        <v>4.5478260236384425E-2</v>
      </c>
      <c r="D100" s="684">
        <f t="shared" si="9"/>
        <v>1.1369565059096106E-2</v>
      </c>
      <c r="E100" s="684">
        <f t="shared" si="22"/>
        <v>212.43322852845088</v>
      </c>
      <c r="F100" s="684">
        <f t="shared" si="23"/>
        <v>151.97622565057506</v>
      </c>
      <c r="G100" s="684">
        <f t="shared" si="10"/>
        <v>86.863477051494257</v>
      </c>
      <c r="H100" s="684">
        <f t="shared" si="11"/>
        <v>21.715869262873564</v>
      </c>
      <c r="I100" s="1052">
        <f>HLOOKUP('Input &amp; Summary'!$B$6,TurbineProfiles,ROW(I100)-49,0)</f>
        <v>1910</v>
      </c>
      <c r="J100" s="684">
        <f t="shared" si="24"/>
        <v>2117.4921141893815</v>
      </c>
      <c r="K100" s="9">
        <f t="shared" si="25"/>
        <v>0.90201044301465383</v>
      </c>
      <c r="L100" s="14">
        <f t="shared" si="26"/>
        <v>3704.7614288866753</v>
      </c>
      <c r="M100" s="684">
        <f t="shared" si="27"/>
        <v>3377.43309524907</v>
      </c>
      <c r="N100" s="684">
        <f t="shared" si="12"/>
        <v>2117.4921141893815</v>
      </c>
      <c r="O100" s="684">
        <f t="shared" si="13"/>
        <v>0.85654190999138546</v>
      </c>
      <c r="P100" s="684">
        <f t="shared" si="14"/>
        <v>21.715869262873564</v>
      </c>
      <c r="Q100" s="684">
        <f t="shared" si="18"/>
        <v>1.1706712177748324E-2</v>
      </c>
      <c r="R100" s="684">
        <f t="shared" si="19"/>
        <v>1.1370241824051885E-2</v>
      </c>
      <c r="S100" s="684">
        <f t="shared" si="15"/>
        <v>21.717161883939102</v>
      </c>
      <c r="T100" s="684">
        <f t="shared" si="16"/>
        <v>22.359820259499298</v>
      </c>
      <c r="U100" s="14">
        <f t="shared" si="17"/>
        <v>1910</v>
      </c>
      <c r="V100" s="982">
        <v>1445.625</v>
      </c>
      <c r="W100" s="982">
        <v>3373.125</v>
      </c>
      <c r="X100" s="982">
        <v>4818.75</v>
      </c>
      <c r="Y100" s="982">
        <v>1465.8750000000002</v>
      </c>
      <c r="Z100" s="982">
        <v>3420.3750000000009</v>
      </c>
      <c r="AA100" s="982">
        <v>4886.25</v>
      </c>
      <c r="AB100" s="982">
        <v>1484.6249999999998</v>
      </c>
      <c r="AC100" s="982">
        <v>3464.1249999999995</v>
      </c>
      <c r="AD100" s="982">
        <v>4948.7499999999991</v>
      </c>
      <c r="AE100" s="143">
        <v>1500</v>
      </c>
      <c r="AF100" s="143">
        <v>1500</v>
      </c>
      <c r="AG100" s="143">
        <v>723.75</v>
      </c>
      <c r="AH100" s="143">
        <v>787.5</v>
      </c>
      <c r="AI100" s="14">
        <v>842.5</v>
      </c>
      <c r="AJ100" s="143">
        <v>4940</v>
      </c>
      <c r="AK100" s="143">
        <v>1175</v>
      </c>
      <c r="AL100" s="143">
        <v>2390</v>
      </c>
      <c r="AM100" s="143">
        <v>2370</v>
      </c>
      <c r="AN100" s="143">
        <v>2300</v>
      </c>
      <c r="AO100" s="143">
        <v>2230</v>
      </c>
      <c r="AP100" s="143">
        <v>1930</v>
      </c>
      <c r="AQ100" s="143">
        <v>2000</v>
      </c>
      <c r="AR100" s="143">
        <v>2000</v>
      </c>
      <c r="AS100" s="143">
        <v>2000</v>
      </c>
      <c r="AT100" s="143">
        <v>460.39</v>
      </c>
      <c r="AU100" s="143">
        <v>750</v>
      </c>
      <c r="AV100" s="143">
        <v>1500</v>
      </c>
      <c r="AW100" s="143">
        <v>1500</v>
      </c>
      <c r="AX100" s="143">
        <v>2150</v>
      </c>
      <c r="AY100" s="143">
        <v>2460</v>
      </c>
      <c r="AZ100" s="143">
        <v>2500</v>
      </c>
      <c r="BA100" s="143">
        <v>760.25</v>
      </c>
      <c r="BB100" s="143">
        <v>795.07500000000005</v>
      </c>
      <c r="BC100" s="143">
        <v>1847.25</v>
      </c>
      <c r="BD100" s="143">
        <v>1943.5749999999998</v>
      </c>
      <c r="BE100" s="143">
        <v>1967.9</v>
      </c>
      <c r="BF100" s="143">
        <v>1468.5</v>
      </c>
      <c r="BG100" s="143">
        <v>1460</v>
      </c>
      <c r="BH100" s="143">
        <v>1500</v>
      </c>
      <c r="BI100" s="143">
        <v>2480</v>
      </c>
      <c r="BJ100" s="14">
        <v>916.32</v>
      </c>
      <c r="BK100" s="143">
        <v>994.56</v>
      </c>
      <c r="BL100" s="143">
        <v>2400</v>
      </c>
      <c r="BM100" s="143">
        <v>2390</v>
      </c>
      <c r="BN100" s="143">
        <v>4897.5</v>
      </c>
      <c r="BO100" s="143">
        <v>576.83000000000004</v>
      </c>
      <c r="BP100" s="143">
        <v>642.23</v>
      </c>
      <c r="BQ100" s="143">
        <v>760.46</v>
      </c>
      <c r="BR100" s="143">
        <v>1432.25</v>
      </c>
      <c r="BS100" s="143">
        <v>1639.75</v>
      </c>
      <c r="BT100" s="143">
        <v>546.12250000000006</v>
      </c>
      <c r="BU100" s="143">
        <v>1043</v>
      </c>
      <c r="BV100" s="143">
        <v>2247.5</v>
      </c>
      <c r="BW100" s="143">
        <v>2073.25</v>
      </c>
      <c r="BX100" s="143">
        <v>2406.5</v>
      </c>
      <c r="BY100" s="143">
        <v>2387.5</v>
      </c>
      <c r="BZ100" s="14">
        <v>2468.5</v>
      </c>
      <c r="CA100" s="143">
        <v>1650</v>
      </c>
      <c r="CB100">
        <v>1650</v>
      </c>
      <c r="CC100" s="143">
        <v>1700</v>
      </c>
      <c r="CD100" s="143">
        <v>2040</v>
      </c>
      <c r="CE100" s="143">
        <v>3260</v>
      </c>
      <c r="CF100" s="143">
        <v>4637.5</v>
      </c>
      <c r="CG100" s="143">
        <v>2130</v>
      </c>
      <c r="CH100" s="143">
        <v>3540</v>
      </c>
      <c r="CI100" s="143">
        <v>2080</v>
      </c>
      <c r="CJ100" s="143">
        <v>2300</v>
      </c>
      <c r="CK100" s="143">
        <v>2300</v>
      </c>
      <c r="CL100" s="143">
        <v>2295</v>
      </c>
      <c r="CM100" s="143">
        <v>3375</v>
      </c>
      <c r="CN100" s="143">
        <v>950</v>
      </c>
      <c r="CO100" s="143">
        <v>1144.75</v>
      </c>
      <c r="CP100" s="143">
        <v>2049.75</v>
      </c>
      <c r="CQ100" s="143">
        <v>588</v>
      </c>
      <c r="CR100" s="143">
        <v>1446.75</v>
      </c>
      <c r="CS100" s="143">
        <v>587.20000000000005</v>
      </c>
      <c r="CT100" s="143">
        <v>534.9</v>
      </c>
      <c r="CU100" s="143">
        <v>521.5</v>
      </c>
      <c r="CV100" s="143">
        <v>525</v>
      </c>
      <c r="CW100" s="14">
        <v>569.99</v>
      </c>
      <c r="CX100" s="14">
        <v>1600</v>
      </c>
      <c r="CY100" s="14">
        <v>1780.5</v>
      </c>
      <c r="CZ100" s="670">
        <v>1710</v>
      </c>
      <c r="DA100" s="670">
        <v>1900</v>
      </c>
      <c r="DB100" s="670">
        <v>1800</v>
      </c>
      <c r="DC100">
        <v>1980</v>
      </c>
      <c r="DD100">
        <v>1792.5</v>
      </c>
      <c r="DE100">
        <v>2000</v>
      </c>
      <c r="DF100">
        <v>2440</v>
      </c>
      <c r="DG100">
        <v>1800</v>
      </c>
      <c r="DH100">
        <v>1990</v>
      </c>
      <c r="DI100">
        <v>1800</v>
      </c>
      <c r="DJ100">
        <v>2410</v>
      </c>
      <c r="DK100">
        <v>3000</v>
      </c>
      <c r="DL100">
        <v>3000</v>
      </c>
      <c r="DM100">
        <v>634.42999999999995</v>
      </c>
      <c r="DN100">
        <v>1147.8499999999999</v>
      </c>
      <c r="DO100">
        <v>3000</v>
      </c>
      <c r="DP100">
        <v>6800</v>
      </c>
      <c r="DQ100">
        <v>12.25</v>
      </c>
    </row>
    <row r="101" spans="1:121" x14ac:dyDescent="0.2">
      <c r="A101" s="14">
        <v>12.5</v>
      </c>
      <c r="B101" s="684">
        <f t="shared" si="20"/>
        <v>4.2835827659137037E-2</v>
      </c>
      <c r="C101" s="684">
        <f t="shared" si="21"/>
        <v>4.2835827659137037E-2</v>
      </c>
      <c r="D101" s="684">
        <f t="shared" si="9"/>
        <v>1.0708956914784259E-2</v>
      </c>
      <c r="E101" s="684">
        <f t="shared" si="22"/>
        <v>212.5923058961516</v>
      </c>
      <c r="F101" s="684">
        <f t="shared" si="23"/>
        <v>152.0900307181582</v>
      </c>
      <c r="G101" s="684">
        <f t="shared" si="10"/>
        <v>81.816430828951738</v>
      </c>
      <c r="H101" s="684">
        <f t="shared" si="11"/>
        <v>20.454107707237934</v>
      </c>
      <c r="I101" s="1052">
        <f>HLOOKUP('Input &amp; Summary'!$B$6,TurbineProfiles,ROW(I101)-49,0)</f>
        <v>1910</v>
      </c>
      <c r="J101" s="684">
        <f t="shared" si="24"/>
        <v>2117.4921141893815</v>
      </c>
      <c r="K101" s="9">
        <f t="shared" si="25"/>
        <v>0.90201044301465383</v>
      </c>
      <c r="L101" s="14">
        <f t="shared" si="26"/>
        <v>3936.244070164933</v>
      </c>
      <c r="M101" s="684">
        <f t="shared" si="27"/>
        <v>3528.7685448405023</v>
      </c>
      <c r="N101" s="684">
        <f t="shared" si="12"/>
        <v>2117.4921141893815</v>
      </c>
      <c r="O101" s="684">
        <f t="shared" si="13"/>
        <v>0.86757973879788863</v>
      </c>
      <c r="P101" s="684">
        <f t="shared" si="14"/>
        <v>20.454107707237934</v>
      </c>
      <c r="Q101" s="684">
        <f t="shared" si="18"/>
        <v>1.1037828806503169E-2</v>
      </c>
      <c r="R101" s="684">
        <f t="shared" si="19"/>
        <v>1.0709709915091681E-2</v>
      </c>
      <c r="S101" s="684">
        <f t="shared" si="15"/>
        <v>20.455545937825111</v>
      </c>
      <c r="T101" s="684">
        <f t="shared" si="16"/>
        <v>21.082253020421053</v>
      </c>
      <c r="U101" s="14">
        <f t="shared" si="17"/>
        <v>1910</v>
      </c>
      <c r="V101" s="982">
        <v>1457.2500000000002</v>
      </c>
      <c r="W101" s="982">
        <v>3400.25</v>
      </c>
      <c r="X101" s="982">
        <v>4857.5</v>
      </c>
      <c r="Y101" s="982">
        <v>1473.7500000000002</v>
      </c>
      <c r="Z101" s="982">
        <v>3438.7500000000005</v>
      </c>
      <c r="AA101" s="982">
        <v>4912.5000000000009</v>
      </c>
      <c r="AB101" s="982">
        <v>1488.75</v>
      </c>
      <c r="AC101" s="982">
        <v>3473.75</v>
      </c>
      <c r="AD101" s="982">
        <v>4962.4999999999991</v>
      </c>
      <c r="AE101" s="143">
        <v>1500</v>
      </c>
      <c r="AF101" s="143">
        <v>1500</v>
      </c>
      <c r="AG101" s="143">
        <v>729.5</v>
      </c>
      <c r="AH101" s="143">
        <v>796.875</v>
      </c>
      <c r="AI101" s="996">
        <v>852.625</v>
      </c>
      <c r="AJ101" s="143">
        <v>5000</v>
      </c>
      <c r="AK101" s="143">
        <v>1191.5</v>
      </c>
      <c r="AL101" s="143">
        <v>2420</v>
      </c>
      <c r="AM101" s="143">
        <v>2410</v>
      </c>
      <c r="AN101" s="143">
        <v>2350</v>
      </c>
      <c r="AO101" s="143">
        <v>2280</v>
      </c>
      <c r="AP101" s="143">
        <v>1950</v>
      </c>
      <c r="AQ101" s="143">
        <v>2000</v>
      </c>
      <c r="AR101" s="143">
        <v>2000</v>
      </c>
      <c r="AS101" s="143">
        <v>2000</v>
      </c>
      <c r="AT101" s="143">
        <v>478.39</v>
      </c>
      <c r="AU101" s="143">
        <v>750</v>
      </c>
      <c r="AV101" s="143">
        <v>1500</v>
      </c>
      <c r="AW101" s="143">
        <v>1500</v>
      </c>
      <c r="AX101" s="143">
        <v>2230</v>
      </c>
      <c r="AY101" s="143">
        <v>2480</v>
      </c>
      <c r="AZ101" s="143">
        <v>2500</v>
      </c>
      <c r="BA101" s="143">
        <v>769.5</v>
      </c>
      <c r="BB101" s="143">
        <v>810.25</v>
      </c>
      <c r="BC101" s="143">
        <v>1876.5</v>
      </c>
      <c r="BD101" s="143">
        <v>1956.0499999999997</v>
      </c>
      <c r="BE101" s="143">
        <v>1975.4</v>
      </c>
      <c r="BF101" s="143">
        <v>1477</v>
      </c>
      <c r="BG101" s="143">
        <v>1470</v>
      </c>
      <c r="BH101" s="143">
        <v>1500</v>
      </c>
      <c r="BI101" s="143">
        <v>2500</v>
      </c>
      <c r="BJ101" s="996">
        <v>941.12</v>
      </c>
      <c r="BK101" s="143">
        <v>1000</v>
      </c>
      <c r="BL101" s="143">
        <v>2400</v>
      </c>
      <c r="BM101" s="143">
        <v>2400</v>
      </c>
      <c r="BN101" s="143">
        <v>5000</v>
      </c>
      <c r="BO101" s="143">
        <v>592.17999999999995</v>
      </c>
      <c r="BP101" s="143">
        <v>656.66</v>
      </c>
      <c r="BQ101" s="143">
        <v>778.56</v>
      </c>
      <c r="BR101" s="143">
        <v>1438.5</v>
      </c>
      <c r="BS101" s="143">
        <v>1642.5</v>
      </c>
      <c r="BT101" s="143">
        <v>558.66500000000008</v>
      </c>
      <c r="BU101" s="143">
        <v>1070</v>
      </c>
      <c r="BV101" s="143">
        <v>2265</v>
      </c>
      <c r="BW101" s="143">
        <v>2142.5</v>
      </c>
      <c r="BX101" s="143">
        <v>2443</v>
      </c>
      <c r="BY101" s="143">
        <v>2430</v>
      </c>
      <c r="BZ101" s="14">
        <v>2479</v>
      </c>
      <c r="CA101" s="143">
        <v>1650</v>
      </c>
      <c r="CB101">
        <v>1650</v>
      </c>
      <c r="CC101" s="143">
        <v>1770</v>
      </c>
      <c r="CD101" s="143">
        <v>2050</v>
      </c>
      <c r="CE101" s="143">
        <v>3300</v>
      </c>
      <c r="CF101" s="143">
        <v>4725</v>
      </c>
      <c r="CG101" s="143">
        <v>2190</v>
      </c>
      <c r="CH101" s="143">
        <v>3560</v>
      </c>
      <c r="CI101" s="143">
        <v>2120</v>
      </c>
      <c r="CJ101" s="143">
        <v>2300</v>
      </c>
      <c r="CK101" s="143">
        <v>2300</v>
      </c>
      <c r="CL101" s="143">
        <v>2300</v>
      </c>
      <c r="CM101" s="143">
        <v>3450</v>
      </c>
      <c r="CN101" s="143">
        <v>950</v>
      </c>
      <c r="CO101" s="143">
        <v>1162.5</v>
      </c>
      <c r="CP101" s="143">
        <v>2062.5</v>
      </c>
      <c r="CQ101" s="143">
        <v>592</v>
      </c>
      <c r="CR101" s="143">
        <v>1455.5</v>
      </c>
      <c r="CS101" s="143">
        <v>600</v>
      </c>
      <c r="CT101" s="143">
        <v>544.69999999999993</v>
      </c>
      <c r="CU101" s="143">
        <v>533</v>
      </c>
      <c r="CV101" s="143">
        <v>536</v>
      </c>
      <c r="CW101" s="14">
        <v>583.79999999999995</v>
      </c>
      <c r="CX101" s="14">
        <v>1610</v>
      </c>
      <c r="CY101" s="14">
        <v>1786</v>
      </c>
      <c r="CZ101" s="670">
        <v>1750</v>
      </c>
      <c r="DA101" s="670">
        <v>1933</v>
      </c>
      <c r="DB101" s="670">
        <v>1800</v>
      </c>
      <c r="DC101">
        <v>1990</v>
      </c>
      <c r="DD101">
        <v>1795</v>
      </c>
      <c r="DE101">
        <v>2000</v>
      </c>
      <c r="DF101">
        <v>2540</v>
      </c>
      <c r="DG101">
        <v>1800</v>
      </c>
      <c r="DH101">
        <v>2000</v>
      </c>
      <c r="DI101">
        <v>1800</v>
      </c>
      <c r="DJ101">
        <v>2440</v>
      </c>
      <c r="DK101">
        <v>3000</v>
      </c>
      <c r="DL101">
        <v>3000</v>
      </c>
      <c r="DM101">
        <v>652.77</v>
      </c>
      <c r="DN101">
        <v>1188.0999999999999</v>
      </c>
      <c r="DO101">
        <v>3000</v>
      </c>
      <c r="DP101">
        <v>6900</v>
      </c>
      <c r="DQ101">
        <v>12.5</v>
      </c>
    </row>
    <row r="102" spans="1:121" x14ac:dyDescent="0.2">
      <c r="A102" s="14">
        <v>12.75</v>
      </c>
      <c r="B102" s="684">
        <f t="shared" si="20"/>
        <v>4.0265611017250028E-2</v>
      </c>
      <c r="C102" s="684">
        <f t="shared" si="21"/>
        <v>4.0265611017250034E-2</v>
      </c>
      <c r="D102" s="684">
        <f t="shared" si="9"/>
        <v>1.0066402754312509E-2</v>
      </c>
      <c r="E102" s="684">
        <f t="shared" si="22"/>
        <v>212.06802363235306</v>
      </c>
      <c r="F102" s="684">
        <f t="shared" si="23"/>
        <v>151.71495549956089</v>
      </c>
      <c r="G102" s="684">
        <f t="shared" si="10"/>
        <v>76.907317042947568</v>
      </c>
      <c r="H102" s="684">
        <f t="shared" si="11"/>
        <v>19.226829260736892</v>
      </c>
      <c r="I102" s="1052">
        <f>HLOOKUP('Input &amp; Summary'!$B$6,TurbineProfiles,ROW(I102)-49,0)</f>
        <v>1910</v>
      </c>
      <c r="J102" s="684">
        <f t="shared" si="24"/>
        <v>2117.4921141893815</v>
      </c>
      <c r="K102" s="9">
        <f t="shared" si="25"/>
        <v>0.90201044301465383</v>
      </c>
      <c r="L102" s="14">
        <f t="shared" si="26"/>
        <v>4177.1736972115887</v>
      </c>
      <c r="M102" s="684">
        <f t="shared" si="27"/>
        <v>3680.1039944319346</v>
      </c>
      <c r="N102" s="684">
        <f t="shared" si="12"/>
        <v>2117.4921141893815</v>
      </c>
      <c r="O102" s="684">
        <f t="shared" si="13"/>
        <v>0.87796584464258709</v>
      </c>
      <c r="P102" s="684">
        <f t="shared" si="14"/>
        <v>19.226829260736892</v>
      </c>
      <c r="Q102" s="684">
        <f t="shared" si="18"/>
        <v>1.0386105844698457E-2</v>
      </c>
      <c r="R102" s="684">
        <f t="shared" si="19"/>
        <v>1.0067221392499826E-2</v>
      </c>
      <c r="S102" s="684">
        <f t="shared" si="15"/>
        <v>19.228392859674667</v>
      </c>
      <c r="T102" s="684">
        <f t="shared" si="16"/>
        <v>19.837462163374052</v>
      </c>
      <c r="U102" s="14">
        <f t="shared" si="17"/>
        <v>1910</v>
      </c>
      <c r="V102" s="982">
        <v>1468.8750000000002</v>
      </c>
      <c r="W102" s="982">
        <v>3427.375</v>
      </c>
      <c r="X102" s="982">
        <v>4896.25</v>
      </c>
      <c r="Y102" s="982">
        <v>1481.6250000000002</v>
      </c>
      <c r="Z102" s="982">
        <v>3457.1250000000005</v>
      </c>
      <c r="AA102" s="982">
        <v>4938.7500000000009</v>
      </c>
      <c r="AB102" s="982">
        <v>1492.875</v>
      </c>
      <c r="AC102" s="982">
        <v>3483.3749999999995</v>
      </c>
      <c r="AD102" s="982">
        <v>4976.25</v>
      </c>
      <c r="AE102" s="143">
        <v>1500</v>
      </c>
      <c r="AF102" s="143">
        <v>1500</v>
      </c>
      <c r="AG102" s="143">
        <v>735.25</v>
      </c>
      <c r="AH102" s="143">
        <v>806.25</v>
      </c>
      <c r="AI102" s="996">
        <v>862.75</v>
      </c>
      <c r="AJ102" s="143">
        <v>5000</v>
      </c>
      <c r="AK102" s="143">
        <v>1208</v>
      </c>
      <c r="AL102" s="143">
        <v>2440</v>
      </c>
      <c r="AM102" s="143">
        <v>2430</v>
      </c>
      <c r="AN102" s="143">
        <v>2390</v>
      </c>
      <c r="AO102" s="143">
        <v>2330</v>
      </c>
      <c r="AP102" s="143">
        <v>1980</v>
      </c>
      <c r="AQ102" s="143">
        <v>2000</v>
      </c>
      <c r="AR102" s="143">
        <v>2000</v>
      </c>
      <c r="AS102" s="143">
        <v>2000</v>
      </c>
      <c r="AT102" s="143">
        <v>487.37</v>
      </c>
      <c r="AU102" s="143">
        <v>750</v>
      </c>
      <c r="AV102" s="143">
        <v>1510</v>
      </c>
      <c r="AW102" s="143">
        <v>1500</v>
      </c>
      <c r="AX102" s="143">
        <v>2300</v>
      </c>
      <c r="AY102" s="143">
        <v>2500</v>
      </c>
      <c r="AZ102" s="143">
        <v>2500</v>
      </c>
      <c r="BA102" s="143">
        <v>778.75</v>
      </c>
      <c r="BB102" s="143">
        <v>825.42499999999995</v>
      </c>
      <c r="BC102" s="143">
        <v>1905.75</v>
      </c>
      <c r="BD102" s="143">
        <v>1968.5249999999996</v>
      </c>
      <c r="BE102" s="143">
        <v>1982.9</v>
      </c>
      <c r="BF102" s="143">
        <v>1485.5</v>
      </c>
      <c r="BG102" s="143">
        <v>1475</v>
      </c>
      <c r="BH102" s="143">
        <v>1500</v>
      </c>
      <c r="BI102" s="143">
        <v>2500</v>
      </c>
      <c r="BJ102" s="996">
        <v>961.78</v>
      </c>
      <c r="BK102" s="143">
        <v>1000</v>
      </c>
      <c r="BL102" s="143">
        <v>2400</v>
      </c>
      <c r="BM102" s="143">
        <v>2400</v>
      </c>
      <c r="BN102" s="143">
        <v>5000</v>
      </c>
      <c r="BO102" s="143">
        <v>615.16999999999996</v>
      </c>
      <c r="BP102" s="143">
        <v>671.09</v>
      </c>
      <c r="BQ102" s="143">
        <v>792.67</v>
      </c>
      <c r="BR102" s="143">
        <v>1444.75</v>
      </c>
      <c r="BS102" s="143">
        <v>1645.25</v>
      </c>
      <c r="BT102" s="143">
        <v>571.2075000000001</v>
      </c>
      <c r="BU102" s="143">
        <v>1097</v>
      </c>
      <c r="BV102" s="143">
        <v>2282.5</v>
      </c>
      <c r="BW102" s="143">
        <v>2211.75</v>
      </c>
      <c r="BX102" s="143">
        <v>2471.5</v>
      </c>
      <c r="BY102" s="143">
        <v>2452.5</v>
      </c>
      <c r="BZ102" s="14">
        <v>2489.5</v>
      </c>
      <c r="CA102" s="143">
        <v>1650</v>
      </c>
      <c r="CB102">
        <v>1650</v>
      </c>
      <c r="CC102" s="143">
        <v>1820</v>
      </c>
      <c r="CD102" s="143">
        <v>2050</v>
      </c>
      <c r="CE102" s="143">
        <v>3300</v>
      </c>
      <c r="CF102" s="143">
        <v>4812.5</v>
      </c>
      <c r="CG102" s="143">
        <v>2230</v>
      </c>
      <c r="CH102" s="143">
        <v>3570</v>
      </c>
      <c r="CI102" s="143">
        <v>2160</v>
      </c>
      <c r="CJ102" s="143">
        <v>2300</v>
      </c>
      <c r="CK102" s="143">
        <v>2300</v>
      </c>
      <c r="CL102" s="143">
        <v>2300</v>
      </c>
      <c r="CM102" s="143">
        <v>3525</v>
      </c>
      <c r="CN102" s="143">
        <v>950</v>
      </c>
      <c r="CO102" s="143">
        <v>1180.25</v>
      </c>
      <c r="CP102" s="143">
        <v>2075.25</v>
      </c>
      <c r="CQ102" s="143">
        <v>596</v>
      </c>
      <c r="CR102" s="143">
        <v>1464.25</v>
      </c>
      <c r="CS102" s="143">
        <v>600</v>
      </c>
      <c r="CT102" s="143">
        <v>554.49999999999989</v>
      </c>
      <c r="CU102" s="143">
        <v>544.5</v>
      </c>
      <c r="CV102" s="143">
        <v>547</v>
      </c>
      <c r="CW102" s="14">
        <v>596.1</v>
      </c>
      <c r="CX102" s="14">
        <v>1620</v>
      </c>
      <c r="CY102" s="14">
        <v>1791.5</v>
      </c>
      <c r="CZ102" s="670">
        <v>1800</v>
      </c>
      <c r="DA102" s="670">
        <v>1949.5</v>
      </c>
      <c r="DB102" s="670">
        <v>1800</v>
      </c>
      <c r="DC102">
        <v>2000</v>
      </c>
      <c r="DD102">
        <v>1797.5</v>
      </c>
      <c r="DE102">
        <v>2000</v>
      </c>
      <c r="DF102">
        <v>2640</v>
      </c>
      <c r="DG102">
        <v>1800</v>
      </c>
      <c r="DH102">
        <v>2000</v>
      </c>
      <c r="DI102">
        <v>1800</v>
      </c>
      <c r="DJ102">
        <v>2470</v>
      </c>
      <c r="DK102">
        <v>3000</v>
      </c>
      <c r="DL102">
        <v>3000</v>
      </c>
      <c r="DM102">
        <v>677.21</v>
      </c>
      <c r="DN102">
        <v>1228.3499999999999</v>
      </c>
      <c r="DO102">
        <v>3000</v>
      </c>
      <c r="DP102">
        <v>6950</v>
      </c>
      <c r="DQ102">
        <v>12.75</v>
      </c>
    </row>
    <row r="103" spans="1:121" x14ac:dyDescent="0.2">
      <c r="A103" s="14">
        <v>13</v>
      </c>
      <c r="B103" s="684">
        <f t="shared" si="20"/>
        <v>3.7773913739189299E-2</v>
      </c>
      <c r="C103" s="684">
        <f t="shared" si="21"/>
        <v>3.7773913739189306E-2</v>
      </c>
      <c r="D103" s="684">
        <f t="shared" si="9"/>
        <v>9.4434784347973266E-3</v>
      </c>
      <c r="E103" s="684">
        <f t="shared" si="22"/>
        <v>210.87853803546406</v>
      </c>
      <c r="F103" s="684">
        <f t="shared" si="23"/>
        <v>150.86398913835106</v>
      </c>
      <c r="G103" s="684">
        <f t="shared" si="10"/>
        <v>72.148175241851575</v>
      </c>
      <c r="H103" s="684">
        <f t="shared" si="11"/>
        <v>18.037043810462894</v>
      </c>
      <c r="I103" s="1052">
        <f>HLOOKUP('Input &amp; Summary'!$B$6,TurbineProfiles,ROW(I103)-49,0)</f>
        <v>1910</v>
      </c>
      <c r="J103" s="684">
        <f t="shared" si="24"/>
        <v>2117.4921141893815</v>
      </c>
      <c r="K103" s="9">
        <f t="shared" si="25"/>
        <v>0.90201044301465383</v>
      </c>
      <c r="L103" s="14">
        <f t="shared" si="26"/>
        <v>4427.7392497420096</v>
      </c>
      <c r="M103" s="684">
        <f t="shared" si="27"/>
        <v>3831.4394440233668</v>
      </c>
      <c r="N103" s="684">
        <f t="shared" si="12"/>
        <v>2117.4921141893815</v>
      </c>
      <c r="O103" s="684">
        <f t="shared" si="13"/>
        <v>0.88771909032791674</v>
      </c>
      <c r="P103" s="684">
        <f t="shared" si="14"/>
        <v>18.037043810462894</v>
      </c>
      <c r="Q103" s="684">
        <f t="shared" si="18"/>
        <v>9.7532456853296479E-3</v>
      </c>
      <c r="R103" s="684">
        <f t="shared" si="19"/>
        <v>9.4443524351800479E-3</v>
      </c>
      <c r="S103" s="684">
        <f t="shared" si="15"/>
        <v>18.038713151193893</v>
      </c>
      <c r="T103" s="684">
        <f t="shared" si="16"/>
        <v>18.628699258979626</v>
      </c>
      <c r="U103" s="14">
        <f t="shared" si="17"/>
        <v>1910</v>
      </c>
      <c r="V103" s="982">
        <v>1480.5000000000002</v>
      </c>
      <c r="W103" s="982">
        <v>3454.5000000000005</v>
      </c>
      <c r="X103" s="982">
        <v>4935.0000000000009</v>
      </c>
      <c r="Y103" s="982">
        <v>1489.5</v>
      </c>
      <c r="Z103" s="982">
        <v>3475.5000000000005</v>
      </c>
      <c r="AA103" s="982">
        <v>4965.0000000000009</v>
      </c>
      <c r="AB103" s="982">
        <v>1497</v>
      </c>
      <c r="AC103" s="982">
        <v>3493</v>
      </c>
      <c r="AD103" s="982">
        <v>4990</v>
      </c>
      <c r="AE103" s="143">
        <v>1500</v>
      </c>
      <c r="AF103" s="143">
        <v>1500</v>
      </c>
      <c r="AG103" s="143">
        <v>741</v>
      </c>
      <c r="AH103" s="143">
        <v>825</v>
      </c>
      <c r="AI103" s="996">
        <v>883</v>
      </c>
      <c r="AJ103" s="143">
        <v>5000</v>
      </c>
      <c r="AK103" s="143">
        <v>1241</v>
      </c>
      <c r="AL103" s="143">
        <v>2460</v>
      </c>
      <c r="AM103" s="143">
        <v>2450</v>
      </c>
      <c r="AN103" s="143">
        <v>2440</v>
      </c>
      <c r="AO103" s="143">
        <v>2380</v>
      </c>
      <c r="AP103" s="143">
        <v>1990</v>
      </c>
      <c r="AQ103" s="143">
        <v>2000</v>
      </c>
      <c r="AR103" s="143">
        <v>2000</v>
      </c>
      <c r="AS103" s="143">
        <v>2000</v>
      </c>
      <c r="AT103" s="143">
        <v>503.56</v>
      </c>
      <c r="AU103" s="143">
        <v>750</v>
      </c>
      <c r="AV103" s="143">
        <v>1510</v>
      </c>
      <c r="AW103" s="143">
        <v>1500</v>
      </c>
      <c r="AX103" s="143">
        <v>2350</v>
      </c>
      <c r="AY103" s="143">
        <v>2500</v>
      </c>
      <c r="AZ103" s="143">
        <v>2500</v>
      </c>
      <c r="BA103" s="143">
        <v>788</v>
      </c>
      <c r="BB103" s="143">
        <v>840.6</v>
      </c>
      <c r="BC103" s="143">
        <v>1935</v>
      </c>
      <c r="BD103" s="143">
        <v>1981</v>
      </c>
      <c r="BE103" s="143">
        <v>1990.4</v>
      </c>
      <c r="BF103" s="143">
        <v>1494</v>
      </c>
      <c r="BG103" s="143">
        <v>1480</v>
      </c>
      <c r="BH103" s="143">
        <v>1500</v>
      </c>
      <c r="BI103" s="143">
        <v>2500</v>
      </c>
      <c r="BJ103" s="996">
        <v>976.24</v>
      </c>
      <c r="BK103" s="143">
        <v>1000</v>
      </c>
      <c r="BL103" s="143">
        <v>2400</v>
      </c>
      <c r="BM103" s="143">
        <v>2400</v>
      </c>
      <c r="BN103" s="143">
        <v>5000</v>
      </c>
      <c r="BO103" s="143">
        <v>634.35</v>
      </c>
      <c r="BP103" s="143">
        <v>685.52</v>
      </c>
      <c r="BQ103" s="143">
        <v>814.8</v>
      </c>
      <c r="BR103" s="143">
        <v>1451</v>
      </c>
      <c r="BS103" s="143">
        <v>1648</v>
      </c>
      <c r="BT103" s="143">
        <v>583.75</v>
      </c>
      <c r="BU103" s="143">
        <v>1124</v>
      </c>
      <c r="BV103" s="143">
        <v>2300</v>
      </c>
      <c r="BW103" s="143">
        <v>2281</v>
      </c>
      <c r="BX103" s="143">
        <v>2500</v>
      </c>
      <c r="BY103" s="143">
        <v>2475</v>
      </c>
      <c r="BZ103" s="996">
        <v>2500</v>
      </c>
      <c r="CA103" s="143">
        <v>1650</v>
      </c>
      <c r="CB103">
        <v>1650</v>
      </c>
      <c r="CC103" s="143">
        <v>1870</v>
      </c>
      <c r="CD103" s="143">
        <v>2050</v>
      </c>
      <c r="CE103" s="143">
        <v>3300</v>
      </c>
      <c r="CF103" s="143">
        <v>4900</v>
      </c>
      <c r="CG103" s="143">
        <v>2260</v>
      </c>
      <c r="CH103" s="143">
        <v>3590</v>
      </c>
      <c r="CI103" s="143">
        <v>2200</v>
      </c>
      <c r="CJ103" s="143">
        <v>2300</v>
      </c>
      <c r="CK103" s="143">
        <v>2300</v>
      </c>
      <c r="CL103" s="143">
        <v>2300</v>
      </c>
      <c r="CM103" s="143">
        <v>3600</v>
      </c>
      <c r="CN103" s="143">
        <v>950</v>
      </c>
      <c r="CO103" s="143">
        <v>1198</v>
      </c>
      <c r="CP103" s="143">
        <v>2088</v>
      </c>
      <c r="CQ103" s="143">
        <v>600</v>
      </c>
      <c r="CR103" s="143">
        <v>1473</v>
      </c>
      <c r="CS103" s="143">
        <v>605.49</v>
      </c>
      <c r="CT103" s="143">
        <v>564.29999999999995</v>
      </c>
      <c r="CU103" s="143">
        <v>556</v>
      </c>
      <c r="CV103" s="143">
        <v>558</v>
      </c>
      <c r="CW103" s="14">
        <v>606.85</v>
      </c>
      <c r="CX103" s="14">
        <v>1630</v>
      </c>
      <c r="CY103" s="14">
        <v>1797</v>
      </c>
      <c r="CZ103" s="670">
        <v>1830</v>
      </c>
      <c r="DA103" s="670">
        <v>1966</v>
      </c>
      <c r="DB103" s="670">
        <v>1800</v>
      </c>
      <c r="DC103">
        <v>2000</v>
      </c>
      <c r="DD103">
        <v>1800</v>
      </c>
      <c r="DE103">
        <v>2000</v>
      </c>
      <c r="DF103">
        <v>2730</v>
      </c>
      <c r="DG103">
        <v>1800</v>
      </c>
      <c r="DH103">
        <v>2000</v>
      </c>
      <c r="DI103">
        <v>1800</v>
      </c>
      <c r="DJ103">
        <v>2500</v>
      </c>
      <c r="DK103">
        <v>3000</v>
      </c>
      <c r="DL103">
        <v>3000</v>
      </c>
      <c r="DM103">
        <v>698.63</v>
      </c>
      <c r="DN103">
        <v>1268.5999999999999</v>
      </c>
      <c r="DO103">
        <v>3000</v>
      </c>
      <c r="DP103">
        <v>7000</v>
      </c>
      <c r="DQ103">
        <v>13</v>
      </c>
    </row>
    <row r="104" spans="1:121" x14ac:dyDescent="0.2">
      <c r="A104" s="14">
        <v>13.25</v>
      </c>
      <c r="B104" s="684">
        <f t="shared" si="20"/>
        <v>3.5366053264556468E-2</v>
      </c>
      <c r="C104" s="684">
        <f t="shared" si="21"/>
        <v>3.5366053264556475E-2</v>
      </c>
      <c r="D104" s="684">
        <f t="shared" si="9"/>
        <v>8.8415133161391189E-3</v>
      </c>
      <c r="E104" s="684">
        <f t="shared" si="22"/>
        <v>209.04730468834879</v>
      </c>
      <c r="F104" s="684">
        <f t="shared" si="23"/>
        <v>149.55391192346386</v>
      </c>
      <c r="G104" s="684">
        <f t="shared" si="10"/>
        <v>67.549161735302874</v>
      </c>
      <c r="H104" s="684">
        <f t="shared" si="11"/>
        <v>16.887290433825719</v>
      </c>
      <c r="I104" s="1052">
        <f>HLOOKUP('Input &amp; Summary'!$B$6,TurbineProfiles,ROW(I104)-49,0)</f>
        <v>1910</v>
      </c>
      <c r="J104" s="684">
        <f t="shared" si="24"/>
        <v>2117.4921141893815</v>
      </c>
      <c r="K104" s="9">
        <f t="shared" si="25"/>
        <v>0.90201044301465383</v>
      </c>
      <c r="L104" s="14">
        <f t="shared" si="26"/>
        <v>4688.1296674715577</v>
      </c>
      <c r="M104" s="684">
        <f t="shared" si="27"/>
        <v>3982.7748936147991</v>
      </c>
      <c r="N104" s="684">
        <f t="shared" si="12"/>
        <v>2117.4921141893815</v>
      </c>
      <c r="O104" s="684">
        <f t="shared" si="13"/>
        <v>0.89685979054891629</v>
      </c>
      <c r="P104" s="684">
        <f t="shared" si="14"/>
        <v>16.887290433825719</v>
      </c>
      <c r="Q104" s="684">
        <f t="shared" si="18"/>
        <v>9.1407002209995536E-3</v>
      </c>
      <c r="R104" s="684">
        <f t="shared" si="19"/>
        <v>8.8424327949396808E-3</v>
      </c>
      <c r="S104" s="684">
        <f t="shared" si="15"/>
        <v>16.88904663833479</v>
      </c>
      <c r="T104" s="684">
        <f t="shared" si="16"/>
        <v>17.458737422109149</v>
      </c>
      <c r="U104" s="14">
        <f t="shared" si="17"/>
        <v>1910</v>
      </c>
      <c r="V104" s="982">
        <v>1483.125</v>
      </c>
      <c r="W104" s="982">
        <v>3460.6250000000005</v>
      </c>
      <c r="X104" s="982">
        <v>4943.75</v>
      </c>
      <c r="Y104" s="982">
        <v>1491.3750000000002</v>
      </c>
      <c r="Z104" s="982">
        <v>3479.8750000000005</v>
      </c>
      <c r="AA104" s="982">
        <v>4971.25</v>
      </c>
      <c r="AB104" s="982">
        <v>1497.375</v>
      </c>
      <c r="AC104" s="982">
        <v>3493.875</v>
      </c>
      <c r="AD104" s="982">
        <v>4991.25</v>
      </c>
      <c r="AE104" s="143">
        <v>1500</v>
      </c>
      <c r="AF104" s="143">
        <v>1500</v>
      </c>
      <c r="AG104" s="143">
        <v>742.75</v>
      </c>
      <c r="AH104" s="143">
        <v>837.5</v>
      </c>
      <c r="AI104" s="996">
        <v>887.25</v>
      </c>
      <c r="AJ104" s="143">
        <v>5000</v>
      </c>
      <c r="AK104" s="143">
        <v>1250.75</v>
      </c>
      <c r="AL104" s="143">
        <v>2500</v>
      </c>
      <c r="AM104" s="143">
        <v>2460</v>
      </c>
      <c r="AN104" s="143">
        <v>2450</v>
      </c>
      <c r="AO104" s="143">
        <v>2420</v>
      </c>
      <c r="AP104" s="143">
        <v>2000</v>
      </c>
      <c r="AQ104" s="143">
        <v>2000</v>
      </c>
      <c r="AR104" s="143">
        <v>2000</v>
      </c>
      <c r="AS104" s="143">
        <v>2000</v>
      </c>
      <c r="AT104" s="143">
        <v>525.19000000000005</v>
      </c>
      <c r="AU104" s="143">
        <v>750</v>
      </c>
      <c r="AV104" s="143">
        <v>1510</v>
      </c>
      <c r="AW104" s="143">
        <v>1500</v>
      </c>
      <c r="AX104" s="143">
        <v>2405</v>
      </c>
      <c r="AY104" s="143">
        <v>2500</v>
      </c>
      <c r="AZ104" s="143">
        <v>2500</v>
      </c>
      <c r="BA104" s="143">
        <v>789.5</v>
      </c>
      <c r="BB104" s="143">
        <v>842.45</v>
      </c>
      <c r="BC104" s="143">
        <v>1946.25</v>
      </c>
      <c r="BD104" s="143">
        <v>1984.575</v>
      </c>
      <c r="BE104" s="143">
        <v>1992.2750000000001</v>
      </c>
      <c r="BF104" s="143">
        <v>1497</v>
      </c>
      <c r="BG104" s="143">
        <v>1485</v>
      </c>
      <c r="BH104" s="143">
        <v>1500</v>
      </c>
      <c r="BI104" s="143">
        <v>2500</v>
      </c>
      <c r="BJ104" s="996">
        <v>989</v>
      </c>
      <c r="BK104" s="143">
        <v>1000</v>
      </c>
      <c r="BL104" s="143">
        <v>2400</v>
      </c>
      <c r="BM104" s="143">
        <v>2400</v>
      </c>
      <c r="BN104" s="143">
        <v>5000</v>
      </c>
      <c r="BO104" s="143">
        <v>657.34</v>
      </c>
      <c r="BP104" s="143">
        <v>697.07</v>
      </c>
      <c r="BQ104" s="143">
        <v>828.9</v>
      </c>
      <c r="BR104" s="143">
        <v>1459</v>
      </c>
      <c r="BS104" s="143">
        <v>1648.5</v>
      </c>
      <c r="BT104" s="143">
        <v>592.48249999999996</v>
      </c>
      <c r="BU104" s="143">
        <v>1154.75</v>
      </c>
      <c r="BV104" s="143">
        <v>2300</v>
      </c>
      <c r="BW104" s="143">
        <v>2326.5</v>
      </c>
      <c r="BX104" s="143">
        <v>2500</v>
      </c>
      <c r="BY104" s="143">
        <v>2482.5</v>
      </c>
      <c r="BZ104" s="996">
        <v>2500</v>
      </c>
      <c r="CA104" s="143">
        <v>1650</v>
      </c>
      <c r="CB104">
        <v>1650</v>
      </c>
      <c r="CC104" s="143">
        <v>1910</v>
      </c>
      <c r="CD104" s="143">
        <v>2050</v>
      </c>
      <c r="CE104" s="143">
        <v>3300</v>
      </c>
      <c r="CF104" s="143">
        <v>5000</v>
      </c>
      <c r="CG104" s="143">
        <v>2280</v>
      </c>
      <c r="CH104" s="143">
        <v>3600</v>
      </c>
      <c r="CI104" s="143">
        <v>2220</v>
      </c>
      <c r="CJ104" s="143">
        <v>2300</v>
      </c>
      <c r="CK104" s="143">
        <v>2300</v>
      </c>
      <c r="CL104" s="143">
        <v>2300</v>
      </c>
      <c r="CM104" s="143">
        <v>3600</v>
      </c>
      <c r="CN104" s="143">
        <v>950</v>
      </c>
      <c r="CO104" s="143">
        <v>1211</v>
      </c>
      <c r="CP104" s="143">
        <v>2091</v>
      </c>
      <c r="CQ104" s="143">
        <v>600</v>
      </c>
      <c r="CR104" s="143">
        <v>1479.75</v>
      </c>
      <c r="CS104" s="143">
        <v>609.15</v>
      </c>
      <c r="CT104" s="143">
        <v>573.09999999999991</v>
      </c>
      <c r="CU104" s="143">
        <v>562.5</v>
      </c>
      <c r="CV104" s="143">
        <v>564</v>
      </c>
      <c r="CW104" s="14">
        <v>616.12</v>
      </c>
      <c r="CX104" s="14">
        <v>1640</v>
      </c>
      <c r="CY104" s="14">
        <v>1798.25</v>
      </c>
      <c r="CZ104" s="670">
        <v>1860</v>
      </c>
      <c r="DA104" s="670">
        <v>1974.5</v>
      </c>
      <c r="DB104" s="670">
        <v>1800</v>
      </c>
      <c r="DC104">
        <v>2000</v>
      </c>
      <c r="DD104">
        <v>1800</v>
      </c>
      <c r="DE104">
        <v>2000</v>
      </c>
      <c r="DF104">
        <v>2790</v>
      </c>
      <c r="DG104">
        <v>1800</v>
      </c>
      <c r="DH104">
        <v>2000</v>
      </c>
      <c r="DI104">
        <v>1800</v>
      </c>
      <c r="DJ104">
        <v>2520</v>
      </c>
      <c r="DK104">
        <v>3000</v>
      </c>
      <c r="DL104">
        <v>3000</v>
      </c>
      <c r="DM104">
        <v>713.94</v>
      </c>
      <c r="DN104">
        <v>1304.9499999999998</v>
      </c>
      <c r="DO104">
        <v>3000</v>
      </c>
      <c r="DP104">
        <v>7000</v>
      </c>
      <c r="DQ104">
        <v>13.25</v>
      </c>
    </row>
    <row r="105" spans="1:121" x14ac:dyDescent="0.2">
      <c r="A105" s="14">
        <v>13.5</v>
      </c>
      <c r="B105" s="684">
        <f t="shared" si="20"/>
        <v>3.3046398600088428E-2</v>
      </c>
      <c r="C105" s="684">
        <f t="shared" si="21"/>
        <v>3.3046398600088414E-2</v>
      </c>
      <c r="D105" s="684">
        <f t="shared" si="9"/>
        <v>8.2615996500221035E-3</v>
      </c>
      <c r="E105" s="684">
        <f t="shared" si="22"/>
        <v>206.60260035279114</v>
      </c>
      <c r="F105" s="684">
        <f t="shared" si="23"/>
        <v>147.80495324913912</v>
      </c>
      <c r="G105" s="684">
        <f t="shared" si="10"/>
        <v>63.118621326168871</v>
      </c>
      <c r="H105" s="684">
        <f t="shared" si="11"/>
        <v>15.779655331542218</v>
      </c>
      <c r="I105" s="1052">
        <f>HLOOKUP('Input &amp; Summary'!$B$6,TurbineProfiles,ROW(I105)-49,0)</f>
        <v>1910</v>
      </c>
      <c r="J105" s="684">
        <f t="shared" si="24"/>
        <v>2117.4921141893815</v>
      </c>
      <c r="K105" s="9">
        <f t="shared" si="25"/>
        <v>0.90201044301465383</v>
      </c>
      <c r="L105" s="14">
        <f t="shared" si="26"/>
        <v>4958.5338901156092</v>
      </c>
      <c r="M105" s="684">
        <f t="shared" si="27"/>
        <v>4134.1103432062309</v>
      </c>
      <c r="N105" s="684">
        <f t="shared" si="12"/>
        <v>2117.4921141893815</v>
      </c>
      <c r="O105" s="684">
        <f t="shared" si="13"/>
        <v>0.90540946996011795</v>
      </c>
      <c r="P105" s="684">
        <f t="shared" si="14"/>
        <v>15.779655331542218</v>
      </c>
      <c r="Q105" s="684">
        <f t="shared" si="18"/>
        <v>8.5496794112016605E-3</v>
      </c>
      <c r="R105" s="684">
        <f t="shared" si="19"/>
        <v>8.2625551756374538E-3</v>
      </c>
      <c r="S105" s="684">
        <f t="shared" si="15"/>
        <v>15.781480385467537</v>
      </c>
      <c r="T105" s="684">
        <f t="shared" si="16"/>
        <v>16.32988767539517</v>
      </c>
      <c r="U105" s="14">
        <f t="shared" si="17"/>
        <v>1910</v>
      </c>
      <c r="V105" s="982">
        <v>1485.75</v>
      </c>
      <c r="W105" s="982">
        <v>3466.75</v>
      </c>
      <c r="X105" s="982">
        <v>4952.5</v>
      </c>
      <c r="Y105" s="982">
        <v>1493.2500000000002</v>
      </c>
      <c r="Z105" s="982">
        <v>3484.2500000000005</v>
      </c>
      <c r="AA105" s="982">
        <v>4977.5</v>
      </c>
      <c r="AB105" s="982">
        <v>1497.75</v>
      </c>
      <c r="AC105" s="982">
        <v>3494.75</v>
      </c>
      <c r="AD105" s="982">
        <v>4992.5</v>
      </c>
      <c r="AE105" s="143">
        <v>1500</v>
      </c>
      <c r="AF105" s="143">
        <v>1500</v>
      </c>
      <c r="AG105" s="143">
        <v>744.5</v>
      </c>
      <c r="AH105" s="143">
        <v>846.875</v>
      </c>
      <c r="AI105" s="996">
        <v>890.4375</v>
      </c>
      <c r="AJ105" s="143">
        <v>5000</v>
      </c>
      <c r="AK105" s="143">
        <v>1258.0625</v>
      </c>
      <c r="AL105" s="143">
        <v>2500</v>
      </c>
      <c r="AM105" s="143">
        <v>2480</v>
      </c>
      <c r="AN105" s="143">
        <v>2470</v>
      </c>
      <c r="AO105" s="143">
        <v>2445</v>
      </c>
      <c r="AP105" s="143">
        <v>2000</v>
      </c>
      <c r="AQ105" s="143">
        <v>2000</v>
      </c>
      <c r="AR105" s="143">
        <v>2000</v>
      </c>
      <c r="AS105" s="143">
        <v>2000</v>
      </c>
      <c r="AT105" s="143">
        <v>537.77</v>
      </c>
      <c r="AU105" s="143">
        <v>750</v>
      </c>
      <c r="AV105" s="143">
        <v>1520</v>
      </c>
      <c r="AW105" s="143">
        <v>1500</v>
      </c>
      <c r="AX105" s="143">
        <v>2440</v>
      </c>
      <c r="AY105" s="143">
        <v>2500</v>
      </c>
      <c r="AZ105" s="143">
        <v>2500</v>
      </c>
      <c r="BA105" s="143">
        <v>791</v>
      </c>
      <c r="BB105" s="143">
        <v>844.30000000000007</v>
      </c>
      <c r="BC105" s="143">
        <v>1957.5</v>
      </c>
      <c r="BD105" s="143">
        <v>1988.15</v>
      </c>
      <c r="BE105" s="143">
        <v>1994.15</v>
      </c>
      <c r="BF105" s="143">
        <v>1500</v>
      </c>
      <c r="BG105" s="143">
        <v>1490</v>
      </c>
      <c r="BH105" s="143">
        <v>1500</v>
      </c>
      <c r="BI105" s="143">
        <v>2500</v>
      </c>
      <c r="BJ105" s="996">
        <v>1000</v>
      </c>
      <c r="BK105" s="143">
        <v>999.22</v>
      </c>
      <c r="BL105" s="143">
        <v>2400</v>
      </c>
      <c r="BM105" s="143">
        <v>2400</v>
      </c>
      <c r="BN105" s="143">
        <v>5000</v>
      </c>
      <c r="BO105" s="143">
        <v>676.51</v>
      </c>
      <c r="BP105" s="143">
        <v>705.75</v>
      </c>
      <c r="BQ105" s="143">
        <v>840.99</v>
      </c>
      <c r="BR105" s="143">
        <v>1467</v>
      </c>
      <c r="BS105" s="143">
        <v>1649</v>
      </c>
      <c r="BT105" s="143">
        <v>601.21499999999992</v>
      </c>
      <c r="BU105" s="143">
        <v>1185.5</v>
      </c>
      <c r="BV105" s="143">
        <v>2300</v>
      </c>
      <c r="BW105" s="143">
        <v>2372</v>
      </c>
      <c r="BX105" s="143">
        <v>2500</v>
      </c>
      <c r="BY105" s="143">
        <v>2490</v>
      </c>
      <c r="BZ105" s="996">
        <v>2500</v>
      </c>
      <c r="CA105" s="143">
        <v>1650</v>
      </c>
      <c r="CB105">
        <v>1650</v>
      </c>
      <c r="CC105" s="143">
        <v>1940</v>
      </c>
      <c r="CD105" s="143">
        <v>2050</v>
      </c>
      <c r="CE105" s="143">
        <v>3300</v>
      </c>
      <c r="CF105" s="143">
        <v>5000</v>
      </c>
      <c r="CG105" s="143">
        <v>2300</v>
      </c>
      <c r="CH105" s="143">
        <v>3600</v>
      </c>
      <c r="CI105" s="143">
        <v>2240</v>
      </c>
      <c r="CJ105" s="143">
        <v>2300</v>
      </c>
      <c r="CK105" s="143">
        <v>2300</v>
      </c>
      <c r="CL105" s="143">
        <v>2300</v>
      </c>
      <c r="CM105" s="143">
        <v>3600</v>
      </c>
      <c r="CN105" s="143">
        <v>950</v>
      </c>
      <c r="CO105" s="143">
        <v>1224</v>
      </c>
      <c r="CP105" s="143">
        <v>2094</v>
      </c>
      <c r="CQ105" s="143">
        <v>600</v>
      </c>
      <c r="CR105" s="143">
        <v>1486.5</v>
      </c>
      <c r="CS105" s="143">
        <v>609.15</v>
      </c>
      <c r="CT105" s="143">
        <v>581.89999999999986</v>
      </c>
      <c r="CU105" s="143">
        <v>569</v>
      </c>
      <c r="CV105" s="143">
        <v>570</v>
      </c>
      <c r="CW105" s="14">
        <v>626.91</v>
      </c>
      <c r="CX105" s="14">
        <v>1650</v>
      </c>
      <c r="CY105" s="14">
        <v>1799.5</v>
      </c>
      <c r="CZ105" s="670">
        <v>1890</v>
      </c>
      <c r="DA105" s="670">
        <v>1983</v>
      </c>
      <c r="DB105" s="670">
        <v>1800</v>
      </c>
      <c r="DC105">
        <v>2000</v>
      </c>
      <c r="DD105">
        <v>1800</v>
      </c>
      <c r="DE105">
        <v>2000</v>
      </c>
      <c r="DF105">
        <v>2850</v>
      </c>
      <c r="DG105">
        <v>1800</v>
      </c>
      <c r="DH105">
        <v>2000</v>
      </c>
      <c r="DI105">
        <v>1800</v>
      </c>
      <c r="DJ105">
        <v>2540</v>
      </c>
      <c r="DK105">
        <v>3000</v>
      </c>
      <c r="DL105">
        <v>3000</v>
      </c>
      <c r="DM105">
        <v>741.41</v>
      </c>
      <c r="DN105">
        <v>1341.2999999999997</v>
      </c>
      <c r="DO105">
        <v>3000</v>
      </c>
      <c r="DP105">
        <v>7000</v>
      </c>
      <c r="DQ105">
        <v>13.5</v>
      </c>
    </row>
    <row r="106" spans="1:121" x14ac:dyDescent="0.2">
      <c r="A106" s="14">
        <v>13.75</v>
      </c>
      <c r="B106" s="684">
        <f t="shared" si="20"/>
        <v>3.0818413661758536E-2</v>
      </c>
      <c r="C106" s="684">
        <f t="shared" si="21"/>
        <v>3.081841366175855E-2</v>
      </c>
      <c r="D106" s="684">
        <f t="shared" si="9"/>
        <v>7.7046034154396375E-3</v>
      </c>
      <c r="E106" s="684">
        <f t="shared" si="22"/>
        <v>203.57700258502862</v>
      </c>
      <c r="F106" s="684">
        <f t="shared" si="23"/>
        <v>145.64041932821453</v>
      </c>
      <c r="G106" s="684">
        <f t="shared" si="10"/>
        <v>58.863170093958828</v>
      </c>
      <c r="H106" s="684">
        <f t="shared" si="11"/>
        <v>14.715792523489707</v>
      </c>
      <c r="I106" s="1052">
        <f>HLOOKUP('Input &amp; Summary'!$B$6,TurbineProfiles,ROW(I106)-49,0)</f>
        <v>1910</v>
      </c>
      <c r="J106" s="684">
        <f t="shared" si="24"/>
        <v>2117.4921141893815</v>
      </c>
      <c r="K106" s="9">
        <f t="shared" si="25"/>
        <v>0.90201044301465383</v>
      </c>
      <c r="L106" s="14">
        <f t="shared" si="26"/>
        <v>5239.140857389526</v>
      </c>
      <c r="M106" s="684">
        <f t="shared" si="27"/>
        <v>4285.4457927976637</v>
      </c>
      <c r="N106" s="684">
        <f t="shared" si="12"/>
        <v>2117.4921141893815</v>
      </c>
      <c r="O106" s="684">
        <f t="shared" si="13"/>
        <v>0.9133906313743867</v>
      </c>
      <c r="P106" s="684">
        <f t="shared" si="14"/>
        <v>14.715792523489707</v>
      </c>
      <c r="Q106" s="684">
        <f t="shared" si="18"/>
        <v>7.9811614142687448E-3</v>
      </c>
      <c r="R106" s="684">
        <f t="shared" si="19"/>
        <v>7.7055860589074765E-3</v>
      </c>
      <c r="S106" s="684">
        <f t="shared" si="15"/>
        <v>14.71766937251328</v>
      </c>
      <c r="T106" s="684">
        <f t="shared" si="16"/>
        <v>15.244018301253302</v>
      </c>
      <c r="U106" s="14">
        <f t="shared" si="17"/>
        <v>1910</v>
      </c>
      <c r="V106" s="982">
        <v>1488.3749999999998</v>
      </c>
      <c r="W106" s="982">
        <v>3472.8749999999991</v>
      </c>
      <c r="X106" s="982">
        <v>4961.25</v>
      </c>
      <c r="Y106" s="982">
        <v>1495.125</v>
      </c>
      <c r="Z106" s="982">
        <v>3488.625</v>
      </c>
      <c r="AA106" s="982">
        <v>4983.7500000000009</v>
      </c>
      <c r="AB106" s="982">
        <v>1498.125</v>
      </c>
      <c r="AC106" s="982">
        <v>3495.6249999999995</v>
      </c>
      <c r="AD106" s="982">
        <v>4993.7499999999991</v>
      </c>
      <c r="AE106" s="143">
        <v>1500</v>
      </c>
      <c r="AF106" s="143">
        <v>1500</v>
      </c>
      <c r="AG106" s="143">
        <v>746.25</v>
      </c>
      <c r="AH106" s="143">
        <v>856.25</v>
      </c>
      <c r="AI106" s="996">
        <v>893.625</v>
      </c>
      <c r="AJ106" s="143">
        <v>5000</v>
      </c>
      <c r="AK106" s="143">
        <v>1265.375</v>
      </c>
      <c r="AL106" s="143">
        <v>2500</v>
      </c>
      <c r="AM106" s="143">
        <v>2500</v>
      </c>
      <c r="AN106" s="143">
        <v>2480</v>
      </c>
      <c r="AO106" s="143">
        <v>2465</v>
      </c>
      <c r="AP106" s="143">
        <v>2000</v>
      </c>
      <c r="AQ106" s="143">
        <v>2000</v>
      </c>
      <c r="AR106" s="143">
        <v>2000</v>
      </c>
      <c r="AS106" s="143">
        <v>2000</v>
      </c>
      <c r="AT106" s="143">
        <v>548.54999999999995</v>
      </c>
      <c r="AU106" s="143">
        <v>750</v>
      </c>
      <c r="AV106" s="143">
        <v>1520</v>
      </c>
      <c r="AW106" s="143">
        <v>1500</v>
      </c>
      <c r="AX106" s="143">
        <v>2475</v>
      </c>
      <c r="AY106" s="143">
        <v>2500</v>
      </c>
      <c r="AZ106" s="143">
        <v>2500</v>
      </c>
      <c r="BA106" s="143">
        <v>792.5</v>
      </c>
      <c r="BB106" s="143">
        <v>846.15000000000009</v>
      </c>
      <c r="BC106" s="143">
        <v>1968.75</v>
      </c>
      <c r="BD106" s="143">
        <v>1991.7250000000001</v>
      </c>
      <c r="BE106" s="143">
        <v>1996.0250000000001</v>
      </c>
      <c r="BF106" s="143">
        <v>1500</v>
      </c>
      <c r="BG106" s="143">
        <v>1495</v>
      </c>
      <c r="BH106" s="143">
        <v>1500</v>
      </c>
      <c r="BI106" s="143">
        <v>2500</v>
      </c>
      <c r="BJ106" s="996">
        <v>1000</v>
      </c>
      <c r="BK106" s="143">
        <v>999.22</v>
      </c>
      <c r="BL106" s="143">
        <v>2400</v>
      </c>
      <c r="BM106" s="143">
        <v>2400</v>
      </c>
      <c r="BN106" s="143">
        <v>5000</v>
      </c>
      <c r="BO106" s="143">
        <v>691.85</v>
      </c>
      <c r="BP106" s="143">
        <v>717.31</v>
      </c>
      <c r="BQ106" s="143">
        <v>853.08</v>
      </c>
      <c r="BR106" s="143">
        <v>1475</v>
      </c>
      <c r="BS106" s="143">
        <v>1649.5</v>
      </c>
      <c r="BT106" s="143">
        <v>609.94749999999988</v>
      </c>
      <c r="BU106" s="143">
        <v>1216.25</v>
      </c>
      <c r="BV106" s="143">
        <v>2300</v>
      </c>
      <c r="BW106" s="143">
        <v>2417.5</v>
      </c>
      <c r="BX106" s="143">
        <v>2500</v>
      </c>
      <c r="BY106" s="143">
        <v>2495</v>
      </c>
      <c r="BZ106" s="996">
        <v>2500</v>
      </c>
      <c r="CA106" s="143">
        <v>1650</v>
      </c>
      <c r="CB106">
        <v>1650</v>
      </c>
      <c r="CC106" s="143">
        <v>1980</v>
      </c>
      <c r="CD106" s="143">
        <v>2050</v>
      </c>
      <c r="CE106" s="143">
        <v>3300</v>
      </c>
      <c r="CF106" s="143">
        <v>5000</v>
      </c>
      <c r="CG106" s="143">
        <v>2300</v>
      </c>
      <c r="CH106" s="143">
        <v>3600</v>
      </c>
      <c r="CI106" s="143">
        <v>2260</v>
      </c>
      <c r="CJ106" s="143">
        <v>2300</v>
      </c>
      <c r="CK106" s="143">
        <v>2300</v>
      </c>
      <c r="CL106" s="143">
        <v>2300</v>
      </c>
      <c r="CM106" s="143">
        <v>3600</v>
      </c>
      <c r="CN106" s="143">
        <v>950</v>
      </c>
      <c r="CO106" s="143">
        <v>1237</v>
      </c>
      <c r="CP106" s="143">
        <v>2097</v>
      </c>
      <c r="CQ106" s="143">
        <v>600</v>
      </c>
      <c r="CR106" s="143">
        <v>1493.25</v>
      </c>
      <c r="CS106" s="143">
        <v>609.15</v>
      </c>
      <c r="CT106" s="143">
        <v>590.69999999999982</v>
      </c>
      <c r="CU106" s="143">
        <v>575.5</v>
      </c>
      <c r="CV106" s="143">
        <v>576</v>
      </c>
      <c r="CW106" s="14">
        <v>636.16999999999996</v>
      </c>
      <c r="CX106" s="14">
        <v>1650</v>
      </c>
      <c r="CY106" s="14">
        <v>1800.75</v>
      </c>
      <c r="CZ106" s="670">
        <v>1910</v>
      </c>
      <c r="DA106" s="670">
        <v>1991.5</v>
      </c>
      <c r="DB106" s="670">
        <v>1800</v>
      </c>
      <c r="DC106">
        <v>2000</v>
      </c>
      <c r="DD106">
        <v>1800</v>
      </c>
      <c r="DE106">
        <v>2000</v>
      </c>
      <c r="DF106">
        <v>2890</v>
      </c>
      <c r="DG106">
        <v>1800</v>
      </c>
      <c r="DH106">
        <v>2000</v>
      </c>
      <c r="DI106">
        <v>1800</v>
      </c>
      <c r="DJ106">
        <v>2560</v>
      </c>
      <c r="DK106">
        <v>3000</v>
      </c>
      <c r="DL106">
        <v>3000</v>
      </c>
      <c r="DM106">
        <v>762.83</v>
      </c>
      <c r="DN106">
        <v>1377.6499999999996</v>
      </c>
      <c r="DO106">
        <v>3000</v>
      </c>
      <c r="DP106">
        <v>7000</v>
      </c>
      <c r="DQ106">
        <v>13.75</v>
      </c>
    </row>
    <row r="107" spans="1:121" x14ac:dyDescent="0.2">
      <c r="A107" s="14">
        <v>14</v>
      </c>
      <c r="B107" s="684">
        <f t="shared" si="20"/>
        <v>2.8684705462713962E-2</v>
      </c>
      <c r="C107" s="684">
        <f t="shared" si="21"/>
        <v>2.8684705462713941E-2</v>
      </c>
      <c r="D107" s="684">
        <f t="shared" si="9"/>
        <v>7.1711763656784853E-3</v>
      </c>
      <c r="E107" s="684">
        <f t="shared" si="22"/>
        <v>200.0068374892123</v>
      </c>
      <c r="F107" s="684">
        <f t="shared" si="23"/>
        <v>143.08629811106738</v>
      </c>
      <c r="G107" s="684">
        <f t="shared" si="10"/>
        <v>54.787787433783627</v>
      </c>
      <c r="H107" s="684">
        <f t="shared" si="11"/>
        <v>13.696946858445907</v>
      </c>
      <c r="I107" s="1052">
        <f>HLOOKUP('Input &amp; Summary'!$B$6,TurbineProfiles,ROW(I107)-49,0)</f>
        <v>1910</v>
      </c>
      <c r="J107" s="684">
        <f t="shared" si="24"/>
        <v>2117.4921141893815</v>
      </c>
      <c r="K107" s="9">
        <f t="shared" si="25"/>
        <v>0.90201044301465383</v>
      </c>
      <c r="L107" s="14">
        <f t="shared" si="26"/>
        <v>5530.1395090086799</v>
      </c>
      <c r="M107" s="684">
        <f t="shared" si="27"/>
        <v>4436.7812423890955</v>
      </c>
      <c r="N107" s="684">
        <f t="shared" si="12"/>
        <v>2117.4921141893815</v>
      </c>
      <c r="O107" s="684">
        <f t="shared" si="13"/>
        <v>0.92082653542247073</v>
      </c>
      <c r="P107" s="684">
        <f t="shared" si="14"/>
        <v>13.696946858445907</v>
      </c>
      <c r="Q107" s="684">
        <f t="shared" si="18"/>
        <v>7.4359040480840299E-3</v>
      </c>
      <c r="R107" s="684">
        <f t="shared" si="19"/>
        <v>7.1721777415165722E-3</v>
      </c>
      <c r="S107" s="684">
        <f t="shared" si="15"/>
        <v>13.698859486296653</v>
      </c>
      <c r="T107" s="684">
        <f t="shared" si="16"/>
        <v>14.202576731840498</v>
      </c>
      <c r="U107" s="14">
        <f t="shared" si="17"/>
        <v>1910</v>
      </c>
      <c r="V107" s="982">
        <v>1490.9999999999995</v>
      </c>
      <c r="W107" s="982">
        <v>3478.9999999999991</v>
      </c>
      <c r="X107" s="982">
        <v>4969.9999999999991</v>
      </c>
      <c r="Y107" s="982">
        <v>1497</v>
      </c>
      <c r="Z107" s="982">
        <v>3493</v>
      </c>
      <c r="AA107" s="982">
        <v>4990</v>
      </c>
      <c r="AB107" s="982">
        <v>1498.5</v>
      </c>
      <c r="AC107" s="982">
        <v>3496.4999999999995</v>
      </c>
      <c r="AD107" s="982">
        <v>4994.9999999999991</v>
      </c>
      <c r="AE107" s="143">
        <v>1500</v>
      </c>
      <c r="AF107" s="143">
        <v>1500</v>
      </c>
      <c r="AG107" s="143">
        <v>748</v>
      </c>
      <c r="AH107" s="143">
        <v>875</v>
      </c>
      <c r="AI107" s="996">
        <v>900</v>
      </c>
      <c r="AJ107" s="143">
        <v>5000</v>
      </c>
      <c r="AK107" s="143">
        <v>1280</v>
      </c>
      <c r="AL107" s="143">
        <v>2500</v>
      </c>
      <c r="AM107" s="143">
        <v>2500</v>
      </c>
      <c r="AN107" s="143">
        <v>2500</v>
      </c>
      <c r="AO107" s="143">
        <v>2480</v>
      </c>
      <c r="AP107" s="143">
        <v>2000</v>
      </c>
      <c r="AQ107" s="143">
        <v>2000</v>
      </c>
      <c r="AR107" s="143">
        <v>2000</v>
      </c>
      <c r="AS107" s="143">
        <v>2000</v>
      </c>
      <c r="AT107" s="143">
        <v>550</v>
      </c>
      <c r="AU107" s="143">
        <v>750</v>
      </c>
      <c r="AV107" s="143">
        <v>1520</v>
      </c>
      <c r="AW107" s="143">
        <v>1500</v>
      </c>
      <c r="AX107" s="143">
        <v>2500</v>
      </c>
      <c r="AY107" s="143">
        <v>2500</v>
      </c>
      <c r="AZ107" s="143">
        <v>2500</v>
      </c>
      <c r="BA107" s="143">
        <v>794</v>
      </c>
      <c r="BB107" s="143">
        <v>848</v>
      </c>
      <c r="BC107" s="143">
        <v>1980</v>
      </c>
      <c r="BD107" s="143">
        <v>1995.3</v>
      </c>
      <c r="BE107" s="143">
        <v>1997.9</v>
      </c>
      <c r="BF107" s="143">
        <v>1500</v>
      </c>
      <c r="BG107" s="143">
        <v>1500</v>
      </c>
      <c r="BH107" s="143">
        <v>1500</v>
      </c>
      <c r="BI107" s="143">
        <v>2500</v>
      </c>
      <c r="BJ107" s="996">
        <v>1000</v>
      </c>
      <c r="BK107" s="143">
        <v>999.22</v>
      </c>
      <c r="BL107" s="143">
        <v>2400</v>
      </c>
      <c r="BM107" s="143">
        <v>2400</v>
      </c>
      <c r="BN107" s="143">
        <v>5000</v>
      </c>
      <c r="BO107" s="143">
        <v>707.21</v>
      </c>
      <c r="BP107" s="143">
        <v>723.11</v>
      </c>
      <c r="BQ107" s="143">
        <v>865.17</v>
      </c>
      <c r="BR107" s="143">
        <v>1483</v>
      </c>
      <c r="BS107" s="143">
        <v>1650</v>
      </c>
      <c r="BT107" s="143">
        <v>618.67999999999995</v>
      </c>
      <c r="BU107" s="143">
        <v>1247</v>
      </c>
      <c r="BV107" s="143">
        <v>2300</v>
      </c>
      <c r="BW107" s="143">
        <v>2463</v>
      </c>
      <c r="BX107" s="143">
        <v>2500</v>
      </c>
      <c r="BY107" s="143">
        <v>2500</v>
      </c>
      <c r="BZ107" s="996">
        <v>2500</v>
      </c>
      <c r="CA107" s="143">
        <v>1650</v>
      </c>
      <c r="CB107">
        <v>1650</v>
      </c>
      <c r="CC107" s="143">
        <v>2010</v>
      </c>
      <c r="CD107" s="143">
        <v>2050</v>
      </c>
      <c r="CE107" s="143">
        <v>3300</v>
      </c>
      <c r="CF107" s="143">
        <v>5000</v>
      </c>
      <c r="CG107" s="143">
        <v>2300</v>
      </c>
      <c r="CH107" s="143">
        <v>3600</v>
      </c>
      <c r="CI107" s="143">
        <v>2280</v>
      </c>
      <c r="CJ107" s="143">
        <v>2300</v>
      </c>
      <c r="CK107" s="143">
        <v>2300</v>
      </c>
      <c r="CL107" s="143">
        <v>2300</v>
      </c>
      <c r="CM107" s="143">
        <v>3600</v>
      </c>
      <c r="CN107" s="143">
        <v>950</v>
      </c>
      <c r="CO107" s="143">
        <v>1250</v>
      </c>
      <c r="CP107" s="143">
        <v>2100</v>
      </c>
      <c r="CQ107" s="143">
        <v>600</v>
      </c>
      <c r="CR107" s="143">
        <v>1500</v>
      </c>
      <c r="CS107" s="143">
        <v>612.79999999999995</v>
      </c>
      <c r="CT107" s="143">
        <v>599.5</v>
      </c>
      <c r="CU107" s="143">
        <v>582</v>
      </c>
      <c r="CV107" s="143">
        <v>582</v>
      </c>
      <c r="CW107" s="14">
        <v>642.41</v>
      </c>
      <c r="CX107" s="14">
        <v>1650</v>
      </c>
      <c r="CY107" s="14">
        <v>1802</v>
      </c>
      <c r="CZ107" s="670">
        <v>1930</v>
      </c>
      <c r="DA107" s="670">
        <v>2000</v>
      </c>
      <c r="DB107" s="670">
        <v>1800</v>
      </c>
      <c r="DC107">
        <v>2000</v>
      </c>
      <c r="DD107">
        <v>1800</v>
      </c>
      <c r="DE107">
        <v>2000</v>
      </c>
      <c r="DF107">
        <v>2910</v>
      </c>
      <c r="DG107">
        <v>1800</v>
      </c>
      <c r="DH107">
        <v>2000</v>
      </c>
      <c r="DI107">
        <v>1800</v>
      </c>
      <c r="DJ107">
        <v>2580</v>
      </c>
      <c r="DK107">
        <v>3000</v>
      </c>
      <c r="DL107">
        <v>3000</v>
      </c>
      <c r="DM107">
        <v>778.18</v>
      </c>
      <c r="DN107">
        <v>1414</v>
      </c>
      <c r="DO107">
        <v>3000</v>
      </c>
      <c r="DP107">
        <v>7000</v>
      </c>
      <c r="DQ107">
        <v>14</v>
      </c>
    </row>
    <row r="108" spans="1:121" x14ac:dyDescent="0.2">
      <c r="A108" s="14">
        <v>14.25</v>
      </c>
      <c r="B108" s="684">
        <f t="shared" si="20"/>
        <v>2.6647076223994384E-2</v>
      </c>
      <c r="C108" s="684">
        <f t="shared" si="21"/>
        <v>2.6647076223994374E-2</v>
      </c>
      <c r="D108" s="684">
        <f t="shared" si="9"/>
        <v>6.6617690559985935E-3</v>
      </c>
      <c r="E108" s="684">
        <f t="shared" si="22"/>
        <v>195.93160595428543</v>
      </c>
      <c r="F108" s="684">
        <f t="shared" si="23"/>
        <v>140.1708488114422</v>
      </c>
      <c r="G108" s="684">
        <f t="shared" si="10"/>
        <v>50.895915587829251</v>
      </c>
      <c r="H108" s="684">
        <f t="shared" si="11"/>
        <v>12.723978896957313</v>
      </c>
      <c r="I108" s="1052">
        <f>HLOOKUP('Input &amp; Summary'!$B$6,TurbineProfiles,ROW(I108)-49,0)</f>
        <v>1910</v>
      </c>
      <c r="J108" s="684">
        <f t="shared" si="24"/>
        <v>2117.4921141893815</v>
      </c>
      <c r="K108" s="9">
        <f t="shared" si="25"/>
        <v>0.90201044301465383</v>
      </c>
      <c r="L108" s="14">
        <f t="shared" si="26"/>
        <v>5831.7187846884381</v>
      </c>
      <c r="M108" s="684">
        <f t="shared" si="27"/>
        <v>4588.1166919805273</v>
      </c>
      <c r="N108" s="684">
        <f t="shared" si="12"/>
        <v>2117.4921141893815</v>
      </c>
      <c r="O108" s="684">
        <f t="shared" si="13"/>
        <v>0.92774099276885647</v>
      </c>
      <c r="P108" s="684">
        <f t="shared" si="14"/>
        <v>12.723978896957313</v>
      </c>
      <c r="Q108" s="684">
        <f t="shared" si="18"/>
        <v>6.9144573463857384E-3</v>
      </c>
      <c r="R108" s="684">
        <f t="shared" si="19"/>
        <v>6.6627813537226688E-3</v>
      </c>
      <c r="S108" s="684">
        <f t="shared" si="15"/>
        <v>12.725912385610297</v>
      </c>
      <c r="T108" s="684">
        <f t="shared" si="16"/>
        <v>13.20661353159676</v>
      </c>
      <c r="U108" s="14">
        <f t="shared" si="17"/>
        <v>1910</v>
      </c>
      <c r="V108" s="982">
        <v>1492.4999999999998</v>
      </c>
      <c r="W108" s="982">
        <v>3482.4999999999995</v>
      </c>
      <c r="X108" s="982">
        <v>4975</v>
      </c>
      <c r="Y108" s="982">
        <v>1497.75</v>
      </c>
      <c r="Z108" s="982">
        <v>3494.75</v>
      </c>
      <c r="AA108" s="982">
        <v>4992.5</v>
      </c>
      <c r="AB108" s="982">
        <v>1498.875</v>
      </c>
      <c r="AC108" s="982">
        <v>3497.375</v>
      </c>
      <c r="AD108" s="982">
        <v>4996.25</v>
      </c>
      <c r="AE108" s="143">
        <v>1500</v>
      </c>
      <c r="AF108" s="143">
        <v>1500</v>
      </c>
      <c r="AG108" s="143">
        <v>748.5</v>
      </c>
      <c r="AH108" s="143">
        <v>881.25</v>
      </c>
      <c r="AI108" s="996">
        <v>900</v>
      </c>
      <c r="AJ108" s="143">
        <v>5000</v>
      </c>
      <c r="AK108" s="143">
        <v>1283.5</v>
      </c>
      <c r="AL108" s="143">
        <v>2500</v>
      </c>
      <c r="AM108" s="143">
        <v>2500</v>
      </c>
      <c r="AN108" s="143">
        <v>2500</v>
      </c>
      <c r="AO108" s="143">
        <v>2490</v>
      </c>
      <c r="AP108" s="143">
        <v>2000</v>
      </c>
      <c r="AQ108" s="143">
        <v>2000</v>
      </c>
      <c r="AR108" s="143">
        <v>2000</v>
      </c>
      <c r="AS108" s="143">
        <v>2000</v>
      </c>
      <c r="AT108" s="143">
        <v>550</v>
      </c>
      <c r="AU108" s="143">
        <v>750</v>
      </c>
      <c r="AV108" s="143">
        <v>1520</v>
      </c>
      <c r="AW108" s="143">
        <v>1500</v>
      </c>
      <c r="AX108" s="143">
        <v>2500</v>
      </c>
      <c r="AY108" s="143">
        <v>2500</v>
      </c>
      <c r="AZ108" s="143">
        <v>2500</v>
      </c>
      <c r="BA108" s="143">
        <v>795.5</v>
      </c>
      <c r="BB108" s="143">
        <v>848.25</v>
      </c>
      <c r="BC108" s="143">
        <v>1983.75</v>
      </c>
      <c r="BD108" s="143">
        <v>1996.2</v>
      </c>
      <c r="BE108" s="143">
        <v>1998.325</v>
      </c>
      <c r="BF108" s="143">
        <v>1500</v>
      </c>
      <c r="BG108" s="143">
        <v>1500</v>
      </c>
      <c r="BH108" s="143">
        <v>1500</v>
      </c>
      <c r="BI108" s="143">
        <v>2500</v>
      </c>
      <c r="BJ108" s="996">
        <v>1000</v>
      </c>
      <c r="BK108" s="143">
        <v>999.22</v>
      </c>
      <c r="BL108" s="143">
        <v>2400</v>
      </c>
      <c r="BM108" s="143">
        <v>2400</v>
      </c>
      <c r="BN108" s="143">
        <v>5000</v>
      </c>
      <c r="BO108" s="143">
        <v>722.56</v>
      </c>
      <c r="BP108" s="143">
        <v>731.79</v>
      </c>
      <c r="BQ108" s="143">
        <v>873.24</v>
      </c>
      <c r="BR108" s="143">
        <v>1487.25</v>
      </c>
      <c r="BS108" s="143">
        <v>1650</v>
      </c>
      <c r="BT108" s="143">
        <v>618.88249999999994</v>
      </c>
      <c r="BU108" s="143">
        <v>1260.5</v>
      </c>
      <c r="BV108" s="143">
        <v>2300</v>
      </c>
      <c r="BW108" s="143">
        <v>2472.25</v>
      </c>
      <c r="BX108" s="143">
        <v>2500</v>
      </c>
      <c r="BY108" s="143">
        <v>2500</v>
      </c>
      <c r="BZ108" s="996">
        <v>2500</v>
      </c>
      <c r="CA108" s="143">
        <v>1650</v>
      </c>
      <c r="CB108">
        <v>1650</v>
      </c>
      <c r="CC108" s="143">
        <v>2030</v>
      </c>
      <c r="CD108" s="143">
        <v>2050</v>
      </c>
      <c r="CE108" s="143">
        <v>3300</v>
      </c>
      <c r="CF108" s="143">
        <v>5000</v>
      </c>
      <c r="CG108" s="143">
        <v>2300</v>
      </c>
      <c r="CH108" s="143">
        <v>3600</v>
      </c>
      <c r="CI108" s="143">
        <v>2300</v>
      </c>
      <c r="CJ108" s="143">
        <v>2300</v>
      </c>
      <c r="CK108" s="143">
        <v>2300</v>
      </c>
      <c r="CL108" s="143">
        <v>2300</v>
      </c>
      <c r="CM108" s="143">
        <v>3600</v>
      </c>
      <c r="CN108" s="143">
        <v>950</v>
      </c>
      <c r="CO108" s="143">
        <v>1250</v>
      </c>
      <c r="CP108" s="143">
        <v>2100</v>
      </c>
      <c r="CQ108" s="143">
        <v>600</v>
      </c>
      <c r="CR108" s="143">
        <v>1500</v>
      </c>
      <c r="CS108" s="143">
        <v>612.79999999999995</v>
      </c>
      <c r="CT108" s="143">
        <v>601.95000000000005</v>
      </c>
      <c r="CU108" s="143">
        <v>585</v>
      </c>
      <c r="CV108" s="143">
        <v>585</v>
      </c>
      <c r="CW108" s="14">
        <v>651.67999999999995</v>
      </c>
      <c r="CX108" s="14">
        <v>1650</v>
      </c>
      <c r="CY108" s="14">
        <v>1802</v>
      </c>
      <c r="CZ108" s="670">
        <v>1940</v>
      </c>
      <c r="DA108" s="670">
        <v>2000</v>
      </c>
      <c r="DB108" s="670">
        <v>1800</v>
      </c>
      <c r="DC108">
        <v>2000</v>
      </c>
      <c r="DD108">
        <v>1800</v>
      </c>
      <c r="DE108">
        <v>2000</v>
      </c>
      <c r="DF108">
        <v>2940</v>
      </c>
      <c r="DG108">
        <v>1800</v>
      </c>
      <c r="DH108">
        <v>2000</v>
      </c>
      <c r="DI108">
        <v>1800</v>
      </c>
      <c r="DJ108">
        <v>2585</v>
      </c>
      <c r="DK108">
        <v>3000</v>
      </c>
      <c r="DL108">
        <v>3000</v>
      </c>
      <c r="DM108">
        <v>790.46</v>
      </c>
      <c r="DN108">
        <v>1442.9</v>
      </c>
      <c r="DO108">
        <v>3000</v>
      </c>
      <c r="DP108">
        <v>7000</v>
      </c>
      <c r="DQ108">
        <v>14.25</v>
      </c>
    </row>
    <row r="109" spans="1:121" x14ac:dyDescent="0.2">
      <c r="A109" s="14">
        <v>14.5</v>
      </c>
      <c r="B109" s="684">
        <f t="shared" si="20"/>
        <v>2.470657851360673E-2</v>
      </c>
      <c r="C109" s="684">
        <f t="shared" si="21"/>
        <v>2.4706578513606737E-2</v>
      </c>
      <c r="D109" s="684">
        <f t="shared" si="9"/>
        <v>6.1766446284016842E-3</v>
      </c>
      <c r="E109" s="684">
        <f t="shared" si="22"/>
        <v>191.39339845399786</v>
      </c>
      <c r="F109" s="684">
        <f t="shared" si="23"/>
        <v>136.9241832502658</v>
      </c>
      <c r="G109" s="684">
        <f t="shared" si="10"/>
        <v>47.189564960988868</v>
      </c>
      <c r="H109" s="684">
        <f t="shared" si="11"/>
        <v>11.797391240247217</v>
      </c>
      <c r="I109" s="1052">
        <f>HLOOKUP('Input &amp; Summary'!$B$6,TurbineProfiles,ROW(I109)-49,0)</f>
        <v>1910</v>
      </c>
      <c r="J109" s="684">
        <f t="shared" si="24"/>
        <v>2117.4921141893815</v>
      </c>
      <c r="K109" s="9">
        <f t="shared" si="25"/>
        <v>0.90201044301465383</v>
      </c>
      <c r="L109" s="14">
        <f t="shared" si="26"/>
        <v>6144.0676241441643</v>
      </c>
      <c r="M109" s="684">
        <f t="shared" si="27"/>
        <v>4739.4521415719601</v>
      </c>
      <c r="N109" s="684">
        <f t="shared" si="12"/>
        <v>2117.4921141893815</v>
      </c>
      <c r="O109" s="684">
        <f t="shared" si="13"/>
        <v>0.93415816975211441</v>
      </c>
      <c r="P109" s="684">
        <f t="shared" si="14"/>
        <v>11.797391240247217</v>
      </c>
      <c r="Q109" s="684">
        <f t="shared" si="18"/>
        <v>6.4171769832579439E-3</v>
      </c>
      <c r="R109" s="684">
        <f t="shared" si="19"/>
        <v>6.1776606351212626E-3</v>
      </c>
      <c r="S109" s="684">
        <f t="shared" si="15"/>
        <v>11.799331813081611</v>
      </c>
      <c r="T109" s="684">
        <f t="shared" si="16"/>
        <v>12.256808038022672</v>
      </c>
      <c r="U109" s="14">
        <f t="shared" si="17"/>
        <v>1910</v>
      </c>
      <c r="V109" s="982">
        <v>1494</v>
      </c>
      <c r="W109" s="982">
        <v>3485.9999999999995</v>
      </c>
      <c r="X109" s="982">
        <v>4980</v>
      </c>
      <c r="Y109" s="982">
        <v>1498.5</v>
      </c>
      <c r="Z109" s="982">
        <v>3496.4999999999995</v>
      </c>
      <c r="AA109" s="982">
        <v>4994.9999999999991</v>
      </c>
      <c r="AB109" s="982">
        <v>1499.25</v>
      </c>
      <c r="AC109" s="982">
        <v>3498.25</v>
      </c>
      <c r="AD109" s="982">
        <v>4997.5000000000009</v>
      </c>
      <c r="AE109" s="143">
        <v>1500</v>
      </c>
      <c r="AF109" s="143">
        <v>1500</v>
      </c>
      <c r="AG109" s="143">
        <v>749</v>
      </c>
      <c r="AH109" s="143">
        <v>885.9375</v>
      </c>
      <c r="AI109" s="996">
        <v>900</v>
      </c>
      <c r="AJ109" s="143">
        <v>5000</v>
      </c>
      <c r="AK109" s="143">
        <v>1286.125</v>
      </c>
      <c r="AL109" s="143">
        <v>2500</v>
      </c>
      <c r="AM109" s="143">
        <v>2500</v>
      </c>
      <c r="AN109" s="143">
        <v>2500</v>
      </c>
      <c r="AO109" s="143">
        <v>2500</v>
      </c>
      <c r="AP109" s="143">
        <v>2000</v>
      </c>
      <c r="AQ109" s="143">
        <v>2000</v>
      </c>
      <c r="AR109" s="143">
        <v>2000</v>
      </c>
      <c r="AS109" s="143">
        <v>2000</v>
      </c>
      <c r="AT109" s="143">
        <v>550</v>
      </c>
      <c r="AU109" s="143">
        <v>750</v>
      </c>
      <c r="AV109" s="143">
        <v>1520</v>
      </c>
      <c r="AW109" s="143">
        <v>1500</v>
      </c>
      <c r="AX109" s="143">
        <v>2500</v>
      </c>
      <c r="AY109" s="143">
        <v>2500</v>
      </c>
      <c r="AZ109" s="143">
        <v>2500</v>
      </c>
      <c r="BA109" s="143">
        <v>797</v>
      </c>
      <c r="BB109" s="143">
        <v>848.5</v>
      </c>
      <c r="BC109" s="143">
        <v>1987.5</v>
      </c>
      <c r="BD109" s="143">
        <v>1997.1000000000001</v>
      </c>
      <c r="BE109" s="143">
        <v>1998.75</v>
      </c>
      <c r="BF109" s="143">
        <v>1500</v>
      </c>
      <c r="BG109" s="143">
        <v>1500</v>
      </c>
      <c r="BH109" s="143">
        <v>1500</v>
      </c>
      <c r="BI109" s="143">
        <v>2500</v>
      </c>
      <c r="BJ109" s="996">
        <v>1000</v>
      </c>
      <c r="BK109" s="143">
        <v>999.22</v>
      </c>
      <c r="BL109" s="143">
        <v>2400</v>
      </c>
      <c r="BM109" s="143">
        <v>2400</v>
      </c>
      <c r="BN109" s="143">
        <v>5000</v>
      </c>
      <c r="BO109" s="143">
        <v>730.29</v>
      </c>
      <c r="BP109" s="143">
        <v>737.6</v>
      </c>
      <c r="BQ109" s="143">
        <v>881.32</v>
      </c>
      <c r="BR109" s="143">
        <v>1491.5</v>
      </c>
      <c r="BS109" s="143">
        <v>1650</v>
      </c>
      <c r="BT109" s="143">
        <v>619.08499999999992</v>
      </c>
      <c r="BU109" s="143">
        <v>1274</v>
      </c>
      <c r="BV109" s="143">
        <v>2300</v>
      </c>
      <c r="BW109" s="143">
        <v>2481.5</v>
      </c>
      <c r="BX109" s="143">
        <v>2500</v>
      </c>
      <c r="BY109" s="143">
        <v>2500</v>
      </c>
      <c r="BZ109" s="996">
        <v>2500</v>
      </c>
      <c r="CA109" s="143">
        <v>1650</v>
      </c>
      <c r="CB109">
        <v>1650</v>
      </c>
      <c r="CC109" s="143">
        <v>2050</v>
      </c>
      <c r="CD109" s="143">
        <v>2050</v>
      </c>
      <c r="CE109" s="143">
        <v>3300</v>
      </c>
      <c r="CF109" s="143">
        <v>5000</v>
      </c>
      <c r="CG109" s="143">
        <v>2300</v>
      </c>
      <c r="CH109" s="143">
        <v>3600</v>
      </c>
      <c r="CI109" s="143">
        <v>2300</v>
      </c>
      <c r="CJ109" s="143">
        <v>2300</v>
      </c>
      <c r="CK109" s="143">
        <v>2300</v>
      </c>
      <c r="CL109" s="143">
        <v>2300</v>
      </c>
      <c r="CM109" s="143">
        <v>3600</v>
      </c>
      <c r="CN109" s="143">
        <v>950</v>
      </c>
      <c r="CO109" s="143">
        <v>1250</v>
      </c>
      <c r="CP109" s="143">
        <v>2100</v>
      </c>
      <c r="CQ109" s="143">
        <v>600</v>
      </c>
      <c r="CR109" s="143">
        <v>1500</v>
      </c>
      <c r="CS109" s="143">
        <v>612.79999999999995</v>
      </c>
      <c r="CT109" s="143">
        <v>604.40000000000009</v>
      </c>
      <c r="CU109" s="143">
        <v>588</v>
      </c>
      <c r="CV109" s="143">
        <v>588</v>
      </c>
      <c r="CW109" s="14">
        <v>656.37</v>
      </c>
      <c r="CX109" s="14">
        <v>1650</v>
      </c>
      <c r="CY109" s="14">
        <v>1802</v>
      </c>
      <c r="CZ109" s="670">
        <v>1950</v>
      </c>
      <c r="DA109" s="670">
        <v>2000</v>
      </c>
      <c r="DB109" s="670">
        <v>1800</v>
      </c>
      <c r="DC109">
        <v>2000</v>
      </c>
      <c r="DD109">
        <v>1800</v>
      </c>
      <c r="DE109">
        <v>2000</v>
      </c>
      <c r="DF109">
        <v>2970</v>
      </c>
      <c r="DG109">
        <v>1800</v>
      </c>
      <c r="DH109">
        <v>2000</v>
      </c>
      <c r="DI109">
        <v>1800</v>
      </c>
      <c r="DJ109">
        <v>2590</v>
      </c>
      <c r="DK109">
        <v>3000</v>
      </c>
      <c r="DL109">
        <v>3000</v>
      </c>
      <c r="DM109">
        <v>802.79</v>
      </c>
      <c r="DN109">
        <v>1471.8000000000002</v>
      </c>
      <c r="DO109">
        <v>3000</v>
      </c>
      <c r="DP109">
        <v>7000</v>
      </c>
      <c r="DQ109">
        <v>14.5</v>
      </c>
    </row>
    <row r="110" spans="1:121" x14ac:dyDescent="0.2">
      <c r="A110" s="14">
        <v>14.75</v>
      </c>
      <c r="B110" s="684">
        <f t="shared" si="20"/>
        <v>2.2863572558176979E-2</v>
      </c>
      <c r="C110" s="684">
        <f t="shared" si="21"/>
        <v>2.2863572558176989E-2</v>
      </c>
      <c r="D110" s="684">
        <f t="shared" si="9"/>
        <v>5.7158931395442474E-3</v>
      </c>
      <c r="E110" s="684">
        <f t="shared" si="22"/>
        <v>186.43630804857736</v>
      </c>
      <c r="F110" s="684">
        <f t="shared" si="23"/>
        <v>133.37784591291469</v>
      </c>
      <c r="G110" s="684">
        <f t="shared" si="10"/>
        <v>43.66942358611805</v>
      </c>
      <c r="H110" s="684">
        <f t="shared" si="11"/>
        <v>10.917355896529513</v>
      </c>
      <c r="I110" s="1052">
        <f>HLOOKUP('Input &amp; Summary'!$B$6,TurbineProfiles,ROW(I110)-49,0)</f>
        <v>1910</v>
      </c>
      <c r="J110" s="684">
        <f t="shared" si="24"/>
        <v>2117.4921141893815</v>
      </c>
      <c r="K110" s="9">
        <f t="shared" si="25"/>
        <v>0.90201044301465383</v>
      </c>
      <c r="L110" s="14">
        <f t="shared" si="26"/>
        <v>6467.374967091233</v>
      </c>
      <c r="M110" s="684">
        <f t="shared" si="27"/>
        <v>4890.7875911633928</v>
      </c>
      <c r="N110" s="684">
        <f t="shared" si="12"/>
        <v>2117.4921141893815</v>
      </c>
      <c r="O110" s="684">
        <f t="shared" si="13"/>
        <v>0.94010240809895407</v>
      </c>
      <c r="P110" s="684">
        <f t="shared" si="14"/>
        <v>10.917355896529513</v>
      </c>
      <c r="Q110" s="684">
        <f t="shared" si="18"/>
        <v>5.9442383468396587E-3</v>
      </c>
      <c r="R110" s="684">
        <f t="shared" si="19"/>
        <v>5.7169062541304605E-3</v>
      </c>
      <c r="S110" s="684">
        <f t="shared" si="15"/>
        <v>10.919290945389179</v>
      </c>
      <c r="T110" s="684">
        <f t="shared" si="16"/>
        <v>11.353495242463747</v>
      </c>
      <c r="U110" s="14">
        <f t="shared" si="17"/>
        <v>1910</v>
      </c>
      <c r="V110" s="982">
        <v>1495.5000000000002</v>
      </c>
      <c r="W110" s="982">
        <v>3489.5000000000005</v>
      </c>
      <c r="X110" s="982">
        <v>4985</v>
      </c>
      <c r="Y110" s="982">
        <v>1499.2499999999998</v>
      </c>
      <c r="Z110" s="982">
        <v>3498.2499999999995</v>
      </c>
      <c r="AA110" s="982">
        <v>4997.4999999999991</v>
      </c>
      <c r="AB110" s="982">
        <v>1499.6250000000002</v>
      </c>
      <c r="AC110" s="982">
        <v>3499.1250000000005</v>
      </c>
      <c r="AD110" s="982">
        <v>4998.7500000000009</v>
      </c>
      <c r="AE110" s="143">
        <v>1500</v>
      </c>
      <c r="AF110" s="143">
        <v>1500</v>
      </c>
      <c r="AG110" s="143">
        <v>749.5</v>
      </c>
      <c r="AH110" s="143">
        <v>890.625</v>
      </c>
      <c r="AI110" s="996">
        <v>900</v>
      </c>
      <c r="AJ110" s="143">
        <v>5000</v>
      </c>
      <c r="AK110" s="143">
        <v>1288.75</v>
      </c>
      <c r="AL110" s="143">
        <v>2500</v>
      </c>
      <c r="AM110" s="143">
        <v>2500</v>
      </c>
      <c r="AN110" s="143">
        <v>2500</v>
      </c>
      <c r="AO110" s="143">
        <v>2500</v>
      </c>
      <c r="AP110" s="143">
        <v>2000</v>
      </c>
      <c r="AQ110" s="143">
        <v>2000</v>
      </c>
      <c r="AR110" s="143">
        <v>2000</v>
      </c>
      <c r="AS110" s="143">
        <v>2000</v>
      </c>
      <c r="AT110" s="143">
        <v>550</v>
      </c>
      <c r="AU110" s="143">
        <v>750</v>
      </c>
      <c r="AV110" s="143">
        <v>1520</v>
      </c>
      <c r="AW110" s="143">
        <v>1500</v>
      </c>
      <c r="AX110" s="143">
        <v>2500</v>
      </c>
      <c r="AY110" s="143">
        <v>2500</v>
      </c>
      <c r="AZ110" s="143">
        <v>2500</v>
      </c>
      <c r="BA110" s="143">
        <v>798.5</v>
      </c>
      <c r="BB110" s="143">
        <v>848.75</v>
      </c>
      <c r="BC110" s="143">
        <v>1991.25</v>
      </c>
      <c r="BD110" s="143">
        <v>1998.0000000000002</v>
      </c>
      <c r="BE110" s="143">
        <v>1999.175</v>
      </c>
      <c r="BF110" s="143">
        <v>1500</v>
      </c>
      <c r="BG110" s="143">
        <v>1500</v>
      </c>
      <c r="BH110" s="143">
        <v>1500</v>
      </c>
      <c r="BI110" s="143">
        <v>2500</v>
      </c>
      <c r="BJ110" s="996">
        <v>1000</v>
      </c>
      <c r="BK110" s="143">
        <v>999.22</v>
      </c>
      <c r="BL110" s="143">
        <v>2400</v>
      </c>
      <c r="BM110" s="143">
        <v>2400</v>
      </c>
      <c r="BN110" s="143">
        <v>5000</v>
      </c>
      <c r="BO110" s="143">
        <v>738.01</v>
      </c>
      <c r="BP110" s="143">
        <v>740.53</v>
      </c>
      <c r="BQ110" s="143">
        <v>887.38</v>
      </c>
      <c r="BR110" s="143">
        <v>1495.75</v>
      </c>
      <c r="BS110" s="143">
        <v>1650</v>
      </c>
      <c r="BT110" s="143">
        <v>619.28749999999991</v>
      </c>
      <c r="BU110" s="143">
        <v>1287.5</v>
      </c>
      <c r="BV110" s="143">
        <v>2300</v>
      </c>
      <c r="BW110" s="143">
        <v>2490.75</v>
      </c>
      <c r="BX110" s="143">
        <v>2500</v>
      </c>
      <c r="BY110" s="143">
        <v>2500</v>
      </c>
      <c r="BZ110" s="996">
        <v>2500</v>
      </c>
      <c r="CA110" s="143">
        <v>1650</v>
      </c>
      <c r="CB110">
        <v>1650</v>
      </c>
      <c r="CC110" s="143">
        <v>2050</v>
      </c>
      <c r="CD110" s="143">
        <v>2050</v>
      </c>
      <c r="CE110" s="143">
        <v>3300</v>
      </c>
      <c r="CF110" s="143">
        <v>5000</v>
      </c>
      <c r="CG110" s="143">
        <v>2300</v>
      </c>
      <c r="CH110" s="143">
        <v>3600</v>
      </c>
      <c r="CI110" s="143">
        <v>2300</v>
      </c>
      <c r="CJ110" s="143">
        <v>2300</v>
      </c>
      <c r="CK110" s="143">
        <v>2300</v>
      </c>
      <c r="CL110" s="143">
        <v>2300</v>
      </c>
      <c r="CM110" s="143">
        <v>3600</v>
      </c>
      <c r="CN110" s="143">
        <v>950</v>
      </c>
      <c r="CO110" s="143">
        <v>1250</v>
      </c>
      <c r="CP110" s="143">
        <v>2100</v>
      </c>
      <c r="CQ110" s="143">
        <v>600</v>
      </c>
      <c r="CR110" s="143">
        <v>1500</v>
      </c>
      <c r="CS110" s="143">
        <v>612.79999999999995</v>
      </c>
      <c r="CT110" s="143">
        <v>606.85000000000014</v>
      </c>
      <c r="CU110" s="143">
        <v>591</v>
      </c>
      <c r="CV110" s="143">
        <v>591</v>
      </c>
      <c r="CW110" s="14">
        <v>660</v>
      </c>
      <c r="CX110" s="14">
        <v>1650</v>
      </c>
      <c r="CY110" s="14">
        <v>1802</v>
      </c>
      <c r="CZ110" s="670">
        <v>1960</v>
      </c>
      <c r="DA110" s="670">
        <v>2000</v>
      </c>
      <c r="DB110" s="670">
        <v>1800</v>
      </c>
      <c r="DC110">
        <v>2000</v>
      </c>
      <c r="DD110">
        <v>1800</v>
      </c>
      <c r="DE110">
        <v>2000</v>
      </c>
      <c r="DF110">
        <v>2990</v>
      </c>
      <c r="DG110">
        <v>1800</v>
      </c>
      <c r="DH110">
        <v>2000</v>
      </c>
      <c r="DI110">
        <v>1800</v>
      </c>
      <c r="DJ110">
        <v>2595</v>
      </c>
      <c r="DK110">
        <v>3000</v>
      </c>
      <c r="DL110">
        <v>3000</v>
      </c>
      <c r="DM110">
        <v>809.05</v>
      </c>
      <c r="DN110">
        <v>1500.7000000000003</v>
      </c>
      <c r="DO110">
        <v>3000</v>
      </c>
      <c r="DP110">
        <v>7000</v>
      </c>
      <c r="DQ110">
        <v>14.75</v>
      </c>
    </row>
    <row r="111" spans="1:121" x14ac:dyDescent="0.2">
      <c r="A111" s="14">
        <v>15</v>
      </c>
      <c r="B111" s="684">
        <f t="shared" si="20"/>
        <v>2.1117784918621259E-2</v>
      </c>
      <c r="C111" s="684">
        <f t="shared" si="21"/>
        <v>2.1117784918621249E-2</v>
      </c>
      <c r="D111" s="684">
        <f t="shared" si="9"/>
        <v>5.2794462296553123E-3</v>
      </c>
      <c r="E111" s="684">
        <f t="shared" si="22"/>
        <v>181.10585063149779</v>
      </c>
      <c r="F111" s="684">
        <f t="shared" si="23"/>
        <v>129.56439918967587</v>
      </c>
      <c r="G111" s="684">
        <f t="shared" si="10"/>
        <v>40.334969194566582</v>
      </c>
      <c r="H111" s="684">
        <f t="shared" si="11"/>
        <v>10.083742298641646</v>
      </c>
      <c r="I111" s="1052">
        <f>HLOOKUP('Input &amp; Summary'!$B$6,TurbineProfiles,ROW(I111)-49,0)</f>
        <v>1910</v>
      </c>
      <c r="J111" s="684">
        <f t="shared" si="24"/>
        <v>2117.4921141893815</v>
      </c>
      <c r="K111" s="9">
        <f t="shared" si="25"/>
        <v>0.90201044301465383</v>
      </c>
      <c r="L111" s="14">
        <f t="shared" si="26"/>
        <v>6801.8297532450042</v>
      </c>
      <c r="M111" s="684">
        <f t="shared" si="27"/>
        <v>5042.1230407548246</v>
      </c>
      <c r="N111" s="684">
        <f t="shared" si="12"/>
        <v>2117.4921141893815</v>
      </c>
      <c r="O111" s="684">
        <f t="shared" si="13"/>
        <v>0.94559805915299533</v>
      </c>
      <c r="P111" s="684">
        <f t="shared" si="14"/>
        <v>10.083742298641646</v>
      </c>
      <c r="Q111" s="684">
        <f t="shared" si="18"/>
        <v>5.4956510540412618E-3</v>
      </c>
      <c r="R111" s="684">
        <f t="shared" si="19"/>
        <v>5.2804504690490139E-3</v>
      </c>
      <c r="S111" s="684">
        <f t="shared" si="15"/>
        <v>10.085660395883616</v>
      </c>
      <c r="T111" s="684">
        <f t="shared" si="16"/>
        <v>10.49669351321881</v>
      </c>
      <c r="U111" s="14">
        <f t="shared" si="17"/>
        <v>1910</v>
      </c>
      <c r="V111" s="982">
        <v>1497.0000000000002</v>
      </c>
      <c r="W111" s="982">
        <v>3493.0000000000009</v>
      </c>
      <c r="X111" s="982">
        <v>4990.0000000000009</v>
      </c>
      <c r="Y111">
        <v>1500</v>
      </c>
      <c r="Z111">
        <v>3500</v>
      </c>
      <c r="AA111">
        <v>5000</v>
      </c>
      <c r="AB111">
        <v>1500</v>
      </c>
      <c r="AC111">
        <v>3500</v>
      </c>
      <c r="AD111">
        <v>5000</v>
      </c>
      <c r="AE111" s="143">
        <v>1500</v>
      </c>
      <c r="AF111" s="143">
        <v>1500</v>
      </c>
      <c r="AG111" s="143">
        <v>750</v>
      </c>
      <c r="AH111" s="143">
        <v>900</v>
      </c>
      <c r="AI111" s="996">
        <v>900</v>
      </c>
      <c r="AJ111" s="143">
        <v>5000</v>
      </c>
      <c r="AK111" s="143">
        <v>1294</v>
      </c>
      <c r="AL111" s="143">
        <v>2500</v>
      </c>
      <c r="AM111" s="143">
        <v>2500</v>
      </c>
      <c r="AN111" s="143">
        <v>2500</v>
      </c>
      <c r="AO111" s="143">
        <v>2500</v>
      </c>
      <c r="AP111" s="143">
        <v>2000</v>
      </c>
      <c r="AQ111" s="143">
        <v>2000</v>
      </c>
      <c r="AR111" s="143">
        <v>2000</v>
      </c>
      <c r="AS111" s="143">
        <v>2000</v>
      </c>
      <c r="AT111" s="143">
        <v>550</v>
      </c>
      <c r="AU111" s="143">
        <v>750</v>
      </c>
      <c r="AV111" s="143">
        <v>1520</v>
      </c>
      <c r="AW111" s="143">
        <v>1500</v>
      </c>
      <c r="AX111" s="143">
        <v>2500</v>
      </c>
      <c r="AY111" s="143">
        <v>2500</v>
      </c>
      <c r="AZ111" s="143">
        <v>2500</v>
      </c>
      <c r="BA111" s="143">
        <v>800</v>
      </c>
      <c r="BB111" s="143">
        <v>849</v>
      </c>
      <c r="BC111" s="143">
        <v>1995</v>
      </c>
      <c r="BD111" s="143">
        <v>1998.9</v>
      </c>
      <c r="BE111" s="143">
        <v>1999.6</v>
      </c>
      <c r="BF111" s="143">
        <v>1500</v>
      </c>
      <c r="BG111" s="143">
        <v>1500</v>
      </c>
      <c r="BH111" s="143">
        <v>1500</v>
      </c>
      <c r="BI111" s="143">
        <v>2500</v>
      </c>
      <c r="BJ111" s="996">
        <v>1000</v>
      </c>
      <c r="BK111" s="143">
        <v>999.22</v>
      </c>
      <c r="BL111" s="143">
        <v>2400</v>
      </c>
      <c r="BM111" s="143">
        <v>2400</v>
      </c>
      <c r="BN111" s="143">
        <v>5000</v>
      </c>
      <c r="BO111" s="143">
        <v>738.1</v>
      </c>
      <c r="BP111" s="143">
        <v>749.21</v>
      </c>
      <c r="BQ111" s="143">
        <v>895.45</v>
      </c>
      <c r="BR111" s="143">
        <v>1500</v>
      </c>
      <c r="BS111" s="143">
        <v>1650</v>
      </c>
      <c r="BT111" s="143">
        <v>619.49</v>
      </c>
      <c r="BU111" s="143">
        <v>1301</v>
      </c>
      <c r="BV111" s="143">
        <v>2300</v>
      </c>
      <c r="BW111" s="143">
        <v>2500</v>
      </c>
      <c r="BX111" s="143">
        <v>2500</v>
      </c>
      <c r="BY111" s="143">
        <v>2500</v>
      </c>
      <c r="BZ111" s="996">
        <v>2500</v>
      </c>
      <c r="CA111" s="143">
        <v>1650</v>
      </c>
      <c r="CB111">
        <v>1650</v>
      </c>
      <c r="CC111" s="143">
        <v>2050</v>
      </c>
      <c r="CD111" s="143">
        <v>2050</v>
      </c>
      <c r="CE111" s="143">
        <v>3300</v>
      </c>
      <c r="CF111" s="143">
        <v>5000</v>
      </c>
      <c r="CG111" s="143">
        <v>2300</v>
      </c>
      <c r="CH111" s="143">
        <v>3600</v>
      </c>
      <c r="CI111" s="143">
        <v>2300</v>
      </c>
      <c r="CJ111" s="143">
        <v>2300</v>
      </c>
      <c r="CK111" s="143">
        <v>2300</v>
      </c>
      <c r="CL111" s="143">
        <v>2300</v>
      </c>
      <c r="CM111" s="143">
        <v>3600</v>
      </c>
      <c r="CN111" s="143">
        <v>950</v>
      </c>
      <c r="CO111" s="143">
        <v>1250</v>
      </c>
      <c r="CP111" s="143">
        <v>2100</v>
      </c>
      <c r="CQ111" s="143">
        <v>600</v>
      </c>
      <c r="CR111" s="143">
        <v>1500</v>
      </c>
      <c r="CS111" s="143">
        <v>616.46</v>
      </c>
      <c r="CT111" s="143">
        <v>609.29999999999995</v>
      </c>
      <c r="CU111" s="143">
        <v>594</v>
      </c>
      <c r="CV111" s="143">
        <v>594</v>
      </c>
      <c r="CW111" s="14">
        <v>660</v>
      </c>
      <c r="CX111" s="14">
        <v>1650</v>
      </c>
      <c r="CY111" s="14">
        <v>1802</v>
      </c>
      <c r="CZ111" s="670">
        <v>1970</v>
      </c>
      <c r="DA111" s="670">
        <v>2000</v>
      </c>
      <c r="DB111" s="670">
        <v>1800</v>
      </c>
      <c r="DC111">
        <v>2000</v>
      </c>
      <c r="DD111">
        <v>1800</v>
      </c>
      <c r="DE111">
        <v>2000</v>
      </c>
      <c r="DF111">
        <v>3000</v>
      </c>
      <c r="DG111">
        <v>1800</v>
      </c>
      <c r="DH111">
        <v>2000</v>
      </c>
      <c r="DI111">
        <v>1800</v>
      </c>
      <c r="DJ111">
        <v>2600</v>
      </c>
      <c r="DK111">
        <v>3000</v>
      </c>
      <c r="DL111">
        <v>3000</v>
      </c>
      <c r="DM111">
        <v>818.3</v>
      </c>
      <c r="DN111">
        <v>1529.6</v>
      </c>
      <c r="DO111">
        <v>3000</v>
      </c>
      <c r="DP111">
        <v>7000</v>
      </c>
      <c r="DQ111">
        <v>15</v>
      </c>
    </row>
    <row r="112" spans="1:121" x14ac:dyDescent="0.2">
      <c r="A112" s="14">
        <v>15.25</v>
      </c>
      <c r="B112" s="684">
        <f t="shared" si="20"/>
        <v>1.9468367775598305E-2</v>
      </c>
      <c r="C112" s="684">
        <f t="shared" si="21"/>
        <v>1.9468367775598301E-2</v>
      </c>
      <c r="D112" s="684">
        <f t="shared" si="9"/>
        <v>4.8670919438995753E-3</v>
      </c>
      <c r="E112" s="684">
        <f t="shared" si="22"/>
        <v>175.44840073923226</v>
      </c>
      <c r="F112" s="684">
        <f t="shared" si="23"/>
        <v>125.51701975007649</v>
      </c>
      <c r="G112" s="684">
        <f t="shared" si="10"/>
        <v>37.184582451392757</v>
      </c>
      <c r="H112" s="684">
        <f t="shared" si="11"/>
        <v>9.2961456128481892</v>
      </c>
      <c r="I112" s="1052">
        <f>HLOOKUP('Input &amp; Summary'!$B$6,TurbineProfiles,ROW(I112)-49,0)</f>
        <v>1910</v>
      </c>
      <c r="J112" s="684">
        <f t="shared" si="24"/>
        <v>2117.4921141893815</v>
      </c>
      <c r="K112" s="9">
        <f t="shared" si="25"/>
        <v>0.90201044301465383</v>
      </c>
      <c r="L112" s="14">
        <f t="shared" si="26"/>
        <v>7147.6209223208543</v>
      </c>
      <c r="M112" s="684">
        <f t="shared" si="27"/>
        <v>5193.4584903462564</v>
      </c>
      <c r="N112" s="684">
        <f t="shared" si="12"/>
        <v>2117.4921141893815</v>
      </c>
      <c r="O112" s="684">
        <f t="shared" si="13"/>
        <v>0.95066933286378963</v>
      </c>
      <c r="P112" s="684">
        <f t="shared" si="14"/>
        <v>9.2961456128481892</v>
      </c>
      <c r="Q112" s="684">
        <f t="shared" si="18"/>
        <v>5.0712737107942996E-3</v>
      </c>
      <c r="R112" s="684">
        <f t="shared" si="19"/>
        <v>4.8680819421834665E-3</v>
      </c>
      <c r="S112" s="684">
        <f t="shared" si="15"/>
        <v>9.2980365095704212</v>
      </c>
      <c r="T112" s="684">
        <f t="shared" si="16"/>
        <v>9.6861327876171117</v>
      </c>
      <c r="U112" s="14">
        <f t="shared" si="17"/>
        <v>1910</v>
      </c>
      <c r="V112" s="982">
        <v>1497.3750000000005</v>
      </c>
      <c r="W112" s="982">
        <v>3493.8750000000005</v>
      </c>
      <c r="X112" s="982">
        <v>4991.2500000000009</v>
      </c>
      <c r="Y112">
        <v>1500</v>
      </c>
      <c r="Z112">
        <v>3500</v>
      </c>
      <c r="AA112">
        <v>5000</v>
      </c>
      <c r="AB112">
        <v>1500</v>
      </c>
      <c r="AC112">
        <v>3500</v>
      </c>
      <c r="AD112">
        <v>5000</v>
      </c>
      <c r="AE112" s="143">
        <v>1500</v>
      </c>
      <c r="AF112" s="143">
        <v>1500</v>
      </c>
      <c r="AG112" s="143">
        <v>750</v>
      </c>
      <c r="AH112" s="143">
        <v>900</v>
      </c>
      <c r="AI112" s="996">
        <v>900</v>
      </c>
      <c r="AJ112" s="143">
        <v>5000</v>
      </c>
      <c r="AK112" s="143">
        <v>1295</v>
      </c>
      <c r="AL112" s="143">
        <v>2500</v>
      </c>
      <c r="AM112" s="143">
        <v>2500</v>
      </c>
      <c r="AN112" s="143">
        <v>2500</v>
      </c>
      <c r="AO112" s="143">
        <v>2500</v>
      </c>
      <c r="AP112" s="143">
        <v>2000</v>
      </c>
      <c r="AQ112" s="143">
        <v>2000</v>
      </c>
      <c r="AR112" s="143">
        <v>2000</v>
      </c>
      <c r="AS112" s="143">
        <v>2000</v>
      </c>
      <c r="AT112" s="143">
        <v>550</v>
      </c>
      <c r="AU112" s="143">
        <v>750</v>
      </c>
      <c r="AV112" s="143">
        <v>1520</v>
      </c>
      <c r="AW112" s="143">
        <v>1500</v>
      </c>
      <c r="AX112" s="143">
        <v>2500</v>
      </c>
      <c r="AY112" s="143">
        <v>2500</v>
      </c>
      <c r="AZ112" s="143">
        <v>2500</v>
      </c>
      <c r="BA112" s="143">
        <v>800</v>
      </c>
      <c r="BB112" s="143">
        <v>849.25</v>
      </c>
      <c r="BC112" s="143">
        <v>1996</v>
      </c>
      <c r="BD112" s="143">
        <v>1999.125</v>
      </c>
      <c r="BE112" s="143">
        <v>1999.675</v>
      </c>
      <c r="BF112" s="143">
        <v>1500</v>
      </c>
      <c r="BG112" s="143">
        <v>1500</v>
      </c>
      <c r="BH112" s="143">
        <v>1500</v>
      </c>
      <c r="BI112" s="143">
        <v>2500</v>
      </c>
      <c r="BJ112" s="996">
        <v>1000</v>
      </c>
      <c r="BK112" s="143">
        <v>1000</v>
      </c>
      <c r="BL112" s="143">
        <v>2400</v>
      </c>
      <c r="BM112" s="143">
        <v>2400</v>
      </c>
      <c r="BN112" s="143">
        <v>5000</v>
      </c>
      <c r="BO112" s="143">
        <v>745.81</v>
      </c>
      <c r="BP112" s="143">
        <v>749.27</v>
      </c>
      <c r="BQ112" s="143">
        <v>899.51</v>
      </c>
      <c r="BR112" s="143">
        <v>1500</v>
      </c>
      <c r="BS112" s="143">
        <v>1650</v>
      </c>
      <c r="BT112" s="143">
        <v>618.89750000000004</v>
      </c>
      <c r="BU112" s="143">
        <v>1311.75</v>
      </c>
      <c r="BV112" s="143">
        <v>2300</v>
      </c>
      <c r="BW112" s="143">
        <v>2500</v>
      </c>
      <c r="BX112" s="143">
        <v>2500</v>
      </c>
      <c r="BY112" s="143">
        <v>2500</v>
      </c>
      <c r="BZ112" s="996">
        <v>2500</v>
      </c>
      <c r="CA112" s="143">
        <v>1650</v>
      </c>
      <c r="CB112">
        <v>1650</v>
      </c>
      <c r="CC112" s="143">
        <v>2050</v>
      </c>
      <c r="CD112" s="143">
        <v>2050</v>
      </c>
      <c r="CE112" s="143">
        <v>3300</v>
      </c>
      <c r="CF112" s="143">
        <v>5000</v>
      </c>
      <c r="CG112" s="143">
        <v>2300</v>
      </c>
      <c r="CH112" s="143">
        <v>3600</v>
      </c>
      <c r="CI112" s="143">
        <v>2300</v>
      </c>
      <c r="CJ112" s="143">
        <v>2300</v>
      </c>
      <c r="CK112" s="143">
        <v>2300</v>
      </c>
      <c r="CL112" s="143">
        <v>2300</v>
      </c>
      <c r="CM112" s="143">
        <v>3600</v>
      </c>
      <c r="CN112" s="143">
        <v>950</v>
      </c>
      <c r="CO112" s="143">
        <v>1250</v>
      </c>
      <c r="CP112" s="143">
        <v>2100</v>
      </c>
      <c r="CQ112" s="143">
        <v>600</v>
      </c>
      <c r="CR112" s="143">
        <v>1500</v>
      </c>
      <c r="CS112" s="143">
        <v>616.46</v>
      </c>
      <c r="CT112" s="143">
        <v>611.02499999999998</v>
      </c>
      <c r="CU112" s="143">
        <v>595</v>
      </c>
      <c r="CV112" s="143">
        <v>595</v>
      </c>
      <c r="CW112" s="14">
        <v>660</v>
      </c>
      <c r="CX112" s="14">
        <v>1650</v>
      </c>
      <c r="CY112" s="14">
        <v>1802</v>
      </c>
      <c r="CZ112" s="670">
        <v>1980</v>
      </c>
      <c r="DA112" s="670">
        <v>2000</v>
      </c>
      <c r="DB112" s="670">
        <v>1800</v>
      </c>
      <c r="DC112">
        <v>2000</v>
      </c>
      <c r="DD112">
        <v>1800</v>
      </c>
      <c r="DE112">
        <v>2000</v>
      </c>
      <c r="DF112">
        <v>3000</v>
      </c>
      <c r="DG112">
        <v>1800</v>
      </c>
      <c r="DH112">
        <v>2000</v>
      </c>
      <c r="DI112">
        <v>1800</v>
      </c>
      <c r="DJ112">
        <v>2600</v>
      </c>
      <c r="DK112">
        <v>3000</v>
      </c>
      <c r="DL112">
        <v>3000</v>
      </c>
      <c r="DM112">
        <v>827.58</v>
      </c>
      <c r="DN112">
        <v>1547.8</v>
      </c>
      <c r="DO112">
        <v>3000</v>
      </c>
      <c r="DP112">
        <v>7000</v>
      </c>
      <c r="DQ112">
        <v>15.25</v>
      </c>
    </row>
    <row r="113" spans="1:121" x14ac:dyDescent="0.2">
      <c r="A113" s="14">
        <v>15.5</v>
      </c>
      <c r="B113" s="684">
        <f t="shared" si="20"/>
        <v>1.7913958130468383E-2</v>
      </c>
      <c r="C113" s="684">
        <f t="shared" si="21"/>
        <v>1.7913958130468373E-2</v>
      </c>
      <c r="D113" s="684">
        <f t="shared" si="9"/>
        <v>4.4784895326170932E-3</v>
      </c>
      <c r="E113" s="684">
        <f t="shared" si="22"/>
        <v>169.51065041045652</v>
      </c>
      <c r="F113" s="684">
        <f t="shared" si="23"/>
        <v>121.26911140695236</v>
      </c>
      <c r="G113" s="684">
        <f t="shared" si="10"/>
        <v>34.215660029194595</v>
      </c>
      <c r="H113" s="684">
        <f t="shared" si="11"/>
        <v>8.5539150072986487</v>
      </c>
      <c r="I113" s="1052">
        <f>HLOOKUP('Input &amp; Summary'!$B$6,TurbineProfiles,ROW(I113)-49,0)</f>
        <v>1910</v>
      </c>
      <c r="J113" s="684">
        <f t="shared" si="24"/>
        <v>2117.4921141893815</v>
      </c>
      <c r="K113" s="9">
        <f t="shared" si="25"/>
        <v>0.90201044301465383</v>
      </c>
      <c r="L113" s="14">
        <f t="shared" si="26"/>
        <v>7504.9374140341461</v>
      </c>
      <c r="M113" s="684">
        <f t="shared" si="27"/>
        <v>5344.7939399376883</v>
      </c>
      <c r="N113" s="684">
        <f t="shared" si="12"/>
        <v>2117.4921141893815</v>
      </c>
      <c r="O113" s="684">
        <f t="shared" si="13"/>
        <v>0.95534016160045099</v>
      </c>
      <c r="P113" s="684">
        <f t="shared" si="14"/>
        <v>8.5539150072986487</v>
      </c>
      <c r="Q113" s="684">
        <f t="shared" si="18"/>
        <v>4.6708287366613588E-3</v>
      </c>
      <c r="R113" s="684">
        <f t="shared" si="19"/>
        <v>4.4794605335222171E-3</v>
      </c>
      <c r="S113" s="684">
        <f t="shared" si="15"/>
        <v>8.5557696190274353</v>
      </c>
      <c r="T113" s="684">
        <f t="shared" si="16"/>
        <v>8.9212828870231959</v>
      </c>
      <c r="U113" s="14">
        <f t="shared" si="17"/>
        <v>1910</v>
      </c>
      <c r="V113" s="982">
        <v>1497.7500000000005</v>
      </c>
      <c r="W113" s="982">
        <v>3494.7500000000009</v>
      </c>
      <c r="X113" s="982">
        <v>4992.5000000000009</v>
      </c>
      <c r="Y113">
        <v>1500</v>
      </c>
      <c r="Z113">
        <v>3500</v>
      </c>
      <c r="AA113">
        <v>5000</v>
      </c>
      <c r="AB113">
        <v>1500</v>
      </c>
      <c r="AC113">
        <v>3500</v>
      </c>
      <c r="AD113">
        <v>5000</v>
      </c>
      <c r="AE113" s="143">
        <v>1500</v>
      </c>
      <c r="AF113" s="143">
        <v>1500</v>
      </c>
      <c r="AG113" s="143">
        <v>750</v>
      </c>
      <c r="AH113" s="143">
        <v>900</v>
      </c>
      <c r="AI113" s="996">
        <v>900</v>
      </c>
      <c r="AJ113" s="143">
        <v>5000</v>
      </c>
      <c r="AK113" s="143">
        <v>1295.75</v>
      </c>
      <c r="AL113" s="143">
        <v>2500</v>
      </c>
      <c r="AM113" s="143">
        <v>2500</v>
      </c>
      <c r="AN113" s="143">
        <v>2500</v>
      </c>
      <c r="AO113" s="143">
        <v>2500</v>
      </c>
      <c r="AP113" s="143">
        <v>2000</v>
      </c>
      <c r="AQ113" s="143">
        <v>2000</v>
      </c>
      <c r="AR113" s="143">
        <v>2000</v>
      </c>
      <c r="AS113" s="143">
        <v>2000</v>
      </c>
      <c r="AT113" s="143">
        <v>550</v>
      </c>
      <c r="AU113" s="143">
        <v>750</v>
      </c>
      <c r="AV113" s="143">
        <v>1520</v>
      </c>
      <c r="AW113" s="143">
        <v>1500</v>
      </c>
      <c r="AX113" s="143">
        <v>2500</v>
      </c>
      <c r="AY113" s="143">
        <v>2500</v>
      </c>
      <c r="AZ113" s="143">
        <v>2500</v>
      </c>
      <c r="BA113" s="143">
        <v>800</v>
      </c>
      <c r="BB113" s="143">
        <v>849.5</v>
      </c>
      <c r="BC113" s="143">
        <v>1997</v>
      </c>
      <c r="BD113" s="143">
        <v>1999.35</v>
      </c>
      <c r="BE113" s="143">
        <v>1999.75</v>
      </c>
      <c r="BF113" s="143">
        <v>1500</v>
      </c>
      <c r="BG113" s="143">
        <v>1500</v>
      </c>
      <c r="BH113" s="143">
        <v>1500</v>
      </c>
      <c r="BI113" s="143">
        <v>2500</v>
      </c>
      <c r="BJ113" s="996">
        <v>1000</v>
      </c>
      <c r="BK113" s="143">
        <v>1000</v>
      </c>
      <c r="BL113" s="143">
        <v>2400</v>
      </c>
      <c r="BM113" s="143">
        <v>2400</v>
      </c>
      <c r="BN113" s="143">
        <v>5000</v>
      </c>
      <c r="BO113" s="143">
        <v>749.71</v>
      </c>
      <c r="BP113" s="143">
        <v>752.2</v>
      </c>
      <c r="BQ113" s="143">
        <v>901.56</v>
      </c>
      <c r="BR113" s="143">
        <v>1500</v>
      </c>
      <c r="BS113" s="143">
        <v>1650</v>
      </c>
      <c r="BT113" s="143">
        <v>618.30500000000006</v>
      </c>
      <c r="BU113" s="143">
        <v>1322.5</v>
      </c>
      <c r="BV113" s="143">
        <v>2300</v>
      </c>
      <c r="BW113" s="143">
        <v>2500</v>
      </c>
      <c r="BX113" s="143">
        <v>2500</v>
      </c>
      <c r="BY113" s="143">
        <v>2500</v>
      </c>
      <c r="BZ113" s="996">
        <v>2500</v>
      </c>
      <c r="CA113" s="143">
        <v>1650</v>
      </c>
      <c r="CB113">
        <v>1650</v>
      </c>
      <c r="CC113" s="143">
        <v>2050</v>
      </c>
      <c r="CD113" s="143">
        <v>2050</v>
      </c>
      <c r="CE113" s="143">
        <v>3300</v>
      </c>
      <c r="CF113" s="143">
        <v>5000</v>
      </c>
      <c r="CG113" s="143">
        <v>2300</v>
      </c>
      <c r="CH113" s="143">
        <v>3600</v>
      </c>
      <c r="CI113" s="143">
        <v>2300</v>
      </c>
      <c r="CJ113" s="143">
        <v>2300</v>
      </c>
      <c r="CK113" s="143">
        <v>2300</v>
      </c>
      <c r="CL113" s="143">
        <v>2300</v>
      </c>
      <c r="CM113" s="143">
        <v>3600</v>
      </c>
      <c r="CN113" s="143">
        <v>950</v>
      </c>
      <c r="CO113" s="143">
        <v>1250</v>
      </c>
      <c r="CP113" s="143">
        <v>2100</v>
      </c>
      <c r="CQ113" s="143">
        <v>600</v>
      </c>
      <c r="CR113" s="143">
        <v>1500</v>
      </c>
      <c r="CS113" s="143">
        <v>616.46</v>
      </c>
      <c r="CT113" s="143">
        <v>612.75</v>
      </c>
      <c r="CU113" s="143">
        <v>596</v>
      </c>
      <c r="CV113" s="143">
        <v>596</v>
      </c>
      <c r="CW113" s="14">
        <v>660</v>
      </c>
      <c r="CX113" s="14">
        <v>1650</v>
      </c>
      <c r="CY113" s="14">
        <v>1802</v>
      </c>
      <c r="CZ113" s="670">
        <v>1985</v>
      </c>
      <c r="DA113" s="670">
        <v>2000</v>
      </c>
      <c r="DB113" s="670">
        <v>1800</v>
      </c>
      <c r="DC113">
        <v>2000</v>
      </c>
      <c r="DD113">
        <v>1800</v>
      </c>
      <c r="DE113">
        <v>2000</v>
      </c>
      <c r="DF113">
        <v>3000</v>
      </c>
      <c r="DG113">
        <v>1800</v>
      </c>
      <c r="DH113">
        <v>2000</v>
      </c>
      <c r="DI113">
        <v>1800</v>
      </c>
      <c r="DJ113">
        <v>2600</v>
      </c>
      <c r="DK113">
        <v>3000</v>
      </c>
      <c r="DL113">
        <v>3000</v>
      </c>
      <c r="DM113">
        <v>836.88</v>
      </c>
      <c r="DN113">
        <v>1566</v>
      </c>
      <c r="DO113">
        <v>3000</v>
      </c>
      <c r="DP113">
        <v>7000</v>
      </c>
      <c r="DQ113">
        <v>15.5</v>
      </c>
    </row>
    <row r="114" spans="1:121" x14ac:dyDescent="0.2">
      <c r="A114" s="14">
        <v>15.75</v>
      </c>
      <c r="B114" s="684">
        <f t="shared" si="20"/>
        <v>1.6452736291656622E-2</v>
      </c>
      <c r="C114" s="684">
        <f t="shared" si="21"/>
        <v>1.6452736291656625E-2</v>
      </c>
      <c r="D114" s="684">
        <f t="shared" si="9"/>
        <v>4.1131840729141562E-3</v>
      </c>
      <c r="E114" s="684">
        <f t="shared" si="22"/>
        <v>163.33909766890721</v>
      </c>
      <c r="F114" s="684">
        <f t="shared" si="23"/>
        <v>116.85393917348749</v>
      </c>
      <c r="G114" s="684">
        <f t="shared" si="10"/>
        <v>31.424726317064152</v>
      </c>
      <c r="H114" s="684">
        <f t="shared" si="11"/>
        <v>7.8561815792660381</v>
      </c>
      <c r="I114" s="1052">
        <f>HLOOKUP('Input &amp; Summary'!$B$6,TurbineProfiles,ROW(I114)-49,0)</f>
        <v>1910</v>
      </c>
      <c r="J114" s="684">
        <f t="shared" si="24"/>
        <v>2117.4921141893815</v>
      </c>
      <c r="K114" s="9">
        <f t="shared" si="25"/>
        <v>0.90201044301465383</v>
      </c>
      <c r="L114" s="14">
        <f t="shared" si="26"/>
        <v>7873.9681681002503</v>
      </c>
      <c r="M114" s="684">
        <f t="shared" si="27"/>
        <v>5496.129389529121</v>
      </c>
      <c r="N114" s="684">
        <f t="shared" si="12"/>
        <v>2117.4921141893815</v>
      </c>
      <c r="O114" s="684">
        <f t="shared" si="13"/>
        <v>0.95963407868863926</v>
      </c>
      <c r="P114" s="684">
        <f t="shared" si="14"/>
        <v>7.8561815792660381</v>
      </c>
      <c r="Q114" s="684">
        <f t="shared" si="18"/>
        <v>4.2939170881882704E-3</v>
      </c>
      <c r="R114" s="684">
        <f t="shared" si="19"/>
        <v>4.1141319164602619E-3</v>
      </c>
      <c r="S114" s="684">
        <f t="shared" si="15"/>
        <v>7.8579919604391</v>
      </c>
      <c r="T114" s="684">
        <f t="shared" si="16"/>
        <v>8.2013816384395959</v>
      </c>
      <c r="U114" s="14">
        <f t="shared" si="17"/>
        <v>1910</v>
      </c>
      <c r="V114" s="982">
        <v>1498.1250000000002</v>
      </c>
      <c r="W114" s="982">
        <v>3495.6250000000005</v>
      </c>
      <c r="X114" s="982">
        <v>4993.75</v>
      </c>
      <c r="Y114">
        <v>1500</v>
      </c>
      <c r="Z114">
        <v>3500</v>
      </c>
      <c r="AA114">
        <v>5000</v>
      </c>
      <c r="AB114">
        <v>1500</v>
      </c>
      <c r="AC114">
        <v>3500</v>
      </c>
      <c r="AD114">
        <v>5000</v>
      </c>
      <c r="AE114" s="143">
        <v>1500</v>
      </c>
      <c r="AF114" s="143">
        <v>1500</v>
      </c>
      <c r="AG114" s="143">
        <v>750</v>
      </c>
      <c r="AH114" s="143">
        <v>900</v>
      </c>
      <c r="AI114" s="996">
        <v>900</v>
      </c>
      <c r="AJ114" s="143">
        <v>5000</v>
      </c>
      <c r="AK114" s="143">
        <v>1296.5</v>
      </c>
      <c r="AL114" s="143">
        <v>2500</v>
      </c>
      <c r="AM114" s="143">
        <v>2500</v>
      </c>
      <c r="AN114" s="143">
        <v>2500</v>
      </c>
      <c r="AO114" s="143">
        <v>2500</v>
      </c>
      <c r="AP114" s="143">
        <v>2000</v>
      </c>
      <c r="AQ114" s="143">
        <v>2000</v>
      </c>
      <c r="AR114" s="143">
        <v>2000</v>
      </c>
      <c r="AS114" s="143">
        <v>2000</v>
      </c>
      <c r="AT114" s="143">
        <v>550</v>
      </c>
      <c r="AU114" s="143">
        <v>750</v>
      </c>
      <c r="AV114" s="143">
        <v>1520</v>
      </c>
      <c r="AW114" s="143">
        <v>1500</v>
      </c>
      <c r="AX114" s="143">
        <v>2500</v>
      </c>
      <c r="AY114" s="143">
        <v>2500</v>
      </c>
      <c r="AZ114" s="143">
        <v>2500</v>
      </c>
      <c r="BA114" s="143">
        <v>800</v>
      </c>
      <c r="BB114" s="143">
        <v>849.75</v>
      </c>
      <c r="BC114" s="143">
        <v>1998</v>
      </c>
      <c r="BD114" s="143">
        <v>1999.5749999999998</v>
      </c>
      <c r="BE114" s="143">
        <v>1999.825</v>
      </c>
      <c r="BF114" s="143">
        <v>1500</v>
      </c>
      <c r="BG114" s="143">
        <v>1500</v>
      </c>
      <c r="BH114" s="143">
        <v>1500</v>
      </c>
      <c r="BI114" s="143">
        <v>2500</v>
      </c>
      <c r="BJ114" s="996">
        <v>1000</v>
      </c>
      <c r="BK114" s="143">
        <v>1000</v>
      </c>
      <c r="BL114" s="143">
        <v>2400</v>
      </c>
      <c r="BM114" s="143">
        <v>2400</v>
      </c>
      <c r="BN114" s="143">
        <v>5000</v>
      </c>
      <c r="BO114" s="143">
        <v>749.8</v>
      </c>
      <c r="BP114" s="143">
        <v>752.26</v>
      </c>
      <c r="BQ114" s="143">
        <v>901.6</v>
      </c>
      <c r="BR114" s="143">
        <v>1500</v>
      </c>
      <c r="BS114" s="143">
        <v>1650</v>
      </c>
      <c r="BT114" s="143">
        <v>617.71250000000009</v>
      </c>
      <c r="BU114" s="143">
        <v>1333.25</v>
      </c>
      <c r="BV114" s="143">
        <v>2300</v>
      </c>
      <c r="BW114" s="143">
        <v>2500</v>
      </c>
      <c r="BX114" s="143">
        <v>2500</v>
      </c>
      <c r="BY114" s="143">
        <v>2500</v>
      </c>
      <c r="BZ114" s="996">
        <v>2500</v>
      </c>
      <c r="CA114" s="143">
        <v>1650</v>
      </c>
      <c r="CB114">
        <v>1650</v>
      </c>
      <c r="CC114" s="143">
        <v>2050</v>
      </c>
      <c r="CD114" s="143">
        <v>2050</v>
      </c>
      <c r="CE114" s="143">
        <v>3300</v>
      </c>
      <c r="CF114" s="143">
        <v>5000</v>
      </c>
      <c r="CG114" s="143">
        <v>2300</v>
      </c>
      <c r="CH114" s="143">
        <v>3600</v>
      </c>
      <c r="CI114" s="143">
        <v>2300</v>
      </c>
      <c r="CJ114" s="143">
        <v>2300</v>
      </c>
      <c r="CK114" s="143">
        <v>2300</v>
      </c>
      <c r="CL114" s="143">
        <v>2300</v>
      </c>
      <c r="CM114" s="143">
        <v>3600</v>
      </c>
      <c r="CN114" s="143">
        <v>950</v>
      </c>
      <c r="CO114" s="143">
        <v>1250</v>
      </c>
      <c r="CP114" s="143">
        <v>2100</v>
      </c>
      <c r="CQ114" s="143">
        <v>600</v>
      </c>
      <c r="CR114" s="143">
        <v>1500</v>
      </c>
      <c r="CS114" s="143">
        <v>616.46</v>
      </c>
      <c r="CT114" s="143">
        <v>614.47500000000002</v>
      </c>
      <c r="CU114" s="143">
        <v>597</v>
      </c>
      <c r="CV114" s="143">
        <v>597</v>
      </c>
      <c r="CW114" s="14">
        <v>660</v>
      </c>
      <c r="CX114" s="14">
        <v>1650</v>
      </c>
      <c r="CY114" s="14">
        <v>1802</v>
      </c>
      <c r="CZ114" s="670">
        <v>1990</v>
      </c>
      <c r="DA114" s="670">
        <v>2000</v>
      </c>
      <c r="DB114" s="670">
        <v>1800</v>
      </c>
      <c r="DC114">
        <v>2000</v>
      </c>
      <c r="DD114">
        <v>1800</v>
      </c>
      <c r="DE114">
        <v>2000</v>
      </c>
      <c r="DF114">
        <v>3000</v>
      </c>
      <c r="DG114">
        <v>1800</v>
      </c>
      <c r="DH114">
        <v>2000</v>
      </c>
      <c r="DI114">
        <v>1800</v>
      </c>
      <c r="DJ114">
        <v>2600</v>
      </c>
      <c r="DK114">
        <v>3000</v>
      </c>
      <c r="DL114">
        <v>3000</v>
      </c>
      <c r="DM114">
        <v>846.14</v>
      </c>
      <c r="DN114">
        <v>1584.2</v>
      </c>
      <c r="DO114">
        <v>3000</v>
      </c>
      <c r="DP114">
        <v>7000</v>
      </c>
      <c r="DQ114">
        <v>15.75</v>
      </c>
    </row>
    <row r="115" spans="1:121" x14ac:dyDescent="0.2">
      <c r="A115" s="14">
        <v>16</v>
      </c>
      <c r="B115" s="684">
        <f t="shared" ref="B115:B146" si="28">((PI()*$A115)/(2*$B$16*$B$16))*EXP(((-PI()*$A115*$A115)/(4*$B$16*$B$16)))</f>
        <v>1.508248308333528E-2</v>
      </c>
      <c r="C115" s="684">
        <f t="shared" ref="C115:C146" si="29">WEIBULL(A115,$B$2,$B$16/EXP(GAMMALN(1+1/$B$2)),FALSE)</f>
        <v>1.5082483083335282E-2</v>
      </c>
      <c r="D115" s="684">
        <f t="shared" si="9"/>
        <v>3.7706207708338205E-3</v>
      </c>
      <c r="E115" s="684">
        <f t="shared" ref="E115:E146" si="30">((0.5*$B$15*0.25*PI()*$B$4^2*A115^3)*C115/(1000))*16/27</f>
        <v>156.97957023590959</v>
      </c>
      <c r="F115" s="684">
        <f t="shared" ref="F115:F146" si="31">((0.5*$B$15*0.25*PI()*$B$4^2*A115^3)*C115/(1000))*$B$7*K115</f>
        <v>112.30428852380662</v>
      </c>
      <c r="G115" s="684">
        <f t="shared" si="10"/>
        <v>28.80754268917039</v>
      </c>
      <c r="H115" s="684">
        <f t="shared" si="11"/>
        <v>7.2018856722925975</v>
      </c>
      <c r="I115" s="1052">
        <f>HLOOKUP('Input &amp; Summary'!$B$6,TurbineProfiles,ROW(I115)-49,0)</f>
        <v>1910</v>
      </c>
      <c r="J115" s="684">
        <f t="shared" ref="J115:J146" si="32">IF(AND(A115 &gt; $B$11,A115&lt;$B$12),IF(A115&gt;$B$18,N115,IF(A115&gt;=$O$25,M115,L115)),0)</f>
        <v>2117.4921141893815</v>
      </c>
      <c r="K115" s="9">
        <f t="shared" ref="K115:K146" si="33">IF(ISERROR(((J115/$B$17)-($B$19+$B$20*(J115/$B$17)+$B$21*(J115/$B$17)^2))/(J115/$B$17)),0,((J115/$B$17)-($B$19+$B$20*(J115/$B$17)+$B$21*(J115/$B$17)^2))/(J115/$B$17))</f>
        <v>0.90201044301465383</v>
      </c>
      <c r="L115" s="14">
        <f t="shared" ref="L115:L146" si="34">$I$28*(A115*$B$8/($B$4/2))^3/1000</f>
        <v>8254.9021242345316</v>
      </c>
      <c r="M115" s="684">
        <f t="shared" ref="M115:M146" si="35">IF(A115&gt;=$O$25,($B$17-$O$26)/($B$18-$O$25)*(A115-$O$25)+$O$26,0)</f>
        <v>5647.4648391205537</v>
      </c>
      <c r="N115" s="684">
        <f t="shared" si="12"/>
        <v>2117.4921141893815</v>
      </c>
      <c r="O115" s="684">
        <f t="shared" si="13"/>
        <v>0.9635741114204448</v>
      </c>
      <c r="P115" s="684">
        <f t="shared" si="14"/>
        <v>7.2018856722925975</v>
      </c>
      <c r="Q115" s="684">
        <f t="shared" si="18"/>
        <v>3.9400327318055428E-3</v>
      </c>
      <c r="R115" s="684">
        <f t="shared" si="19"/>
        <v>3.7715418748184293E-3</v>
      </c>
      <c r="S115" s="684">
        <f t="shared" si="15"/>
        <v>7.2036449809032002</v>
      </c>
      <c r="T115" s="684">
        <f t="shared" si="16"/>
        <v>7.5254625177485863</v>
      </c>
      <c r="U115" s="14">
        <f t="shared" si="17"/>
        <v>1910</v>
      </c>
      <c r="V115" s="982">
        <v>1498.5000000000002</v>
      </c>
      <c r="W115" s="982">
        <v>3496.5</v>
      </c>
      <c r="X115" s="982">
        <v>4995.0000000000009</v>
      </c>
      <c r="Y115">
        <v>1500</v>
      </c>
      <c r="Z115">
        <v>3500</v>
      </c>
      <c r="AA115">
        <v>5000</v>
      </c>
      <c r="AB115">
        <v>1500</v>
      </c>
      <c r="AC115">
        <v>3500</v>
      </c>
      <c r="AD115">
        <v>5000</v>
      </c>
      <c r="AE115" s="143">
        <v>1500</v>
      </c>
      <c r="AF115" s="143">
        <v>1500</v>
      </c>
      <c r="AG115" s="143">
        <v>750</v>
      </c>
      <c r="AH115" s="143">
        <v>900</v>
      </c>
      <c r="AI115" s="996">
        <v>900</v>
      </c>
      <c r="AJ115" s="143">
        <v>5000</v>
      </c>
      <c r="AK115" s="143">
        <v>1298</v>
      </c>
      <c r="AL115" s="143">
        <v>2500</v>
      </c>
      <c r="AM115" s="143">
        <v>2500</v>
      </c>
      <c r="AN115" s="143">
        <v>2500</v>
      </c>
      <c r="AO115" s="143">
        <v>2500</v>
      </c>
      <c r="AP115" s="143">
        <v>2000</v>
      </c>
      <c r="AQ115" s="143">
        <v>2000</v>
      </c>
      <c r="AR115" s="143">
        <v>2000</v>
      </c>
      <c r="AS115" s="143">
        <v>2000</v>
      </c>
      <c r="AT115" s="143">
        <v>550</v>
      </c>
      <c r="AU115" s="143">
        <v>750</v>
      </c>
      <c r="AV115" s="143">
        <v>1520</v>
      </c>
      <c r="AW115" s="143">
        <v>1500</v>
      </c>
      <c r="AX115" s="143">
        <v>2500</v>
      </c>
      <c r="AY115" s="143">
        <v>2500</v>
      </c>
      <c r="AZ115" s="143">
        <v>2500</v>
      </c>
      <c r="BA115" s="143">
        <v>800</v>
      </c>
      <c r="BB115" s="143">
        <v>850</v>
      </c>
      <c r="BC115" s="143">
        <v>1999</v>
      </c>
      <c r="BD115" s="143">
        <v>1999.8</v>
      </c>
      <c r="BE115" s="143">
        <v>1999.9</v>
      </c>
      <c r="BF115" s="143">
        <v>1500</v>
      </c>
      <c r="BG115" s="143">
        <v>1500</v>
      </c>
      <c r="BH115" s="143">
        <v>1500</v>
      </c>
      <c r="BI115" s="143">
        <v>2500</v>
      </c>
      <c r="BJ115" s="996">
        <v>1000</v>
      </c>
      <c r="BK115" s="143">
        <v>1000</v>
      </c>
      <c r="BL115" s="143">
        <v>2400</v>
      </c>
      <c r="BM115" s="143">
        <v>2400</v>
      </c>
      <c r="BN115" s="143">
        <v>5000</v>
      </c>
      <c r="BO115" s="143">
        <v>749.89</v>
      </c>
      <c r="BP115" s="143">
        <v>755.2</v>
      </c>
      <c r="BQ115" s="143">
        <v>901.65</v>
      </c>
      <c r="BR115" s="143">
        <v>1500</v>
      </c>
      <c r="BS115" s="143">
        <v>1650</v>
      </c>
      <c r="BT115" s="143">
        <v>617.12</v>
      </c>
      <c r="BU115" s="143">
        <v>1344</v>
      </c>
      <c r="BV115" s="143">
        <v>2300</v>
      </c>
      <c r="BW115" s="143">
        <v>2500</v>
      </c>
      <c r="BX115" s="143">
        <v>2500</v>
      </c>
      <c r="BY115" s="143">
        <v>2500</v>
      </c>
      <c r="BZ115" s="996">
        <v>2500</v>
      </c>
      <c r="CA115" s="143">
        <v>1650</v>
      </c>
      <c r="CB115">
        <v>1650</v>
      </c>
      <c r="CC115" s="143">
        <v>2050</v>
      </c>
      <c r="CD115" s="143">
        <v>2050</v>
      </c>
      <c r="CE115" s="143">
        <v>3300</v>
      </c>
      <c r="CF115" s="143">
        <v>5000</v>
      </c>
      <c r="CG115" s="143">
        <v>2300</v>
      </c>
      <c r="CH115" s="143">
        <v>3600</v>
      </c>
      <c r="CI115" s="143">
        <v>2300</v>
      </c>
      <c r="CJ115" s="143">
        <v>2300</v>
      </c>
      <c r="CK115" s="143">
        <v>2300</v>
      </c>
      <c r="CL115" s="143">
        <v>2300</v>
      </c>
      <c r="CM115" s="143">
        <v>3600</v>
      </c>
      <c r="CN115" s="143">
        <v>950</v>
      </c>
      <c r="CO115" s="143">
        <v>1250</v>
      </c>
      <c r="CP115" s="143">
        <v>2100</v>
      </c>
      <c r="CQ115" s="143">
        <v>600</v>
      </c>
      <c r="CR115" s="143">
        <v>1500</v>
      </c>
      <c r="CS115" s="143">
        <v>616.46</v>
      </c>
      <c r="CT115" s="143">
        <v>616.20000000000005</v>
      </c>
      <c r="CU115" s="143">
        <v>598</v>
      </c>
      <c r="CV115" s="143">
        <v>598</v>
      </c>
      <c r="CW115" s="14">
        <v>660</v>
      </c>
      <c r="CX115" s="14">
        <v>1650</v>
      </c>
      <c r="CY115" s="14">
        <v>1802</v>
      </c>
      <c r="CZ115" s="670">
        <v>2000</v>
      </c>
      <c r="DA115" s="670">
        <v>2000</v>
      </c>
      <c r="DB115" s="670">
        <v>1800</v>
      </c>
      <c r="DC115">
        <v>2000</v>
      </c>
      <c r="DD115">
        <v>1800</v>
      </c>
      <c r="DE115">
        <v>2000</v>
      </c>
      <c r="DF115">
        <v>3000</v>
      </c>
      <c r="DG115">
        <v>1800</v>
      </c>
      <c r="DH115">
        <v>2000</v>
      </c>
      <c r="DI115">
        <v>1800</v>
      </c>
      <c r="DJ115">
        <v>2600</v>
      </c>
      <c r="DK115">
        <v>3000</v>
      </c>
      <c r="DL115">
        <v>3000</v>
      </c>
      <c r="DM115">
        <v>850</v>
      </c>
      <c r="DN115">
        <v>1602.4</v>
      </c>
      <c r="DO115">
        <v>3000</v>
      </c>
      <c r="DP115">
        <v>7000</v>
      </c>
      <c r="DQ115">
        <v>16</v>
      </c>
    </row>
    <row r="116" spans="1:121" x14ac:dyDescent="0.2">
      <c r="A116" s="14">
        <v>16.25</v>
      </c>
      <c r="B116" s="684">
        <f t="shared" si="28"/>
        <v>1.3800635281904419E-2</v>
      </c>
      <c r="C116" s="684">
        <f t="shared" si="29"/>
        <v>1.380063528190441E-2</v>
      </c>
      <c r="D116" s="684">
        <f t="shared" ref="D116:D179" si="36">C116/4</f>
        <v>3.4501588204761025E-3</v>
      </c>
      <c r="E116" s="684">
        <f t="shared" si="30"/>
        <v>150.47678907866069</v>
      </c>
      <c r="F116" s="684">
        <f t="shared" si="31"/>
        <v>107.65215315234795</v>
      </c>
      <c r="G116" s="684">
        <f t="shared" ref="G116:G179" si="37">$I116*$C116</f>
        <v>26.359213388437421</v>
      </c>
      <c r="H116" s="684">
        <f t="shared" ref="H116:H179" si="38">G116/4</f>
        <v>6.5898033471093553</v>
      </c>
      <c r="I116" s="1052">
        <f>HLOOKUP('Input &amp; Summary'!$B$6,TurbineProfiles,ROW(I116)-49,0)</f>
        <v>1910</v>
      </c>
      <c r="J116" s="684">
        <f t="shared" si="32"/>
        <v>2117.4921141893815</v>
      </c>
      <c r="K116" s="9">
        <f t="shared" si="33"/>
        <v>0.90201044301465383</v>
      </c>
      <c r="L116" s="14">
        <f t="shared" si="34"/>
        <v>8647.9282221523572</v>
      </c>
      <c r="M116" s="684">
        <f t="shared" si="35"/>
        <v>5798.8002887119856</v>
      </c>
      <c r="N116" s="684">
        <f t="shared" ref="N116:N179" si="39">$B$17</f>
        <v>2117.4921141893815</v>
      </c>
      <c r="O116" s="684">
        <f t="shared" ref="O116:O179" si="40">WEIBULL(A116,$B$2,$B$16/EXP(GAMMALN(1+1/$B$2)),TRUE)</f>
        <v>0.96718268815450248</v>
      </c>
      <c r="P116" s="684">
        <f t="shared" ref="P116:P179" si="41">C116*I116*1/4</f>
        <v>6.5898033471093553</v>
      </c>
      <c r="Q116" s="684">
        <f t="shared" si="18"/>
        <v>3.608576734057678E-3</v>
      </c>
      <c r="R116" s="684">
        <f t="shared" si="19"/>
        <v>3.4510501575291119E-3</v>
      </c>
      <c r="S116" s="684">
        <f t="shared" ref="S116:S179" si="42">R116*I116</f>
        <v>6.5915058008806042</v>
      </c>
      <c r="T116" s="684">
        <f t="shared" ref="T116:T179" si="43">Q116*I116</f>
        <v>6.8923815620501649</v>
      </c>
      <c r="U116" s="14">
        <f t="shared" ref="U116:U179" si="44">J116*K116</f>
        <v>1910</v>
      </c>
      <c r="V116" s="982">
        <v>1498.8750000000002</v>
      </c>
      <c r="W116" s="982">
        <v>3497.3750000000005</v>
      </c>
      <c r="X116" s="982">
        <v>4996.2500000000009</v>
      </c>
      <c r="Y116">
        <v>1500</v>
      </c>
      <c r="Z116">
        <v>3500</v>
      </c>
      <c r="AA116">
        <v>5000</v>
      </c>
      <c r="AB116">
        <v>1500</v>
      </c>
      <c r="AC116">
        <v>3500</v>
      </c>
      <c r="AD116">
        <v>5000</v>
      </c>
      <c r="AE116" s="143">
        <v>1500</v>
      </c>
      <c r="AF116" s="143">
        <v>1500</v>
      </c>
      <c r="AG116" s="143">
        <v>750</v>
      </c>
      <c r="AH116" s="143">
        <v>900</v>
      </c>
      <c r="AI116" s="996">
        <v>900</v>
      </c>
      <c r="AJ116" s="143">
        <v>5000</v>
      </c>
      <c r="AK116" s="143">
        <v>1298.5</v>
      </c>
      <c r="AL116" s="143">
        <v>2500</v>
      </c>
      <c r="AM116" s="143">
        <v>2500</v>
      </c>
      <c r="AN116" s="143">
        <v>2500</v>
      </c>
      <c r="AO116" s="143">
        <v>2500</v>
      </c>
      <c r="AP116" s="143">
        <v>2000</v>
      </c>
      <c r="AQ116" s="143">
        <v>2000</v>
      </c>
      <c r="AR116" s="143">
        <v>2000</v>
      </c>
      <c r="AS116" s="143">
        <v>2000</v>
      </c>
      <c r="AT116" s="143">
        <v>550</v>
      </c>
      <c r="AU116" s="143">
        <v>750</v>
      </c>
      <c r="AV116" s="143">
        <v>1520</v>
      </c>
      <c r="AW116" s="143">
        <v>1500</v>
      </c>
      <c r="AX116" s="143">
        <v>2500</v>
      </c>
      <c r="AY116" s="143">
        <v>2500</v>
      </c>
      <c r="AZ116" s="143">
        <v>2500</v>
      </c>
      <c r="BA116" s="143">
        <v>800</v>
      </c>
      <c r="BB116" s="143">
        <v>850</v>
      </c>
      <c r="BC116" s="143">
        <v>1999.25</v>
      </c>
      <c r="BD116" s="143">
        <v>1999.85</v>
      </c>
      <c r="BE116" s="143">
        <v>1999.9250000000002</v>
      </c>
      <c r="BF116" s="143">
        <v>1500</v>
      </c>
      <c r="BG116" s="143">
        <v>1500</v>
      </c>
      <c r="BH116" s="143">
        <v>1500</v>
      </c>
      <c r="BI116" s="143">
        <v>2500</v>
      </c>
      <c r="BJ116" s="996">
        <v>1000</v>
      </c>
      <c r="BK116" s="143">
        <v>1000</v>
      </c>
      <c r="BL116" s="143">
        <v>2400</v>
      </c>
      <c r="BM116" s="143">
        <v>2400</v>
      </c>
      <c r="BN116" s="143">
        <v>5000</v>
      </c>
      <c r="BO116" s="143">
        <v>749.98</v>
      </c>
      <c r="BP116" s="143">
        <v>755.26</v>
      </c>
      <c r="BQ116" s="143">
        <v>899.68</v>
      </c>
      <c r="BR116" s="143">
        <v>1500</v>
      </c>
      <c r="BS116" s="143">
        <v>1650</v>
      </c>
      <c r="BT116" s="143">
        <v>608.11</v>
      </c>
      <c r="BU116" s="143">
        <v>1349</v>
      </c>
      <c r="BV116" s="143">
        <v>2300</v>
      </c>
      <c r="BW116" s="143">
        <v>2500</v>
      </c>
      <c r="BX116" s="143">
        <v>2500</v>
      </c>
      <c r="BY116" s="143">
        <v>2500</v>
      </c>
      <c r="BZ116" s="996">
        <v>2500</v>
      </c>
      <c r="CA116" s="143">
        <v>1650</v>
      </c>
      <c r="CB116">
        <v>1650</v>
      </c>
      <c r="CC116" s="143">
        <v>2050</v>
      </c>
      <c r="CD116" s="143">
        <v>2050</v>
      </c>
      <c r="CE116" s="143">
        <v>3300</v>
      </c>
      <c r="CF116" s="143">
        <v>5000</v>
      </c>
      <c r="CG116" s="143">
        <v>2300</v>
      </c>
      <c r="CH116" s="143">
        <v>3600</v>
      </c>
      <c r="CI116" s="143">
        <v>2300</v>
      </c>
      <c r="CJ116" s="143">
        <v>2300</v>
      </c>
      <c r="CK116" s="143">
        <v>2300</v>
      </c>
      <c r="CL116" s="143">
        <v>2300</v>
      </c>
      <c r="CM116" s="143">
        <v>3600</v>
      </c>
      <c r="CN116" s="143">
        <v>950</v>
      </c>
      <c r="CO116" s="143">
        <v>1250</v>
      </c>
      <c r="CP116" s="143">
        <v>2100</v>
      </c>
      <c r="CQ116" s="143">
        <v>600</v>
      </c>
      <c r="CR116" s="143">
        <v>1500</v>
      </c>
      <c r="CS116" s="143">
        <v>616.46</v>
      </c>
      <c r="CT116" s="143">
        <v>614.72500000000002</v>
      </c>
      <c r="CU116" s="143">
        <v>598.5</v>
      </c>
      <c r="CV116" s="143">
        <v>598.5</v>
      </c>
      <c r="CW116" s="14">
        <v>660</v>
      </c>
      <c r="CX116" s="14">
        <v>1650</v>
      </c>
      <c r="CY116" s="14">
        <v>1802</v>
      </c>
      <c r="CZ116" s="670">
        <v>2000</v>
      </c>
      <c r="DA116" s="670">
        <v>2000</v>
      </c>
      <c r="DB116" s="670">
        <v>1800</v>
      </c>
      <c r="DC116">
        <v>2000</v>
      </c>
      <c r="DD116">
        <v>1800</v>
      </c>
      <c r="DE116">
        <v>2000</v>
      </c>
      <c r="DF116">
        <v>3000</v>
      </c>
      <c r="DG116">
        <v>1800</v>
      </c>
      <c r="DH116">
        <v>2000</v>
      </c>
      <c r="DI116">
        <v>1800</v>
      </c>
      <c r="DJ116">
        <v>2600</v>
      </c>
      <c r="DK116">
        <v>3000</v>
      </c>
      <c r="DL116">
        <v>3000</v>
      </c>
      <c r="DM116">
        <v>850</v>
      </c>
      <c r="DN116">
        <v>1610.8000000000002</v>
      </c>
      <c r="DO116">
        <v>3000</v>
      </c>
      <c r="DP116">
        <v>7000</v>
      </c>
      <c r="DQ116">
        <v>16.25</v>
      </c>
    </row>
    <row r="117" spans="1:121" x14ac:dyDescent="0.2">
      <c r="A117" s="14">
        <v>16.5</v>
      </c>
      <c r="B117" s="684">
        <f t="shared" si="28"/>
        <v>1.2604338854666176E-2</v>
      </c>
      <c r="C117" s="684">
        <f t="shared" si="29"/>
        <v>1.2604338854666181E-2</v>
      </c>
      <c r="D117" s="684">
        <f t="shared" si="36"/>
        <v>3.1510847136665453E-3</v>
      </c>
      <c r="E117" s="684">
        <f t="shared" si="30"/>
        <v>143.87397539156734</v>
      </c>
      <c r="F117" s="684">
        <f t="shared" si="31"/>
        <v>102.9284538055482</v>
      </c>
      <c r="G117" s="684">
        <f t="shared" si="37"/>
        <v>24.074287212412408</v>
      </c>
      <c r="H117" s="684">
        <f t="shared" si="38"/>
        <v>6.0185718031031019</v>
      </c>
      <c r="I117" s="1052">
        <f>HLOOKUP('Input &amp; Summary'!$B$6,TurbineProfiles,ROW(I117)-49,0)</f>
        <v>1910</v>
      </c>
      <c r="J117" s="684">
        <f t="shared" si="32"/>
        <v>2117.4921141893815</v>
      </c>
      <c r="K117" s="9">
        <f t="shared" si="33"/>
        <v>0.90201044301465383</v>
      </c>
      <c r="L117" s="14">
        <f t="shared" si="34"/>
        <v>9053.2354015691035</v>
      </c>
      <c r="M117" s="684">
        <f t="shared" si="35"/>
        <v>5950.1357383034174</v>
      </c>
      <c r="N117" s="684">
        <f t="shared" si="39"/>
        <v>2117.4921141893815</v>
      </c>
      <c r="O117" s="684">
        <f t="shared" si="40"/>
        <v>0.97048155900865107</v>
      </c>
      <c r="P117" s="684">
        <f t="shared" si="41"/>
        <v>6.0185718031031019</v>
      </c>
      <c r="Q117" s="684">
        <f t="shared" ref="Q117:Q180" si="45">O117-O116</f>
        <v>3.2988708541485945E-3</v>
      </c>
      <c r="R117" s="684">
        <f t="shared" ref="R117:R180" si="46">WEIBULL((A117+0.125),$B$2,$B$16/EXP(GAMMALN(1+1/$B$2)),TRUE) - WEIBULL((A117-0.125),$B$2,$B$16/EXP(GAMMALN(1+1/$B$2)),TRUE)</f>
        <v>3.151943784585387E-3</v>
      </c>
      <c r="S117" s="684">
        <f t="shared" si="42"/>
        <v>6.020212628558089</v>
      </c>
      <c r="T117" s="684">
        <f t="shared" si="43"/>
        <v>6.300843331423815</v>
      </c>
      <c r="U117" s="14">
        <f t="shared" si="44"/>
        <v>1910</v>
      </c>
      <c r="V117" s="982">
        <v>1499.1562500000002</v>
      </c>
      <c r="W117" s="982">
        <v>3498.0312500000005</v>
      </c>
      <c r="X117" s="982">
        <v>4997.1875000000009</v>
      </c>
      <c r="Y117">
        <v>1500</v>
      </c>
      <c r="Z117">
        <v>3500</v>
      </c>
      <c r="AA117">
        <v>5000</v>
      </c>
      <c r="AB117">
        <v>1500</v>
      </c>
      <c r="AC117">
        <v>3500</v>
      </c>
      <c r="AD117">
        <v>5000</v>
      </c>
      <c r="AE117" s="143">
        <v>1500</v>
      </c>
      <c r="AF117" s="143">
        <v>1500</v>
      </c>
      <c r="AG117" s="143">
        <v>750</v>
      </c>
      <c r="AH117" s="143">
        <v>900</v>
      </c>
      <c r="AI117" s="996">
        <v>900</v>
      </c>
      <c r="AJ117" s="143">
        <v>5000</v>
      </c>
      <c r="AK117" s="143">
        <v>1298.875</v>
      </c>
      <c r="AL117" s="143">
        <v>2500</v>
      </c>
      <c r="AM117" s="143">
        <v>2500</v>
      </c>
      <c r="AN117" s="143">
        <v>2500</v>
      </c>
      <c r="AO117" s="143">
        <v>2500</v>
      </c>
      <c r="AP117" s="143">
        <v>2000</v>
      </c>
      <c r="AQ117" s="143">
        <v>2000</v>
      </c>
      <c r="AR117" s="143">
        <v>2000</v>
      </c>
      <c r="AS117" s="143">
        <v>2000</v>
      </c>
      <c r="AT117" s="143">
        <v>550</v>
      </c>
      <c r="AU117" s="143">
        <v>750</v>
      </c>
      <c r="AV117" s="143">
        <v>1520</v>
      </c>
      <c r="AW117" s="143">
        <v>1500</v>
      </c>
      <c r="AX117" s="143">
        <v>2500</v>
      </c>
      <c r="AY117" s="143">
        <v>2500</v>
      </c>
      <c r="AZ117" s="143">
        <v>2500</v>
      </c>
      <c r="BA117" s="143">
        <v>800</v>
      </c>
      <c r="BB117" s="143">
        <v>850</v>
      </c>
      <c r="BC117" s="143">
        <v>1999.5</v>
      </c>
      <c r="BD117" s="143">
        <v>1999.8999999999999</v>
      </c>
      <c r="BE117" s="143">
        <v>1999.9500000000003</v>
      </c>
      <c r="BF117" s="143">
        <v>1500</v>
      </c>
      <c r="BG117" s="143">
        <v>1500</v>
      </c>
      <c r="BH117" s="143">
        <v>1500</v>
      </c>
      <c r="BI117" s="143">
        <v>2500</v>
      </c>
      <c r="BJ117" s="996">
        <v>1000</v>
      </c>
      <c r="BK117" s="143">
        <v>1000</v>
      </c>
      <c r="BL117" s="143">
        <v>2400</v>
      </c>
      <c r="BM117" s="143">
        <v>2400</v>
      </c>
      <c r="BN117" s="143">
        <v>5000</v>
      </c>
      <c r="BO117" s="143">
        <v>750.07</v>
      </c>
      <c r="BP117" s="143">
        <v>755.32</v>
      </c>
      <c r="BQ117" s="143">
        <v>895.71</v>
      </c>
      <c r="BR117" s="143">
        <v>1500</v>
      </c>
      <c r="BS117" s="143">
        <v>1650</v>
      </c>
      <c r="BT117" s="143">
        <v>599.1</v>
      </c>
      <c r="BU117" s="143">
        <v>1354</v>
      </c>
      <c r="BV117" s="143">
        <v>2300</v>
      </c>
      <c r="BW117" s="143">
        <v>2500</v>
      </c>
      <c r="BX117" s="143">
        <v>2500</v>
      </c>
      <c r="BY117" s="143">
        <v>2500</v>
      </c>
      <c r="BZ117" s="996">
        <v>2500</v>
      </c>
      <c r="CA117" s="143">
        <v>1650</v>
      </c>
      <c r="CB117">
        <v>1650</v>
      </c>
      <c r="CC117" s="143">
        <v>2050</v>
      </c>
      <c r="CD117" s="143">
        <v>2050</v>
      </c>
      <c r="CE117" s="143">
        <v>3300</v>
      </c>
      <c r="CF117" s="143">
        <v>5000</v>
      </c>
      <c r="CG117" s="143">
        <v>2300</v>
      </c>
      <c r="CH117" s="143">
        <v>3600</v>
      </c>
      <c r="CI117" s="143">
        <v>2300</v>
      </c>
      <c r="CJ117" s="143">
        <v>2300</v>
      </c>
      <c r="CK117" s="143">
        <v>2300</v>
      </c>
      <c r="CL117" s="143">
        <v>2300</v>
      </c>
      <c r="CM117" s="143">
        <v>3600</v>
      </c>
      <c r="CN117" s="143">
        <v>950</v>
      </c>
      <c r="CO117" s="143">
        <v>1250</v>
      </c>
      <c r="CP117" s="143">
        <v>2100</v>
      </c>
      <c r="CQ117" s="143">
        <v>600</v>
      </c>
      <c r="CR117" s="143">
        <v>1500</v>
      </c>
      <c r="CS117" s="143">
        <v>616.46</v>
      </c>
      <c r="CT117" s="143">
        <v>613.25</v>
      </c>
      <c r="CU117" s="143">
        <v>599</v>
      </c>
      <c r="CV117" s="143">
        <v>599</v>
      </c>
      <c r="CW117" s="14">
        <v>660</v>
      </c>
      <c r="CX117" s="14">
        <v>1650</v>
      </c>
      <c r="CY117" s="14">
        <v>1802</v>
      </c>
      <c r="CZ117" s="670">
        <v>2000</v>
      </c>
      <c r="DA117" s="670">
        <v>2000</v>
      </c>
      <c r="DB117" s="670">
        <v>1800</v>
      </c>
      <c r="DC117">
        <v>2000</v>
      </c>
      <c r="DD117">
        <v>1800</v>
      </c>
      <c r="DE117">
        <v>2000</v>
      </c>
      <c r="DF117">
        <v>3000</v>
      </c>
      <c r="DG117">
        <v>1800</v>
      </c>
      <c r="DH117">
        <v>2000</v>
      </c>
      <c r="DI117">
        <v>1800</v>
      </c>
      <c r="DJ117">
        <v>2600</v>
      </c>
      <c r="DK117">
        <v>3000</v>
      </c>
      <c r="DL117">
        <v>3000</v>
      </c>
      <c r="DM117">
        <v>850</v>
      </c>
      <c r="DN117">
        <v>1619.2000000000003</v>
      </c>
      <c r="DO117">
        <v>3000</v>
      </c>
      <c r="DP117">
        <v>7000</v>
      </c>
      <c r="DQ117">
        <v>16.5</v>
      </c>
    </row>
    <row r="118" spans="1:121" x14ac:dyDescent="0.2">
      <c r="A118" s="14">
        <v>16.75</v>
      </c>
      <c r="B118" s="684">
        <f t="shared" si="28"/>
        <v>1.1490499643263092E-2</v>
      </c>
      <c r="C118" s="684">
        <f t="shared" si="29"/>
        <v>1.149049964326309E-2</v>
      </c>
      <c r="D118" s="684">
        <f t="shared" si="36"/>
        <v>2.8726249108157725E-3</v>
      </c>
      <c r="E118" s="684">
        <f t="shared" si="30"/>
        <v>137.21250361156288</v>
      </c>
      <c r="F118" s="684">
        <f t="shared" si="31"/>
        <v>98.162790046560019</v>
      </c>
      <c r="G118" s="684">
        <f t="shared" si="37"/>
        <v>21.9468543186325</v>
      </c>
      <c r="H118" s="684">
        <f t="shared" si="38"/>
        <v>5.486713579658125</v>
      </c>
      <c r="I118" s="1052">
        <f>HLOOKUP('Input &amp; Summary'!$B$6,TurbineProfiles,ROW(I118)-49,0)</f>
        <v>1910</v>
      </c>
      <c r="J118" s="684">
        <f t="shared" si="32"/>
        <v>2117.4921141893815</v>
      </c>
      <c r="K118" s="9">
        <f t="shared" si="33"/>
        <v>0.90201044301465383</v>
      </c>
      <c r="L118" s="14">
        <f t="shared" si="34"/>
        <v>9471.0126022001259</v>
      </c>
      <c r="M118" s="684">
        <f t="shared" si="35"/>
        <v>6101.4711878948501</v>
      </c>
      <c r="N118" s="684">
        <f t="shared" si="39"/>
        <v>2117.4921141893815</v>
      </c>
      <c r="O118" s="684">
        <f t="shared" si="40"/>
        <v>0.97349172954960361</v>
      </c>
      <c r="P118" s="684">
        <f t="shared" si="41"/>
        <v>5.486713579658125</v>
      </c>
      <c r="Q118" s="684">
        <f t="shared" si="45"/>
        <v>3.0101705409525392E-3</v>
      </c>
      <c r="R118" s="684">
        <f t="shared" si="46"/>
        <v>2.8734497148692473E-3</v>
      </c>
      <c r="S118" s="684">
        <f t="shared" si="42"/>
        <v>5.4882889554002627</v>
      </c>
      <c r="T118" s="684">
        <f t="shared" si="43"/>
        <v>5.7494257332193497</v>
      </c>
      <c r="U118" s="14">
        <f t="shared" si="44"/>
        <v>1910</v>
      </c>
      <c r="V118" s="982">
        <v>1499.3671875</v>
      </c>
      <c r="W118" s="982">
        <v>3498.5234375000005</v>
      </c>
      <c r="X118" s="982">
        <v>4997.890625</v>
      </c>
      <c r="Y118">
        <v>1500</v>
      </c>
      <c r="Z118">
        <v>3500</v>
      </c>
      <c r="AA118">
        <v>5000</v>
      </c>
      <c r="AB118">
        <v>1500</v>
      </c>
      <c r="AC118">
        <v>3500</v>
      </c>
      <c r="AD118">
        <v>5000</v>
      </c>
      <c r="AE118" s="143">
        <v>1500</v>
      </c>
      <c r="AF118" s="143">
        <v>1500</v>
      </c>
      <c r="AG118" s="143">
        <v>750</v>
      </c>
      <c r="AH118" s="143">
        <v>900</v>
      </c>
      <c r="AI118" s="996">
        <v>900</v>
      </c>
      <c r="AJ118" s="143">
        <v>5000</v>
      </c>
      <c r="AK118" s="143">
        <v>1299.25</v>
      </c>
      <c r="AL118" s="143">
        <v>2500</v>
      </c>
      <c r="AM118" s="143">
        <v>2500</v>
      </c>
      <c r="AN118" s="143">
        <v>2500</v>
      </c>
      <c r="AO118" s="143">
        <v>2500</v>
      </c>
      <c r="AP118" s="143">
        <v>2000</v>
      </c>
      <c r="AQ118" s="143">
        <v>2000</v>
      </c>
      <c r="AR118" s="143">
        <v>2000</v>
      </c>
      <c r="AS118" s="143">
        <v>2000</v>
      </c>
      <c r="AT118" s="143">
        <v>550</v>
      </c>
      <c r="AU118" s="143">
        <v>750</v>
      </c>
      <c r="AV118" s="143">
        <v>1520</v>
      </c>
      <c r="AW118" s="143">
        <v>1500</v>
      </c>
      <c r="AX118" s="143">
        <v>2500</v>
      </c>
      <c r="AY118" s="143">
        <v>2500</v>
      </c>
      <c r="AZ118" s="143">
        <v>2500</v>
      </c>
      <c r="BA118" s="143">
        <v>800</v>
      </c>
      <c r="BB118" s="143">
        <v>850</v>
      </c>
      <c r="BC118" s="143">
        <v>1999.75</v>
      </c>
      <c r="BD118" s="143">
        <v>1999.9499999999998</v>
      </c>
      <c r="BE118" s="143">
        <v>1999.9750000000004</v>
      </c>
      <c r="BF118" s="143">
        <v>1500</v>
      </c>
      <c r="BG118" s="143">
        <v>1500</v>
      </c>
      <c r="BH118" s="143">
        <v>1500</v>
      </c>
      <c r="BI118" s="143">
        <v>2500</v>
      </c>
      <c r="BJ118" s="996">
        <v>1000</v>
      </c>
      <c r="BK118" s="143">
        <v>1000</v>
      </c>
      <c r="BL118" s="143">
        <v>2400</v>
      </c>
      <c r="BM118" s="143">
        <v>2400</v>
      </c>
      <c r="BN118" s="143">
        <v>5000</v>
      </c>
      <c r="BO118" s="143">
        <v>750.16</v>
      </c>
      <c r="BP118" s="143">
        <v>755.38</v>
      </c>
      <c r="BQ118" s="143">
        <v>889.72</v>
      </c>
      <c r="BR118" s="143">
        <v>1500</v>
      </c>
      <c r="BS118" s="143">
        <v>1650</v>
      </c>
      <c r="BT118" s="143">
        <v>599.1</v>
      </c>
      <c r="BU118" s="143">
        <v>1359</v>
      </c>
      <c r="BV118" s="143">
        <v>2300</v>
      </c>
      <c r="BW118" s="143">
        <v>2500</v>
      </c>
      <c r="BX118" s="143">
        <v>2500</v>
      </c>
      <c r="BY118" s="143">
        <v>2500</v>
      </c>
      <c r="BZ118" s="996">
        <v>2500</v>
      </c>
      <c r="CA118" s="143">
        <v>1650</v>
      </c>
      <c r="CB118">
        <v>1650</v>
      </c>
      <c r="CC118" s="143">
        <v>2050</v>
      </c>
      <c r="CD118" s="143">
        <v>2050</v>
      </c>
      <c r="CE118" s="143">
        <v>3300</v>
      </c>
      <c r="CF118" s="143">
        <v>5000</v>
      </c>
      <c r="CG118" s="143">
        <v>2300</v>
      </c>
      <c r="CH118" s="143">
        <v>3600</v>
      </c>
      <c r="CI118" s="143">
        <v>2300</v>
      </c>
      <c r="CJ118" s="143">
        <v>2300</v>
      </c>
      <c r="CK118" s="143">
        <v>2300</v>
      </c>
      <c r="CL118" s="143">
        <v>2300</v>
      </c>
      <c r="CM118" s="143">
        <v>3600</v>
      </c>
      <c r="CN118" s="143">
        <v>950</v>
      </c>
      <c r="CO118" s="143">
        <v>1250</v>
      </c>
      <c r="CP118" s="143">
        <v>2100</v>
      </c>
      <c r="CQ118" s="143">
        <v>600</v>
      </c>
      <c r="CR118" s="143">
        <v>1500</v>
      </c>
      <c r="CS118" s="143">
        <v>620.12</v>
      </c>
      <c r="CT118" s="143">
        <v>611.77499999999998</v>
      </c>
      <c r="CU118" s="143">
        <v>599.5</v>
      </c>
      <c r="CV118" s="143">
        <v>599.5</v>
      </c>
      <c r="CW118" s="14">
        <v>660</v>
      </c>
      <c r="CX118" s="14">
        <v>1650</v>
      </c>
      <c r="CY118" s="14">
        <v>1802</v>
      </c>
      <c r="CZ118" s="670">
        <v>2000</v>
      </c>
      <c r="DA118" s="670">
        <v>2000</v>
      </c>
      <c r="DB118" s="670">
        <v>1800</v>
      </c>
      <c r="DC118">
        <v>2000</v>
      </c>
      <c r="DD118">
        <v>1800</v>
      </c>
      <c r="DE118">
        <v>2000</v>
      </c>
      <c r="DF118">
        <v>3000</v>
      </c>
      <c r="DG118">
        <v>1800</v>
      </c>
      <c r="DH118">
        <v>2000</v>
      </c>
      <c r="DI118">
        <v>1800</v>
      </c>
      <c r="DJ118">
        <v>2600</v>
      </c>
      <c r="DK118">
        <v>3000</v>
      </c>
      <c r="DL118">
        <v>3000</v>
      </c>
      <c r="DM118">
        <v>850</v>
      </c>
      <c r="DN118">
        <v>1627.6000000000004</v>
      </c>
      <c r="DO118">
        <v>3000</v>
      </c>
      <c r="DP118">
        <v>7000</v>
      </c>
      <c r="DQ118">
        <v>16.75</v>
      </c>
    </row>
    <row r="119" spans="1:121" x14ac:dyDescent="0.2">
      <c r="A119" s="14">
        <v>17</v>
      </c>
      <c r="B119" s="684">
        <f t="shared" si="28"/>
        <v>1.0455831200911115E-2</v>
      </c>
      <c r="C119" s="684">
        <f t="shared" si="29"/>
        <v>1.0455831200911116E-2</v>
      </c>
      <c r="D119" s="684">
        <f t="shared" si="36"/>
        <v>2.6139578002277791E-3</v>
      </c>
      <c r="E119" s="684">
        <f t="shared" si="30"/>
        <v>130.5316021035184</v>
      </c>
      <c r="F119" s="684">
        <f t="shared" si="31"/>
        <v>93.383226123490175</v>
      </c>
      <c r="G119" s="684">
        <f t="shared" si="37"/>
        <v>19.970637593740232</v>
      </c>
      <c r="H119" s="684">
        <f t="shared" si="38"/>
        <v>4.992659398435058</v>
      </c>
      <c r="I119" s="1052">
        <f>HLOOKUP('Input &amp; Summary'!$B$6,TurbineProfiles,ROW(I119)-49,0)</f>
        <v>1910</v>
      </c>
      <c r="J119" s="684">
        <f t="shared" si="32"/>
        <v>2117.4921141893815</v>
      </c>
      <c r="K119" s="9">
        <f t="shared" si="33"/>
        <v>0.90201044301465383</v>
      </c>
      <c r="L119" s="14">
        <f t="shared" si="34"/>
        <v>9901.4487637608036</v>
      </c>
      <c r="M119" s="684">
        <f t="shared" si="35"/>
        <v>6252.8066374862819</v>
      </c>
      <c r="N119" s="684">
        <f t="shared" si="39"/>
        <v>2117.4921141893815</v>
      </c>
      <c r="O119" s="684">
        <f t="shared" si="40"/>
        <v>0.97623340680308612</v>
      </c>
      <c r="P119" s="684">
        <f t="shared" si="41"/>
        <v>4.992659398435058</v>
      </c>
      <c r="Q119" s="684">
        <f t="shared" si="45"/>
        <v>2.7416772534825107E-3</v>
      </c>
      <c r="R119" s="684">
        <f t="shared" si="46"/>
        <v>2.6147468030983667E-3</v>
      </c>
      <c r="S119" s="684">
        <f t="shared" si="42"/>
        <v>4.9941663939178804</v>
      </c>
      <c r="T119" s="684">
        <f t="shared" si="43"/>
        <v>5.2366035541515954</v>
      </c>
      <c r="U119" s="14">
        <f t="shared" si="44"/>
        <v>1910</v>
      </c>
      <c r="V119" s="982">
        <v>1499.5253906250002</v>
      </c>
      <c r="W119" s="982">
        <v>3498.892578125</v>
      </c>
      <c r="X119" s="982">
        <v>4998.41796875</v>
      </c>
      <c r="Y119">
        <v>1500</v>
      </c>
      <c r="Z119">
        <v>3500</v>
      </c>
      <c r="AA119">
        <v>5000</v>
      </c>
      <c r="AB119">
        <v>1500</v>
      </c>
      <c r="AC119">
        <v>3500</v>
      </c>
      <c r="AD119">
        <v>5000</v>
      </c>
      <c r="AE119" s="143">
        <v>1500</v>
      </c>
      <c r="AF119" s="143">
        <v>1500</v>
      </c>
      <c r="AG119" s="143">
        <v>750</v>
      </c>
      <c r="AH119" s="143">
        <v>900</v>
      </c>
      <c r="AI119" s="996">
        <v>900</v>
      </c>
      <c r="AJ119" s="143">
        <v>5000</v>
      </c>
      <c r="AK119" s="143">
        <v>1300</v>
      </c>
      <c r="AL119" s="143">
        <v>2500</v>
      </c>
      <c r="AM119" s="143">
        <v>2500</v>
      </c>
      <c r="AN119" s="143">
        <v>2500</v>
      </c>
      <c r="AO119" s="143">
        <v>2500</v>
      </c>
      <c r="AP119" s="143">
        <v>2000</v>
      </c>
      <c r="AQ119" s="143">
        <v>2000</v>
      </c>
      <c r="AR119" s="143">
        <v>2000</v>
      </c>
      <c r="AS119" s="143">
        <v>2000</v>
      </c>
      <c r="AT119" s="143">
        <v>550</v>
      </c>
      <c r="AU119" s="143">
        <v>750</v>
      </c>
      <c r="AV119" s="143">
        <v>1520</v>
      </c>
      <c r="AW119" s="143">
        <v>1500</v>
      </c>
      <c r="AX119" s="143">
        <v>2500</v>
      </c>
      <c r="AY119" s="143">
        <v>2500</v>
      </c>
      <c r="AZ119" s="143">
        <v>2500</v>
      </c>
      <c r="BA119" s="143">
        <v>800</v>
      </c>
      <c r="BB119" s="143">
        <v>850</v>
      </c>
      <c r="BC119" s="143">
        <v>2000</v>
      </c>
      <c r="BD119" s="143">
        <v>2000</v>
      </c>
      <c r="BE119" s="143">
        <v>2000</v>
      </c>
      <c r="BF119" s="143">
        <v>1500</v>
      </c>
      <c r="BG119" s="143">
        <v>1500</v>
      </c>
      <c r="BH119" s="143">
        <v>1500</v>
      </c>
      <c r="BI119" s="143">
        <v>2500</v>
      </c>
      <c r="BJ119" s="996">
        <v>1000</v>
      </c>
      <c r="BK119" s="143">
        <v>1000</v>
      </c>
      <c r="BL119" s="143">
        <v>2400</v>
      </c>
      <c r="BM119" s="143">
        <v>2400</v>
      </c>
      <c r="BN119" s="143">
        <v>5000</v>
      </c>
      <c r="BO119" s="143">
        <v>750.23</v>
      </c>
      <c r="BP119" s="143">
        <v>755.44</v>
      </c>
      <c r="BQ119" s="143">
        <v>883.74</v>
      </c>
      <c r="BR119" s="143">
        <v>1500</v>
      </c>
      <c r="BS119" s="143">
        <v>1650</v>
      </c>
      <c r="BT119" s="143">
        <v>599.1</v>
      </c>
      <c r="BU119" s="143">
        <v>1364</v>
      </c>
      <c r="BV119" s="143">
        <v>2300</v>
      </c>
      <c r="BW119" s="143">
        <v>2500</v>
      </c>
      <c r="BX119" s="143">
        <v>2500</v>
      </c>
      <c r="BY119" s="143">
        <v>2500</v>
      </c>
      <c r="BZ119" s="996">
        <v>2500</v>
      </c>
      <c r="CA119" s="143">
        <v>1650</v>
      </c>
      <c r="CB119">
        <v>1650</v>
      </c>
      <c r="CC119" s="143">
        <v>2050</v>
      </c>
      <c r="CD119" s="143">
        <v>2050</v>
      </c>
      <c r="CE119" s="143">
        <v>3300</v>
      </c>
      <c r="CF119" s="143">
        <v>5000</v>
      </c>
      <c r="CG119" s="143">
        <v>2300</v>
      </c>
      <c r="CH119" s="143">
        <v>3600</v>
      </c>
      <c r="CI119" s="143">
        <v>2300</v>
      </c>
      <c r="CJ119" s="143">
        <v>2300</v>
      </c>
      <c r="CK119" s="143">
        <v>2300</v>
      </c>
      <c r="CL119" s="143">
        <v>2300</v>
      </c>
      <c r="CM119" s="143">
        <v>3600</v>
      </c>
      <c r="CN119" s="143">
        <v>950</v>
      </c>
      <c r="CO119" s="143">
        <v>1250</v>
      </c>
      <c r="CP119" s="143">
        <v>2100</v>
      </c>
      <c r="CQ119" s="143">
        <v>600</v>
      </c>
      <c r="CR119" s="143">
        <v>1500</v>
      </c>
      <c r="CS119" s="143">
        <v>620.12</v>
      </c>
      <c r="CT119" s="143">
        <v>610.29999999999995</v>
      </c>
      <c r="CU119" s="143">
        <v>600</v>
      </c>
      <c r="CV119" s="143">
        <v>600</v>
      </c>
      <c r="CW119" s="14">
        <v>660</v>
      </c>
      <c r="CX119" s="14">
        <v>1650</v>
      </c>
      <c r="CY119" s="14">
        <v>1802</v>
      </c>
      <c r="CZ119" s="670">
        <v>2000</v>
      </c>
      <c r="DA119" s="670">
        <v>2000</v>
      </c>
      <c r="DB119" s="670">
        <v>1800</v>
      </c>
      <c r="DC119">
        <v>2000</v>
      </c>
      <c r="DD119">
        <v>1800</v>
      </c>
      <c r="DE119">
        <v>2000</v>
      </c>
      <c r="DF119">
        <v>3000</v>
      </c>
      <c r="DG119">
        <v>1800</v>
      </c>
      <c r="DH119">
        <v>2000</v>
      </c>
      <c r="DI119">
        <v>1800</v>
      </c>
      <c r="DJ119">
        <v>2600</v>
      </c>
      <c r="DK119">
        <v>3000</v>
      </c>
      <c r="DL119">
        <v>3000</v>
      </c>
      <c r="DM119">
        <v>850</v>
      </c>
      <c r="DN119">
        <v>1636</v>
      </c>
      <c r="DO119">
        <v>3000</v>
      </c>
      <c r="DP119">
        <v>7000</v>
      </c>
      <c r="DQ119">
        <v>17</v>
      </c>
    </row>
    <row r="120" spans="1:121" x14ac:dyDescent="0.2">
      <c r="A120" s="14">
        <v>17.25</v>
      </c>
      <c r="B120" s="684">
        <f t="shared" si="28"/>
        <v>9.4968995563543285E-3</v>
      </c>
      <c r="C120" s="684">
        <f t="shared" si="29"/>
        <v>9.4968995563543337E-3</v>
      </c>
      <c r="D120" s="684">
        <f t="shared" si="36"/>
        <v>2.3742248890885834E-3</v>
      </c>
      <c r="E120" s="684">
        <f t="shared" si="30"/>
        <v>123.86810223549298</v>
      </c>
      <c r="F120" s="684">
        <f t="shared" si="31"/>
        <v>88.616111456069007</v>
      </c>
      <c r="G120" s="684">
        <f t="shared" si="37"/>
        <v>18.139078152636777</v>
      </c>
      <c r="H120" s="684">
        <f t="shared" si="38"/>
        <v>4.5347695381591944</v>
      </c>
      <c r="I120" s="1052">
        <f>HLOOKUP('Input &amp; Summary'!$B$6,TurbineProfiles,ROW(I120)-49,0)</f>
        <v>1910</v>
      </c>
      <c r="J120" s="684">
        <f t="shared" si="32"/>
        <v>2117.4921141893815</v>
      </c>
      <c r="K120" s="9">
        <f t="shared" si="33"/>
        <v>0.90201044301465383</v>
      </c>
      <c r="L120" s="14">
        <f t="shared" si="34"/>
        <v>10344.732825966499</v>
      </c>
      <c r="M120" s="684">
        <f t="shared" si="35"/>
        <v>6404.1420870777138</v>
      </c>
      <c r="N120" s="684">
        <f t="shared" si="39"/>
        <v>2117.4921141893815</v>
      </c>
      <c r="O120" s="684">
        <f t="shared" si="40"/>
        <v>0.97872595684321029</v>
      </c>
      <c r="P120" s="684">
        <f t="shared" si="41"/>
        <v>4.5347695381591944</v>
      </c>
      <c r="Q120" s="684">
        <f t="shared" si="45"/>
        <v>2.492550040124164E-3</v>
      </c>
      <c r="R120" s="684">
        <f t="shared" si="46"/>
        <v>2.3749769890835104E-3</v>
      </c>
      <c r="S120" s="684">
        <f t="shared" si="42"/>
        <v>4.5362060491495049</v>
      </c>
      <c r="T120" s="684">
        <f t="shared" si="43"/>
        <v>4.7607705766371531</v>
      </c>
      <c r="U120" s="14">
        <f t="shared" si="44"/>
        <v>1910</v>
      </c>
      <c r="V120">
        <v>1500</v>
      </c>
      <c r="W120">
        <v>3500</v>
      </c>
      <c r="X120">
        <v>5000</v>
      </c>
      <c r="Y120">
        <v>1500</v>
      </c>
      <c r="Z120">
        <v>3500</v>
      </c>
      <c r="AA120">
        <v>5000</v>
      </c>
      <c r="AB120">
        <v>1500</v>
      </c>
      <c r="AC120">
        <v>3500</v>
      </c>
      <c r="AD120">
        <v>5000</v>
      </c>
      <c r="AE120" s="143">
        <v>1500</v>
      </c>
      <c r="AF120" s="143">
        <v>1500</v>
      </c>
      <c r="AG120" s="143">
        <v>750</v>
      </c>
      <c r="AH120" s="143">
        <v>900</v>
      </c>
      <c r="AI120" s="996">
        <v>900</v>
      </c>
      <c r="AJ120" s="143">
        <v>5000</v>
      </c>
      <c r="AK120" s="143">
        <v>1300</v>
      </c>
      <c r="AL120" s="143">
        <v>2500</v>
      </c>
      <c r="AM120" s="143">
        <v>2500</v>
      </c>
      <c r="AN120" s="143">
        <v>2500</v>
      </c>
      <c r="AO120" s="143">
        <v>2500</v>
      </c>
      <c r="AP120" s="143">
        <v>2000</v>
      </c>
      <c r="AQ120" s="143">
        <v>2000</v>
      </c>
      <c r="AR120" s="143">
        <v>2000</v>
      </c>
      <c r="AS120" s="143">
        <v>2000</v>
      </c>
      <c r="AT120" s="143">
        <v>550</v>
      </c>
      <c r="AU120" s="143">
        <v>750</v>
      </c>
      <c r="AV120" s="143">
        <v>1510</v>
      </c>
      <c r="AW120" s="143">
        <v>1500</v>
      </c>
      <c r="AX120" s="143">
        <v>2500</v>
      </c>
      <c r="AY120" s="143">
        <v>2500</v>
      </c>
      <c r="AZ120" s="143">
        <v>2500</v>
      </c>
      <c r="BA120" s="143">
        <v>800</v>
      </c>
      <c r="BB120" s="143">
        <v>850</v>
      </c>
      <c r="BC120" s="143">
        <v>2000</v>
      </c>
      <c r="BD120" s="143">
        <v>2000</v>
      </c>
      <c r="BE120" s="143">
        <v>2000</v>
      </c>
      <c r="BF120" s="143">
        <v>1500</v>
      </c>
      <c r="BG120" s="143">
        <v>1500</v>
      </c>
      <c r="BH120" s="143">
        <v>1500</v>
      </c>
      <c r="BI120" s="143">
        <v>2500</v>
      </c>
      <c r="BJ120" s="996">
        <v>1000</v>
      </c>
      <c r="BK120" s="143">
        <v>1000</v>
      </c>
      <c r="BL120" s="143">
        <v>2400</v>
      </c>
      <c r="BM120" s="143">
        <v>2400</v>
      </c>
      <c r="BN120" s="143">
        <v>5000</v>
      </c>
      <c r="BO120" s="143">
        <v>746.51</v>
      </c>
      <c r="BP120" s="143">
        <v>752.63</v>
      </c>
      <c r="BQ120" s="143">
        <v>877.76</v>
      </c>
      <c r="BR120" s="143">
        <v>1500</v>
      </c>
      <c r="BS120" s="143">
        <v>1650</v>
      </c>
      <c r="BT120" s="143">
        <v>599.1</v>
      </c>
      <c r="BU120" s="143">
        <v>1353.5</v>
      </c>
      <c r="BV120" s="143">
        <v>2300</v>
      </c>
      <c r="BW120" s="143">
        <v>2500</v>
      </c>
      <c r="BX120" s="143">
        <v>2500</v>
      </c>
      <c r="BY120" s="143">
        <v>2500</v>
      </c>
      <c r="BZ120" s="996">
        <v>2500</v>
      </c>
      <c r="CA120" s="143">
        <v>1650</v>
      </c>
      <c r="CB120">
        <v>1650</v>
      </c>
      <c r="CC120" s="143">
        <v>2050</v>
      </c>
      <c r="CD120" s="143">
        <v>2050</v>
      </c>
      <c r="CE120" s="143">
        <v>3300</v>
      </c>
      <c r="CF120" s="143">
        <v>5000</v>
      </c>
      <c r="CG120" s="143">
        <v>2300</v>
      </c>
      <c r="CH120" s="143">
        <v>3600</v>
      </c>
      <c r="CI120" s="143">
        <v>2300</v>
      </c>
      <c r="CJ120" s="143">
        <v>2300</v>
      </c>
      <c r="CK120" s="143">
        <v>2300</v>
      </c>
      <c r="CL120" s="143">
        <v>2300</v>
      </c>
      <c r="CM120" s="143">
        <v>3600</v>
      </c>
      <c r="CN120" s="143">
        <v>950</v>
      </c>
      <c r="CO120" s="143">
        <v>1250</v>
      </c>
      <c r="CP120" s="143">
        <v>2100</v>
      </c>
      <c r="CQ120" s="143">
        <v>600</v>
      </c>
      <c r="CR120" s="143">
        <v>1500</v>
      </c>
      <c r="CS120" s="143">
        <v>623.78</v>
      </c>
      <c r="CT120" s="143">
        <v>607.84999999999991</v>
      </c>
      <c r="CU120" s="143">
        <v>600</v>
      </c>
      <c r="CV120" s="143">
        <v>600</v>
      </c>
      <c r="CW120" s="14">
        <v>660</v>
      </c>
      <c r="CX120" s="14">
        <v>1650</v>
      </c>
      <c r="CY120" s="14">
        <v>1802</v>
      </c>
      <c r="CZ120" s="670">
        <v>2000</v>
      </c>
      <c r="DA120" s="670">
        <v>2000</v>
      </c>
      <c r="DB120" s="670">
        <v>1800</v>
      </c>
      <c r="DC120">
        <v>2000</v>
      </c>
      <c r="DD120">
        <v>1800</v>
      </c>
      <c r="DE120">
        <v>2000</v>
      </c>
      <c r="DF120">
        <v>3000</v>
      </c>
      <c r="DG120">
        <v>1800</v>
      </c>
      <c r="DH120">
        <v>2000</v>
      </c>
      <c r="DI120">
        <v>1800</v>
      </c>
      <c r="DJ120">
        <v>2600</v>
      </c>
      <c r="DK120">
        <v>3000</v>
      </c>
      <c r="DL120">
        <v>3000</v>
      </c>
      <c r="DM120">
        <v>850</v>
      </c>
      <c r="DN120">
        <v>1638.5</v>
      </c>
      <c r="DO120">
        <v>3000</v>
      </c>
      <c r="DP120">
        <v>7000</v>
      </c>
      <c r="DQ120">
        <v>17.25</v>
      </c>
    </row>
    <row r="121" spans="1:121" x14ac:dyDescent="0.2">
      <c r="A121" s="14">
        <v>17.5</v>
      </c>
      <c r="B121" s="684">
        <f t="shared" si="28"/>
        <v>8.610164738076246E-3</v>
      </c>
      <c r="C121" s="684">
        <f t="shared" si="29"/>
        <v>8.6101647380762477E-3</v>
      </c>
      <c r="D121" s="684">
        <f t="shared" si="36"/>
        <v>2.1525411845190619E-3</v>
      </c>
      <c r="E121" s="684">
        <f t="shared" si="30"/>
        <v>117.25623570998039</v>
      </c>
      <c r="F121" s="684">
        <f t="shared" si="31"/>
        <v>83.885935644998995</v>
      </c>
      <c r="G121" s="684">
        <f t="shared" si="37"/>
        <v>16.445414649725635</v>
      </c>
      <c r="H121" s="684">
        <f t="shared" si="38"/>
        <v>4.1113536624314087</v>
      </c>
      <c r="I121" s="1052">
        <f>HLOOKUP('Input &amp; Summary'!$B$6,TurbineProfiles,ROW(I121)-49,0)</f>
        <v>1910</v>
      </c>
      <c r="J121" s="684">
        <f t="shared" si="32"/>
        <v>2117.4921141893815</v>
      </c>
      <c r="K121" s="9">
        <f t="shared" si="33"/>
        <v>0.90201044301465383</v>
      </c>
      <c r="L121" s="14">
        <f t="shared" si="34"/>
        <v>10801.053728532575</v>
      </c>
      <c r="M121" s="684">
        <f t="shared" si="35"/>
        <v>6555.4775366691465</v>
      </c>
      <c r="N121" s="684">
        <f t="shared" si="39"/>
        <v>2117.4921141893815</v>
      </c>
      <c r="O121" s="684">
        <f t="shared" si="40"/>
        <v>0.98098787317072844</v>
      </c>
      <c r="P121" s="684">
        <f t="shared" si="41"/>
        <v>4.1113536624314087</v>
      </c>
      <c r="Q121" s="684">
        <f t="shared" si="45"/>
        <v>2.2619163275181542E-3</v>
      </c>
      <c r="R121" s="684">
        <f t="shared" si="46"/>
        <v>2.1532556776404643E-3</v>
      </c>
      <c r="S121" s="684">
        <f t="shared" si="42"/>
        <v>4.1127183442932864</v>
      </c>
      <c r="T121" s="684">
        <f t="shared" si="43"/>
        <v>4.3202601855596745</v>
      </c>
      <c r="U121" s="14">
        <f t="shared" si="44"/>
        <v>1910</v>
      </c>
      <c r="V121">
        <v>1500</v>
      </c>
      <c r="W121">
        <v>3500</v>
      </c>
      <c r="X121">
        <v>5000</v>
      </c>
      <c r="Y121">
        <v>1500</v>
      </c>
      <c r="Z121">
        <v>3500</v>
      </c>
      <c r="AA121">
        <v>5000</v>
      </c>
      <c r="AB121">
        <v>1500</v>
      </c>
      <c r="AC121">
        <v>3500</v>
      </c>
      <c r="AD121">
        <v>5000</v>
      </c>
      <c r="AE121" s="143">
        <v>1500</v>
      </c>
      <c r="AF121" s="143">
        <v>1500</v>
      </c>
      <c r="AG121" s="143">
        <v>750</v>
      </c>
      <c r="AH121" s="143">
        <v>900</v>
      </c>
      <c r="AI121" s="996">
        <v>900</v>
      </c>
      <c r="AJ121" s="143">
        <v>5000</v>
      </c>
      <c r="AK121" s="143">
        <v>1300</v>
      </c>
      <c r="AL121" s="143">
        <v>2500</v>
      </c>
      <c r="AM121" s="143">
        <v>2500</v>
      </c>
      <c r="AN121" s="143">
        <v>2500</v>
      </c>
      <c r="AO121" s="143">
        <v>2500</v>
      </c>
      <c r="AP121" s="143">
        <v>2000</v>
      </c>
      <c r="AQ121" s="143">
        <v>2000</v>
      </c>
      <c r="AR121" s="143">
        <v>2000</v>
      </c>
      <c r="AS121" s="143">
        <v>2000</v>
      </c>
      <c r="AT121" s="143">
        <v>550</v>
      </c>
      <c r="AU121" s="143">
        <v>750</v>
      </c>
      <c r="AV121" s="143">
        <v>1510</v>
      </c>
      <c r="AW121" s="143">
        <v>1500</v>
      </c>
      <c r="AX121" s="143">
        <v>2500</v>
      </c>
      <c r="AY121" s="143">
        <v>2500</v>
      </c>
      <c r="AZ121" s="143">
        <v>2500</v>
      </c>
      <c r="BA121" s="143">
        <v>800</v>
      </c>
      <c r="BB121" s="143">
        <v>850</v>
      </c>
      <c r="BC121" s="143">
        <v>2000</v>
      </c>
      <c r="BD121" s="143">
        <v>2000</v>
      </c>
      <c r="BE121" s="143">
        <v>2000</v>
      </c>
      <c r="BF121" s="143">
        <v>1500</v>
      </c>
      <c r="BG121" s="143">
        <v>1500</v>
      </c>
      <c r="BH121" s="143">
        <v>1500</v>
      </c>
      <c r="BI121" s="143">
        <v>2500</v>
      </c>
      <c r="BJ121" s="996">
        <v>1000</v>
      </c>
      <c r="BK121" s="143">
        <v>1000</v>
      </c>
      <c r="BL121" s="143">
        <v>2400</v>
      </c>
      <c r="BM121" s="143">
        <v>2400</v>
      </c>
      <c r="BN121" s="143">
        <v>5000</v>
      </c>
      <c r="BO121" s="143">
        <v>746.58</v>
      </c>
      <c r="BP121" s="143">
        <v>752.69</v>
      </c>
      <c r="BQ121" s="143">
        <v>871.78</v>
      </c>
      <c r="BR121" s="143">
        <v>1500</v>
      </c>
      <c r="BS121" s="143">
        <v>1650</v>
      </c>
      <c r="BT121" s="143">
        <v>599.1</v>
      </c>
      <c r="BU121" s="143">
        <v>1343</v>
      </c>
      <c r="BV121" s="143">
        <v>2300</v>
      </c>
      <c r="BW121" s="143">
        <v>2500</v>
      </c>
      <c r="BX121" s="143">
        <v>2500</v>
      </c>
      <c r="BY121" s="143">
        <v>2500</v>
      </c>
      <c r="BZ121" s="996">
        <v>2500</v>
      </c>
      <c r="CA121" s="143">
        <v>1650</v>
      </c>
      <c r="CB121">
        <v>1650</v>
      </c>
      <c r="CC121" s="143">
        <v>2050</v>
      </c>
      <c r="CD121" s="143">
        <v>2050</v>
      </c>
      <c r="CE121" s="143">
        <v>3300</v>
      </c>
      <c r="CF121" s="143">
        <v>5000</v>
      </c>
      <c r="CG121" s="143">
        <v>2300</v>
      </c>
      <c r="CH121" s="143">
        <v>3600</v>
      </c>
      <c r="CI121" s="143">
        <v>2300</v>
      </c>
      <c r="CJ121" s="143">
        <v>2300</v>
      </c>
      <c r="CK121" s="143">
        <v>2300</v>
      </c>
      <c r="CL121" s="143">
        <v>2300</v>
      </c>
      <c r="CM121" s="143">
        <v>3600</v>
      </c>
      <c r="CN121" s="143">
        <v>950</v>
      </c>
      <c r="CO121" s="143">
        <v>1250</v>
      </c>
      <c r="CP121" s="143">
        <v>2100</v>
      </c>
      <c r="CQ121" s="143">
        <v>600</v>
      </c>
      <c r="CR121" s="143">
        <v>1500</v>
      </c>
      <c r="CS121" s="143">
        <v>623.78</v>
      </c>
      <c r="CT121" s="143">
        <v>605.39999999999986</v>
      </c>
      <c r="CU121" s="143">
        <v>600</v>
      </c>
      <c r="CV121" s="143">
        <v>600</v>
      </c>
      <c r="CW121" s="14">
        <v>660</v>
      </c>
      <c r="CX121" s="14">
        <v>1650</v>
      </c>
      <c r="CY121" s="14">
        <v>1802</v>
      </c>
      <c r="CZ121" s="670">
        <v>2000</v>
      </c>
      <c r="DA121" s="670">
        <v>2000</v>
      </c>
      <c r="DB121" s="670">
        <v>1800</v>
      </c>
      <c r="DC121">
        <v>2000</v>
      </c>
      <c r="DD121">
        <v>1800</v>
      </c>
      <c r="DE121">
        <v>2000</v>
      </c>
      <c r="DF121">
        <v>3000</v>
      </c>
      <c r="DG121">
        <v>1800</v>
      </c>
      <c r="DH121">
        <v>2000</v>
      </c>
      <c r="DI121">
        <v>1800</v>
      </c>
      <c r="DJ121">
        <v>2600</v>
      </c>
      <c r="DK121">
        <v>3000</v>
      </c>
      <c r="DL121">
        <v>3000</v>
      </c>
      <c r="DM121">
        <v>850</v>
      </c>
      <c r="DN121">
        <v>1641</v>
      </c>
      <c r="DO121">
        <v>3000</v>
      </c>
      <c r="DP121">
        <v>7000</v>
      </c>
      <c r="DQ121">
        <v>17.5</v>
      </c>
    </row>
    <row r="122" spans="1:121" x14ac:dyDescent="0.2">
      <c r="A122" s="14">
        <v>17.75</v>
      </c>
      <c r="B122" s="684">
        <f t="shared" si="28"/>
        <v>7.7920189490292644E-3</v>
      </c>
      <c r="C122" s="684">
        <f t="shared" si="29"/>
        <v>7.7920189490292679E-3</v>
      </c>
      <c r="D122" s="684">
        <f t="shared" si="36"/>
        <v>1.948004737257317E-3</v>
      </c>
      <c r="E122" s="684">
        <f t="shared" si="30"/>
        <v>110.72747923821353</v>
      </c>
      <c r="F122" s="684">
        <f t="shared" si="31"/>
        <v>79.215217350859788</v>
      </c>
      <c r="G122" s="684">
        <f t="shared" si="37"/>
        <v>14.882756192645902</v>
      </c>
      <c r="H122" s="684">
        <f t="shared" si="38"/>
        <v>3.7206890481614754</v>
      </c>
      <c r="I122" s="1052">
        <f>HLOOKUP('Input &amp; Summary'!$B$6,TurbineProfiles,ROW(I122)-49,0)</f>
        <v>1910</v>
      </c>
      <c r="J122" s="684">
        <f t="shared" si="32"/>
        <v>2117.4921141893815</v>
      </c>
      <c r="K122" s="9">
        <f t="shared" si="33"/>
        <v>0.90201044301465383</v>
      </c>
      <c r="L122" s="14">
        <f t="shared" si="34"/>
        <v>11270.600411174415</v>
      </c>
      <c r="M122" s="684">
        <f t="shared" si="35"/>
        <v>6706.8129862605783</v>
      </c>
      <c r="N122" s="684">
        <f t="shared" si="39"/>
        <v>2117.4921141893815</v>
      </c>
      <c r="O122" s="684">
        <f t="shared" si="40"/>
        <v>0.98303675505537913</v>
      </c>
      <c r="P122" s="684">
        <f t="shared" si="41"/>
        <v>3.7206890481614754</v>
      </c>
      <c r="Q122" s="684">
        <f t="shared" si="45"/>
        <v>2.0488818846506884E-3</v>
      </c>
      <c r="R122" s="684">
        <f t="shared" si="46"/>
        <v>1.9486812816796872E-3</v>
      </c>
      <c r="S122" s="684">
        <f t="shared" si="42"/>
        <v>3.7219812480082028</v>
      </c>
      <c r="T122" s="684">
        <f t="shared" si="43"/>
        <v>3.9133643996828149</v>
      </c>
      <c r="U122" s="14">
        <f t="shared" si="44"/>
        <v>1910</v>
      </c>
      <c r="V122">
        <v>1500</v>
      </c>
      <c r="W122">
        <v>3500</v>
      </c>
      <c r="X122">
        <v>5000</v>
      </c>
      <c r="Y122">
        <v>1500</v>
      </c>
      <c r="Z122">
        <v>3500</v>
      </c>
      <c r="AA122">
        <v>5000</v>
      </c>
      <c r="AB122">
        <v>1500</v>
      </c>
      <c r="AC122">
        <v>3500</v>
      </c>
      <c r="AD122">
        <v>5000</v>
      </c>
      <c r="AE122" s="143">
        <v>1500</v>
      </c>
      <c r="AF122" s="143">
        <v>1500</v>
      </c>
      <c r="AG122" s="143">
        <v>750</v>
      </c>
      <c r="AH122" s="143">
        <v>900</v>
      </c>
      <c r="AI122" s="996">
        <v>900</v>
      </c>
      <c r="AJ122" s="143">
        <v>5000</v>
      </c>
      <c r="AK122" s="143">
        <v>1300</v>
      </c>
      <c r="AL122" s="143">
        <v>2500</v>
      </c>
      <c r="AM122" s="143">
        <v>2500</v>
      </c>
      <c r="AN122" s="143">
        <v>2500</v>
      </c>
      <c r="AO122" s="143">
        <v>2500</v>
      </c>
      <c r="AP122" s="143">
        <v>2000</v>
      </c>
      <c r="AQ122" s="143">
        <v>2000</v>
      </c>
      <c r="AR122" s="143">
        <v>2000</v>
      </c>
      <c r="AS122" s="143">
        <v>2000</v>
      </c>
      <c r="AT122" s="143">
        <v>550</v>
      </c>
      <c r="AU122" s="143">
        <v>750</v>
      </c>
      <c r="AV122" s="143">
        <v>1500</v>
      </c>
      <c r="AW122" s="143">
        <v>1500</v>
      </c>
      <c r="AX122" s="143">
        <v>2500</v>
      </c>
      <c r="AY122" s="143">
        <v>2500</v>
      </c>
      <c r="AZ122" s="143">
        <v>2500</v>
      </c>
      <c r="BA122" s="143">
        <v>800</v>
      </c>
      <c r="BB122" s="143">
        <v>850</v>
      </c>
      <c r="BC122" s="143">
        <v>2000</v>
      </c>
      <c r="BD122" s="143">
        <v>2000</v>
      </c>
      <c r="BE122" s="143">
        <v>2000</v>
      </c>
      <c r="BF122" s="143">
        <v>1500</v>
      </c>
      <c r="BG122" s="143">
        <v>1500</v>
      </c>
      <c r="BH122" s="143">
        <v>1500</v>
      </c>
      <c r="BI122" s="143">
        <v>2500</v>
      </c>
      <c r="BJ122" s="996">
        <v>1000</v>
      </c>
      <c r="BK122" s="143">
        <v>1000</v>
      </c>
      <c r="BL122" s="143">
        <v>2400</v>
      </c>
      <c r="BM122" s="143">
        <v>2400</v>
      </c>
      <c r="BN122" s="143">
        <v>5000</v>
      </c>
      <c r="BO122" s="143">
        <v>742.87</v>
      </c>
      <c r="BP122" s="143">
        <v>749.87</v>
      </c>
      <c r="BQ122" s="143">
        <v>865.79</v>
      </c>
      <c r="BR122" s="143">
        <v>1500</v>
      </c>
      <c r="BS122" s="143">
        <v>1650</v>
      </c>
      <c r="BT122" s="143">
        <v>599.1</v>
      </c>
      <c r="BU122" s="143">
        <v>1332.5</v>
      </c>
      <c r="BV122" s="143">
        <v>2300</v>
      </c>
      <c r="BW122" s="143">
        <v>2500</v>
      </c>
      <c r="BX122" s="143">
        <v>2500</v>
      </c>
      <c r="BY122" s="143">
        <v>2500</v>
      </c>
      <c r="BZ122" s="996">
        <v>2500</v>
      </c>
      <c r="CA122" s="143">
        <v>1650</v>
      </c>
      <c r="CB122">
        <v>1650</v>
      </c>
      <c r="CC122" s="143">
        <v>2050</v>
      </c>
      <c r="CD122" s="143">
        <v>2050</v>
      </c>
      <c r="CE122" s="143">
        <v>3300</v>
      </c>
      <c r="CF122" s="143">
        <v>5000</v>
      </c>
      <c r="CG122" s="143">
        <v>2300</v>
      </c>
      <c r="CH122" s="143">
        <v>3600</v>
      </c>
      <c r="CI122" s="143">
        <v>2300</v>
      </c>
      <c r="CJ122" s="143">
        <v>2300</v>
      </c>
      <c r="CK122" s="143">
        <v>2300</v>
      </c>
      <c r="CL122" s="143">
        <v>2300</v>
      </c>
      <c r="CM122" s="143">
        <v>3600</v>
      </c>
      <c r="CN122" s="143">
        <v>950</v>
      </c>
      <c r="CO122" s="143">
        <v>1250</v>
      </c>
      <c r="CP122" s="143">
        <v>2100</v>
      </c>
      <c r="CQ122" s="143">
        <v>600</v>
      </c>
      <c r="CR122" s="143">
        <v>1500</v>
      </c>
      <c r="CS122" s="143">
        <v>623.78</v>
      </c>
      <c r="CT122" s="143">
        <v>602.94999999999982</v>
      </c>
      <c r="CU122" s="143">
        <v>600</v>
      </c>
      <c r="CV122" s="143">
        <v>600</v>
      </c>
      <c r="CW122" s="14">
        <v>660</v>
      </c>
      <c r="CX122" s="14">
        <v>1650</v>
      </c>
      <c r="CY122" s="14">
        <v>1802</v>
      </c>
      <c r="CZ122" s="670">
        <v>2000</v>
      </c>
      <c r="DA122" s="670">
        <v>2000</v>
      </c>
      <c r="DB122" s="670">
        <v>1800</v>
      </c>
      <c r="DC122">
        <v>2000</v>
      </c>
      <c r="DD122">
        <v>1800</v>
      </c>
      <c r="DE122">
        <v>2000</v>
      </c>
      <c r="DF122">
        <v>3000</v>
      </c>
      <c r="DG122">
        <v>1800</v>
      </c>
      <c r="DH122">
        <v>2000</v>
      </c>
      <c r="DI122">
        <v>1800</v>
      </c>
      <c r="DJ122">
        <v>2600</v>
      </c>
      <c r="DK122">
        <v>3000</v>
      </c>
      <c r="DL122">
        <v>3000</v>
      </c>
      <c r="DM122">
        <v>850</v>
      </c>
      <c r="DN122">
        <v>1643.5</v>
      </c>
      <c r="DO122">
        <v>3000</v>
      </c>
      <c r="DP122">
        <v>7000</v>
      </c>
      <c r="DQ122">
        <v>17.75</v>
      </c>
    </row>
    <row r="123" spans="1:121" x14ac:dyDescent="0.2">
      <c r="A123" s="14">
        <v>18</v>
      </c>
      <c r="B123" s="684">
        <f t="shared" si="28"/>
        <v>7.0388213345182167E-3</v>
      </c>
      <c r="C123" s="684">
        <f t="shared" si="29"/>
        <v>7.0388213345182141E-3</v>
      </c>
      <c r="D123" s="684">
        <f t="shared" si="36"/>
        <v>1.7597053336295535E-3</v>
      </c>
      <c r="E123" s="684">
        <f t="shared" si="30"/>
        <v>104.31044494902841</v>
      </c>
      <c r="F123" s="684">
        <f t="shared" si="31"/>
        <v>74.624425891838754</v>
      </c>
      <c r="G123" s="684">
        <f t="shared" si="37"/>
        <v>13.44414874892979</v>
      </c>
      <c r="H123" s="684">
        <f t="shared" si="38"/>
        <v>3.3610371872324474</v>
      </c>
      <c r="I123" s="1052">
        <f>HLOOKUP('Input &amp; Summary'!$B$6,TurbineProfiles,ROW(I123)-49,0)</f>
        <v>1910</v>
      </c>
      <c r="J123" s="684">
        <f t="shared" si="32"/>
        <v>2117.4921141893815</v>
      </c>
      <c r="K123" s="9">
        <f t="shared" si="33"/>
        <v>0.90201044301465383</v>
      </c>
      <c r="L123" s="14">
        <f t="shared" si="34"/>
        <v>11753.561813607366</v>
      </c>
      <c r="M123" s="684">
        <f t="shared" si="35"/>
        <v>6858.1484358520111</v>
      </c>
      <c r="N123" s="684">
        <f t="shared" si="39"/>
        <v>2117.4921141893815</v>
      </c>
      <c r="O123" s="684">
        <f t="shared" si="40"/>
        <v>0.98488929499673994</v>
      </c>
      <c r="P123" s="684">
        <f t="shared" si="41"/>
        <v>3.3610371872324474</v>
      </c>
      <c r="Q123" s="684">
        <f t="shared" si="45"/>
        <v>1.852539941360809E-3</v>
      </c>
      <c r="R123" s="684">
        <f t="shared" si="46"/>
        <v>1.7603439140789767E-3</v>
      </c>
      <c r="S123" s="684">
        <f t="shared" si="42"/>
        <v>3.3622568758908455</v>
      </c>
      <c r="T123" s="684">
        <f t="shared" si="43"/>
        <v>3.538351287999145</v>
      </c>
      <c r="U123" s="14">
        <f t="shared" si="44"/>
        <v>1910</v>
      </c>
      <c r="V123">
        <v>1500</v>
      </c>
      <c r="W123">
        <v>3500</v>
      </c>
      <c r="X123">
        <v>5000</v>
      </c>
      <c r="Y123">
        <v>1500</v>
      </c>
      <c r="Z123">
        <v>3500</v>
      </c>
      <c r="AA123">
        <v>5000</v>
      </c>
      <c r="AB123">
        <v>1500</v>
      </c>
      <c r="AC123">
        <v>3500</v>
      </c>
      <c r="AD123">
        <v>5000</v>
      </c>
      <c r="AE123" s="143">
        <v>1500</v>
      </c>
      <c r="AF123" s="143">
        <v>1500</v>
      </c>
      <c r="AG123" s="143">
        <v>750</v>
      </c>
      <c r="AH123" s="143">
        <v>900</v>
      </c>
      <c r="AI123" s="996">
        <v>900</v>
      </c>
      <c r="AJ123" s="143">
        <v>5000</v>
      </c>
      <c r="AK123" s="143">
        <v>1300</v>
      </c>
      <c r="AL123" s="143">
        <v>2500</v>
      </c>
      <c r="AM123" s="143">
        <v>2500</v>
      </c>
      <c r="AN123" s="143">
        <v>2500</v>
      </c>
      <c r="AO123" s="143">
        <v>2500</v>
      </c>
      <c r="AP123" s="143">
        <v>2000</v>
      </c>
      <c r="AQ123" s="143">
        <v>2000</v>
      </c>
      <c r="AR123" s="143">
        <v>2000</v>
      </c>
      <c r="AS123" s="143">
        <v>2000</v>
      </c>
      <c r="AT123" s="143">
        <v>550</v>
      </c>
      <c r="AU123" s="143">
        <v>750</v>
      </c>
      <c r="AV123" s="143">
        <v>1500</v>
      </c>
      <c r="AW123" s="143">
        <v>1500</v>
      </c>
      <c r="AX123" s="143">
        <v>2500</v>
      </c>
      <c r="AY123" s="143">
        <v>2500</v>
      </c>
      <c r="AZ123" s="143">
        <v>2500</v>
      </c>
      <c r="BA123" s="143">
        <v>800</v>
      </c>
      <c r="BB123" s="143">
        <v>850</v>
      </c>
      <c r="BC123" s="143">
        <v>2000</v>
      </c>
      <c r="BD123" s="143">
        <v>2000</v>
      </c>
      <c r="BE123" s="143">
        <v>2000</v>
      </c>
      <c r="BF123" s="143">
        <v>1500</v>
      </c>
      <c r="BG123" s="143">
        <v>1500</v>
      </c>
      <c r="BH123" s="143">
        <v>1500</v>
      </c>
      <c r="BI123" s="143">
        <v>2500</v>
      </c>
      <c r="BJ123" s="996">
        <v>1000</v>
      </c>
      <c r="BK123" s="143">
        <v>1000</v>
      </c>
      <c r="BL123" s="143">
        <v>2400</v>
      </c>
      <c r="BM123" s="143">
        <v>2400</v>
      </c>
      <c r="BN123" s="143">
        <v>5000</v>
      </c>
      <c r="BO123" s="143">
        <v>739.14</v>
      </c>
      <c r="BP123" s="143">
        <v>749.93</v>
      </c>
      <c r="BQ123" s="143">
        <v>861.81</v>
      </c>
      <c r="BR123" s="143">
        <v>1500</v>
      </c>
      <c r="BS123" s="143">
        <v>1650</v>
      </c>
      <c r="BT123" s="143">
        <v>599.1</v>
      </c>
      <c r="BU123" s="143">
        <v>1322</v>
      </c>
      <c r="BV123" s="143">
        <v>2300</v>
      </c>
      <c r="BW123" s="143">
        <v>2500</v>
      </c>
      <c r="BX123" s="143">
        <v>2500</v>
      </c>
      <c r="BY123" s="143">
        <v>2500</v>
      </c>
      <c r="BZ123" s="996">
        <v>2500</v>
      </c>
      <c r="CA123" s="143">
        <v>1650</v>
      </c>
      <c r="CB123">
        <v>1650</v>
      </c>
      <c r="CC123" s="143">
        <v>2050</v>
      </c>
      <c r="CD123" s="143">
        <v>2050</v>
      </c>
      <c r="CE123" s="143">
        <v>3300</v>
      </c>
      <c r="CF123" s="143">
        <v>5000</v>
      </c>
      <c r="CG123" s="143">
        <v>2300</v>
      </c>
      <c r="CH123" s="143">
        <v>3600</v>
      </c>
      <c r="CI123" s="143">
        <v>2300</v>
      </c>
      <c r="CJ123" s="143">
        <v>2300</v>
      </c>
      <c r="CK123" s="143">
        <v>2300</v>
      </c>
      <c r="CL123" s="143">
        <v>2300</v>
      </c>
      <c r="CM123" s="143">
        <v>3600</v>
      </c>
      <c r="CN123" s="143">
        <v>950</v>
      </c>
      <c r="CO123" s="143">
        <v>1250</v>
      </c>
      <c r="CP123" s="143">
        <v>2100</v>
      </c>
      <c r="CQ123" s="143">
        <v>600</v>
      </c>
      <c r="CR123" s="143">
        <v>1500</v>
      </c>
      <c r="CS123" s="143">
        <v>623.78</v>
      </c>
      <c r="CT123" s="143">
        <v>600.5</v>
      </c>
      <c r="CU123" s="143">
        <v>600</v>
      </c>
      <c r="CV123" s="143">
        <v>600</v>
      </c>
      <c r="CW123" s="14">
        <v>660</v>
      </c>
      <c r="CX123" s="14">
        <v>1650</v>
      </c>
      <c r="CY123" s="14">
        <v>1802</v>
      </c>
      <c r="CZ123" s="670">
        <v>2000</v>
      </c>
      <c r="DA123" s="670">
        <v>2000</v>
      </c>
      <c r="DB123" s="670">
        <v>1800</v>
      </c>
      <c r="DC123">
        <v>2000</v>
      </c>
      <c r="DD123">
        <v>1800</v>
      </c>
      <c r="DE123">
        <v>2000</v>
      </c>
      <c r="DF123">
        <v>3000</v>
      </c>
      <c r="DG123">
        <v>1800</v>
      </c>
      <c r="DH123">
        <v>2000</v>
      </c>
      <c r="DI123">
        <v>1800</v>
      </c>
      <c r="DJ123">
        <v>2600</v>
      </c>
      <c r="DK123">
        <v>3000</v>
      </c>
      <c r="DL123">
        <v>3000</v>
      </c>
      <c r="DM123">
        <v>850</v>
      </c>
      <c r="DN123">
        <v>1646</v>
      </c>
      <c r="DO123">
        <v>3000</v>
      </c>
      <c r="DP123">
        <v>7000</v>
      </c>
      <c r="DQ123">
        <v>18</v>
      </c>
    </row>
    <row r="124" spans="1:121" x14ac:dyDescent="0.2">
      <c r="A124" s="14">
        <v>18.25</v>
      </c>
      <c r="B124" s="684">
        <f t="shared" si="28"/>
        <v>6.3469293335503925E-3</v>
      </c>
      <c r="C124" s="684">
        <f t="shared" si="29"/>
        <v>6.3469293335503864E-3</v>
      </c>
      <c r="D124" s="684">
        <f t="shared" si="36"/>
        <v>1.5867323333875966E-3</v>
      </c>
      <c r="E124" s="684">
        <f t="shared" si="30"/>
        <v>98.030814318199589</v>
      </c>
      <c r="F124" s="684">
        <f t="shared" si="31"/>
        <v>70.131933976312993</v>
      </c>
      <c r="G124" s="684">
        <f t="shared" si="37"/>
        <v>12.122635027081238</v>
      </c>
      <c r="H124" s="684">
        <f t="shared" si="38"/>
        <v>3.0306587567703094</v>
      </c>
      <c r="I124" s="1052">
        <f>HLOOKUP('Input &amp; Summary'!$B$6,TurbineProfiles,ROW(I124)-49,0)</f>
        <v>1910</v>
      </c>
      <c r="J124" s="684">
        <f t="shared" si="32"/>
        <v>2117.4921141893815</v>
      </c>
      <c r="K124" s="9">
        <f t="shared" si="33"/>
        <v>0.90201044301465383</v>
      </c>
      <c r="L124" s="14">
        <f t="shared" si="34"/>
        <v>12250.126875546819</v>
      </c>
      <c r="M124" s="684">
        <f t="shared" si="35"/>
        <v>7009.4838854434429</v>
      </c>
      <c r="N124" s="684">
        <f t="shared" si="39"/>
        <v>2117.4921141893815</v>
      </c>
      <c r="O124" s="684">
        <f t="shared" si="40"/>
        <v>0.98656127444972097</v>
      </c>
      <c r="P124" s="684">
        <f t="shared" si="41"/>
        <v>3.0306587567703094</v>
      </c>
      <c r="Q124" s="684">
        <f t="shared" si="45"/>
        <v>1.6719794529810317E-3</v>
      </c>
      <c r="R124" s="684">
        <f t="shared" si="46"/>
        <v>1.5873332258696804E-3</v>
      </c>
      <c r="S124" s="684">
        <f t="shared" si="42"/>
        <v>3.0318064614110893</v>
      </c>
      <c r="T124" s="684">
        <f t="shared" si="43"/>
        <v>3.1934807551937707</v>
      </c>
      <c r="U124" s="14">
        <f t="shared" si="44"/>
        <v>1910</v>
      </c>
      <c r="V124">
        <v>1500</v>
      </c>
      <c r="W124">
        <v>3500</v>
      </c>
      <c r="X124">
        <v>5000</v>
      </c>
      <c r="Y124">
        <v>1500</v>
      </c>
      <c r="Z124">
        <v>3500</v>
      </c>
      <c r="AA124">
        <v>5000</v>
      </c>
      <c r="AB124">
        <v>1500</v>
      </c>
      <c r="AC124">
        <v>3500</v>
      </c>
      <c r="AD124">
        <v>5000</v>
      </c>
      <c r="AE124" s="143">
        <v>1500</v>
      </c>
      <c r="AF124" s="143">
        <v>1500</v>
      </c>
      <c r="AG124" s="143">
        <v>750</v>
      </c>
      <c r="AH124" s="143">
        <v>900</v>
      </c>
      <c r="AI124" s="996">
        <v>900</v>
      </c>
      <c r="AJ124" s="143">
        <v>5000</v>
      </c>
      <c r="AK124" s="143">
        <v>1300</v>
      </c>
      <c r="AL124" s="143">
        <v>2500</v>
      </c>
      <c r="AM124" s="143">
        <v>2500</v>
      </c>
      <c r="AN124" s="143">
        <v>2500</v>
      </c>
      <c r="AO124" s="143">
        <v>2500</v>
      </c>
      <c r="AP124" s="143">
        <v>2000</v>
      </c>
      <c r="AQ124" s="143">
        <v>2000</v>
      </c>
      <c r="AR124" s="143">
        <v>2000</v>
      </c>
      <c r="AS124" s="143">
        <v>2000</v>
      </c>
      <c r="AT124" s="143">
        <v>550</v>
      </c>
      <c r="AU124" s="143">
        <v>750</v>
      </c>
      <c r="AV124" s="143">
        <v>1500</v>
      </c>
      <c r="AW124" s="143">
        <v>1500</v>
      </c>
      <c r="AX124" s="143">
        <v>2500</v>
      </c>
      <c r="AY124" s="143">
        <v>2500</v>
      </c>
      <c r="AZ124" s="143">
        <v>2500</v>
      </c>
      <c r="BA124" s="143">
        <v>800</v>
      </c>
      <c r="BB124" s="143">
        <v>850</v>
      </c>
      <c r="BC124" s="143">
        <v>2000</v>
      </c>
      <c r="BD124" s="143">
        <v>2000</v>
      </c>
      <c r="BE124" s="143">
        <v>2000</v>
      </c>
      <c r="BF124" s="143">
        <v>1500</v>
      </c>
      <c r="BG124" s="143">
        <v>1500</v>
      </c>
      <c r="BH124" s="143">
        <v>1500</v>
      </c>
      <c r="BI124" s="143">
        <v>2500</v>
      </c>
      <c r="BJ124" s="996">
        <v>1000</v>
      </c>
      <c r="BK124" s="143">
        <v>1000</v>
      </c>
      <c r="BL124" s="143">
        <v>2400</v>
      </c>
      <c r="BM124" s="143">
        <v>2400</v>
      </c>
      <c r="BN124" s="143">
        <v>5000</v>
      </c>
      <c r="BO124" s="143">
        <v>735.41</v>
      </c>
      <c r="BP124" s="143">
        <v>744.24</v>
      </c>
      <c r="BQ124" s="143">
        <v>855.83</v>
      </c>
      <c r="BR124" s="143">
        <v>1500</v>
      </c>
      <c r="BS124" s="143">
        <v>1650</v>
      </c>
      <c r="BT124" s="143">
        <v>599.1</v>
      </c>
      <c r="BU124" s="143">
        <v>1321.25</v>
      </c>
      <c r="BV124" s="143">
        <v>2300</v>
      </c>
      <c r="BW124" s="143">
        <v>2500</v>
      </c>
      <c r="BX124" s="143">
        <v>2500</v>
      </c>
      <c r="BY124" s="143">
        <v>2500</v>
      </c>
      <c r="BZ124" s="996">
        <v>2500</v>
      </c>
      <c r="CA124" s="143">
        <v>1650</v>
      </c>
      <c r="CB124">
        <v>1650</v>
      </c>
      <c r="CC124" s="143">
        <v>2050</v>
      </c>
      <c r="CD124" s="143">
        <v>2050</v>
      </c>
      <c r="CE124" s="143">
        <v>3300</v>
      </c>
      <c r="CF124" s="143">
        <v>5000</v>
      </c>
      <c r="CG124" s="143">
        <v>2300</v>
      </c>
      <c r="CH124" s="143">
        <v>3600</v>
      </c>
      <c r="CI124" s="143">
        <v>2300</v>
      </c>
      <c r="CJ124" s="143">
        <v>2300</v>
      </c>
      <c r="CK124" s="143">
        <v>2300</v>
      </c>
      <c r="CL124" s="143">
        <v>2300</v>
      </c>
      <c r="CM124" s="143">
        <v>3600</v>
      </c>
      <c r="CN124" s="143">
        <v>950</v>
      </c>
      <c r="CO124" s="143">
        <v>1250</v>
      </c>
      <c r="CP124" s="143">
        <v>2100</v>
      </c>
      <c r="CQ124" s="143">
        <v>600</v>
      </c>
      <c r="CR124" s="143">
        <v>1500</v>
      </c>
      <c r="CS124" s="143">
        <v>623.78</v>
      </c>
      <c r="CT124" s="143">
        <v>597.79999999999995</v>
      </c>
      <c r="CU124" s="143">
        <v>600</v>
      </c>
      <c r="CV124" s="143">
        <v>600</v>
      </c>
      <c r="CW124" s="14">
        <v>660</v>
      </c>
      <c r="CX124" s="14">
        <v>1650</v>
      </c>
      <c r="CY124" s="14">
        <v>1802</v>
      </c>
      <c r="CZ124" s="670">
        <v>2000</v>
      </c>
      <c r="DA124" s="670">
        <v>2000</v>
      </c>
      <c r="DB124" s="670">
        <v>1800</v>
      </c>
      <c r="DC124">
        <v>2000</v>
      </c>
      <c r="DD124">
        <v>1800</v>
      </c>
      <c r="DE124">
        <v>2000</v>
      </c>
      <c r="DF124">
        <v>3000</v>
      </c>
      <c r="DG124">
        <v>1800</v>
      </c>
      <c r="DH124">
        <v>2000</v>
      </c>
      <c r="DI124">
        <v>1800</v>
      </c>
      <c r="DJ124">
        <v>2600</v>
      </c>
      <c r="DK124">
        <v>3000</v>
      </c>
      <c r="DL124">
        <v>3000</v>
      </c>
      <c r="DM124">
        <v>850</v>
      </c>
      <c r="DN124">
        <v>1647</v>
      </c>
      <c r="DO124">
        <v>3000</v>
      </c>
      <c r="DP124">
        <v>7000</v>
      </c>
      <c r="DQ124">
        <v>18.25</v>
      </c>
    </row>
    <row r="125" spans="1:121" x14ac:dyDescent="0.2">
      <c r="A125" s="14">
        <v>18.5</v>
      </c>
      <c r="B125" s="684">
        <f t="shared" si="28"/>
        <v>5.7127266467096628E-3</v>
      </c>
      <c r="C125" s="684">
        <f t="shared" si="29"/>
        <v>5.7127266467096602E-3</v>
      </c>
      <c r="D125" s="684">
        <f t="shared" si="36"/>
        <v>1.4281816616774151E-3</v>
      </c>
      <c r="E125" s="684">
        <f t="shared" si="30"/>
        <v>91.911312892392829</v>
      </c>
      <c r="F125" s="684">
        <f t="shared" si="31"/>
        <v>65.753999620187216</v>
      </c>
      <c r="G125" s="684">
        <f t="shared" si="37"/>
        <v>10.911307895215451</v>
      </c>
      <c r="H125" s="684">
        <f t="shared" si="38"/>
        <v>2.7278269738038627</v>
      </c>
      <c r="I125" s="1052">
        <f>HLOOKUP('Input &amp; Summary'!$B$6,TurbineProfiles,ROW(I125)-49,0)</f>
        <v>1910</v>
      </c>
      <c r="J125" s="684">
        <f t="shared" si="32"/>
        <v>2117.4921141893815</v>
      </c>
      <c r="K125" s="9">
        <f t="shared" si="33"/>
        <v>0.90201044301465383</v>
      </c>
      <c r="L125" s="14">
        <f t="shared" si="34"/>
        <v>12760.484536708123</v>
      </c>
      <c r="M125" s="684">
        <f t="shared" si="35"/>
        <v>7160.8193350348747</v>
      </c>
      <c r="N125" s="684">
        <f t="shared" si="39"/>
        <v>2117.4921141893815</v>
      </c>
      <c r="O125" s="684">
        <f t="shared" si="40"/>
        <v>0.98806756696386111</v>
      </c>
      <c r="P125" s="684">
        <f t="shared" si="41"/>
        <v>2.7278269738038627</v>
      </c>
      <c r="Q125" s="684">
        <f t="shared" si="45"/>
        <v>1.5062925141401395E-3</v>
      </c>
      <c r="R125" s="684">
        <f t="shared" si="46"/>
        <v>1.4287453989451082E-3</v>
      </c>
      <c r="S125" s="684">
        <f t="shared" si="42"/>
        <v>2.7289037119851569</v>
      </c>
      <c r="T125" s="684">
        <f t="shared" si="43"/>
        <v>2.8770187020076667</v>
      </c>
      <c r="U125" s="14">
        <f t="shared" si="44"/>
        <v>1910</v>
      </c>
      <c r="V125">
        <v>1500</v>
      </c>
      <c r="W125">
        <v>3500</v>
      </c>
      <c r="X125">
        <v>5000</v>
      </c>
      <c r="Y125">
        <v>1500</v>
      </c>
      <c r="Z125">
        <v>3500</v>
      </c>
      <c r="AA125">
        <v>5000</v>
      </c>
      <c r="AB125">
        <v>1500</v>
      </c>
      <c r="AC125">
        <v>3500</v>
      </c>
      <c r="AD125">
        <v>5000</v>
      </c>
      <c r="AE125" s="143">
        <v>1500</v>
      </c>
      <c r="AF125" s="143">
        <v>1500</v>
      </c>
      <c r="AG125" s="143">
        <v>750</v>
      </c>
      <c r="AH125" s="143">
        <v>900</v>
      </c>
      <c r="AI125" s="996">
        <v>900</v>
      </c>
      <c r="AJ125" s="143">
        <v>5000</v>
      </c>
      <c r="AK125" s="143">
        <v>1300</v>
      </c>
      <c r="AL125" s="143">
        <v>2500</v>
      </c>
      <c r="AM125" s="143">
        <v>2500</v>
      </c>
      <c r="AN125" s="143">
        <v>2500</v>
      </c>
      <c r="AO125" s="143">
        <v>2500</v>
      </c>
      <c r="AP125" s="143">
        <v>2000</v>
      </c>
      <c r="AQ125" s="143">
        <v>2000</v>
      </c>
      <c r="AR125" s="143">
        <v>2000</v>
      </c>
      <c r="AS125" s="143">
        <v>2000</v>
      </c>
      <c r="AT125" s="143">
        <v>550</v>
      </c>
      <c r="AU125" s="143">
        <v>750</v>
      </c>
      <c r="AV125" s="143">
        <v>1500</v>
      </c>
      <c r="AW125" s="143">
        <v>1500</v>
      </c>
      <c r="AX125" s="143">
        <v>2500</v>
      </c>
      <c r="AY125" s="143">
        <v>2500</v>
      </c>
      <c r="AZ125" s="143">
        <v>2500</v>
      </c>
      <c r="BA125" s="143">
        <v>800</v>
      </c>
      <c r="BB125" s="143">
        <v>850</v>
      </c>
      <c r="BC125" s="143">
        <v>2000</v>
      </c>
      <c r="BD125" s="143">
        <v>2000</v>
      </c>
      <c r="BE125" s="143">
        <v>2000</v>
      </c>
      <c r="BF125" s="143">
        <v>1500</v>
      </c>
      <c r="BG125" s="143">
        <v>1500</v>
      </c>
      <c r="BH125" s="143">
        <v>1500</v>
      </c>
      <c r="BI125" s="143">
        <v>2500</v>
      </c>
      <c r="BJ125" s="996">
        <v>1000</v>
      </c>
      <c r="BK125" s="143">
        <v>1000</v>
      </c>
      <c r="BL125" s="143">
        <v>2400</v>
      </c>
      <c r="BM125" s="143">
        <v>2400</v>
      </c>
      <c r="BN125" s="143">
        <v>5000</v>
      </c>
      <c r="BO125" s="143">
        <v>731.68</v>
      </c>
      <c r="BP125" s="143">
        <v>741.43</v>
      </c>
      <c r="BQ125" s="143">
        <v>851.85</v>
      </c>
      <c r="BR125" s="143">
        <v>1500</v>
      </c>
      <c r="BS125" s="143">
        <v>1650</v>
      </c>
      <c r="BT125" s="143">
        <v>599.1</v>
      </c>
      <c r="BU125" s="143">
        <v>1320.5</v>
      </c>
      <c r="BV125" s="143">
        <v>2300</v>
      </c>
      <c r="BW125" s="143">
        <v>2500</v>
      </c>
      <c r="BX125" s="143">
        <v>2500</v>
      </c>
      <c r="BY125" s="143">
        <v>2500</v>
      </c>
      <c r="BZ125" s="996">
        <v>2500</v>
      </c>
      <c r="CA125" s="143">
        <v>1650</v>
      </c>
      <c r="CB125">
        <v>1650</v>
      </c>
      <c r="CC125" s="143">
        <v>2050</v>
      </c>
      <c r="CD125" s="143">
        <v>2050</v>
      </c>
      <c r="CE125" s="143">
        <v>3300</v>
      </c>
      <c r="CF125" s="143">
        <v>5000</v>
      </c>
      <c r="CG125" s="143">
        <v>2300</v>
      </c>
      <c r="CH125" s="143">
        <v>3600</v>
      </c>
      <c r="CI125" s="143">
        <v>2300</v>
      </c>
      <c r="CJ125" s="143">
        <v>2300</v>
      </c>
      <c r="CK125" s="143">
        <v>2300</v>
      </c>
      <c r="CL125" s="143">
        <v>2300</v>
      </c>
      <c r="CM125" s="143">
        <v>3600</v>
      </c>
      <c r="CN125" s="143">
        <v>950</v>
      </c>
      <c r="CO125" s="143">
        <v>1250</v>
      </c>
      <c r="CP125" s="143">
        <v>2100</v>
      </c>
      <c r="CQ125" s="143">
        <v>600</v>
      </c>
      <c r="CR125" s="143">
        <v>1500</v>
      </c>
      <c r="CS125" s="143">
        <v>623.78</v>
      </c>
      <c r="CT125" s="143">
        <v>595.09999999999991</v>
      </c>
      <c r="CU125" s="143">
        <v>600</v>
      </c>
      <c r="CV125" s="143">
        <v>600</v>
      </c>
      <c r="CW125" s="14">
        <v>660</v>
      </c>
      <c r="CX125" s="14">
        <v>1650</v>
      </c>
      <c r="CY125" s="14">
        <v>1802</v>
      </c>
      <c r="CZ125" s="670">
        <v>2000</v>
      </c>
      <c r="DA125" s="670">
        <v>2000</v>
      </c>
      <c r="DB125" s="670">
        <v>1800</v>
      </c>
      <c r="DC125">
        <v>2000</v>
      </c>
      <c r="DD125">
        <v>1800</v>
      </c>
      <c r="DE125">
        <v>2000</v>
      </c>
      <c r="DF125">
        <v>3000</v>
      </c>
      <c r="DG125">
        <v>1800</v>
      </c>
      <c r="DH125">
        <v>2000</v>
      </c>
      <c r="DI125">
        <v>1800</v>
      </c>
      <c r="DJ125">
        <v>2600</v>
      </c>
      <c r="DK125">
        <v>3000</v>
      </c>
      <c r="DL125">
        <v>3000</v>
      </c>
      <c r="DM125">
        <v>850</v>
      </c>
      <c r="DN125">
        <v>1648</v>
      </c>
      <c r="DO125">
        <v>3000</v>
      </c>
      <c r="DP125">
        <v>7000</v>
      </c>
      <c r="DQ125">
        <v>18.5</v>
      </c>
    </row>
    <row r="126" spans="1:121" x14ac:dyDescent="0.2">
      <c r="A126" s="14">
        <v>18.75</v>
      </c>
      <c r="B126" s="684">
        <f t="shared" si="28"/>
        <v>5.1326478913019842E-3</v>
      </c>
      <c r="C126" s="684">
        <f t="shared" si="29"/>
        <v>5.1326478913019833E-3</v>
      </c>
      <c r="D126" s="684">
        <f t="shared" si="36"/>
        <v>1.2831619728254958E-3</v>
      </c>
      <c r="E126" s="684">
        <f t="shared" si="30"/>
        <v>85.971722665455275</v>
      </c>
      <c r="F126" s="684">
        <f t="shared" si="31"/>
        <v>61.504775000978832</v>
      </c>
      <c r="G126" s="684">
        <f t="shared" si="37"/>
        <v>9.8033574723867876</v>
      </c>
      <c r="H126" s="684">
        <f t="shared" si="38"/>
        <v>2.4508393680966969</v>
      </c>
      <c r="I126" s="1052">
        <f>HLOOKUP('Input &amp; Summary'!$B$6,TurbineProfiles,ROW(I126)-49,0)</f>
        <v>1910</v>
      </c>
      <c r="J126" s="684">
        <f t="shared" si="32"/>
        <v>2117.4921141893815</v>
      </c>
      <c r="K126" s="9">
        <f t="shared" si="33"/>
        <v>0.90201044301465383</v>
      </c>
      <c r="L126" s="14">
        <f t="shared" si="34"/>
        <v>13284.823736806649</v>
      </c>
      <c r="M126" s="684">
        <f t="shared" si="35"/>
        <v>7312.1547846263074</v>
      </c>
      <c r="N126" s="684">
        <f t="shared" si="39"/>
        <v>2117.4921141893815</v>
      </c>
      <c r="O126" s="684">
        <f t="shared" si="40"/>
        <v>0.98942214789866911</v>
      </c>
      <c r="P126" s="684">
        <f t="shared" si="41"/>
        <v>2.4508393680966969</v>
      </c>
      <c r="Q126" s="684">
        <f t="shared" si="45"/>
        <v>1.3545809348080029E-3</v>
      </c>
      <c r="R126" s="684">
        <f t="shared" si="46"/>
        <v>1.2836893109284819E-3</v>
      </c>
      <c r="S126" s="684">
        <f t="shared" si="42"/>
        <v>2.4518465838734005</v>
      </c>
      <c r="T126" s="684">
        <f t="shared" si="43"/>
        <v>2.5872495854832858</v>
      </c>
      <c r="U126" s="14">
        <f t="shared" si="44"/>
        <v>1910</v>
      </c>
      <c r="V126">
        <v>1500</v>
      </c>
      <c r="W126">
        <v>3500</v>
      </c>
      <c r="X126">
        <v>5000</v>
      </c>
      <c r="Y126">
        <v>1500</v>
      </c>
      <c r="Z126">
        <v>3500</v>
      </c>
      <c r="AA126">
        <v>5000</v>
      </c>
      <c r="AB126">
        <v>1500</v>
      </c>
      <c r="AC126">
        <v>3500</v>
      </c>
      <c r="AD126">
        <v>5000</v>
      </c>
      <c r="AE126" s="143">
        <v>1500</v>
      </c>
      <c r="AF126" s="143">
        <v>1500</v>
      </c>
      <c r="AG126" s="143">
        <v>750</v>
      </c>
      <c r="AH126" s="143">
        <v>900</v>
      </c>
      <c r="AI126" s="996">
        <v>900</v>
      </c>
      <c r="AJ126" s="143">
        <v>5000</v>
      </c>
      <c r="AK126" s="143">
        <v>1300</v>
      </c>
      <c r="AL126" s="143">
        <v>2500</v>
      </c>
      <c r="AM126" s="143">
        <v>2500</v>
      </c>
      <c r="AN126" s="143">
        <v>2500</v>
      </c>
      <c r="AO126" s="143">
        <v>2500</v>
      </c>
      <c r="AP126" s="143">
        <v>2000</v>
      </c>
      <c r="AQ126" s="143">
        <v>2000</v>
      </c>
      <c r="AR126" s="143">
        <v>2000</v>
      </c>
      <c r="AS126" s="143">
        <v>2000</v>
      </c>
      <c r="AT126" s="143">
        <v>550</v>
      </c>
      <c r="AU126" s="143">
        <v>750</v>
      </c>
      <c r="AV126" s="143">
        <v>1500</v>
      </c>
      <c r="AW126" s="143">
        <v>1500</v>
      </c>
      <c r="AX126" s="143">
        <v>2500</v>
      </c>
      <c r="AY126" s="143">
        <v>2500</v>
      </c>
      <c r="AZ126" s="143">
        <v>2500</v>
      </c>
      <c r="BA126" s="143">
        <v>800</v>
      </c>
      <c r="BB126" s="143">
        <v>850</v>
      </c>
      <c r="BC126" s="143">
        <v>2000</v>
      </c>
      <c r="BD126" s="143">
        <v>2000</v>
      </c>
      <c r="BE126" s="143">
        <v>2000</v>
      </c>
      <c r="BF126" s="143">
        <v>1500</v>
      </c>
      <c r="BG126" s="143">
        <v>1500</v>
      </c>
      <c r="BH126" s="143">
        <v>1500</v>
      </c>
      <c r="BI126" s="143">
        <v>2500</v>
      </c>
      <c r="BJ126" s="996">
        <v>1000</v>
      </c>
      <c r="BK126" s="143">
        <v>1000</v>
      </c>
      <c r="BL126" s="143">
        <v>2400</v>
      </c>
      <c r="BM126" s="143">
        <v>2400</v>
      </c>
      <c r="BN126" s="143">
        <v>5000</v>
      </c>
      <c r="BO126" s="143">
        <v>727.94</v>
      </c>
      <c r="BP126" s="143">
        <v>738.62</v>
      </c>
      <c r="BQ126" s="143">
        <v>847.89</v>
      </c>
      <c r="BR126" s="143">
        <v>1500</v>
      </c>
      <c r="BS126" s="143">
        <v>1650</v>
      </c>
      <c r="BT126" s="143">
        <v>599.1</v>
      </c>
      <c r="BU126" s="143">
        <v>1319.75</v>
      </c>
      <c r="BV126" s="143">
        <v>2300</v>
      </c>
      <c r="BW126" s="143">
        <v>2500</v>
      </c>
      <c r="BX126" s="143">
        <v>2500</v>
      </c>
      <c r="BY126" s="143">
        <v>2500</v>
      </c>
      <c r="BZ126" s="996">
        <v>2500</v>
      </c>
      <c r="CA126" s="143">
        <v>1650</v>
      </c>
      <c r="CB126">
        <v>1650</v>
      </c>
      <c r="CC126" s="143">
        <v>2050</v>
      </c>
      <c r="CD126" s="143">
        <v>2050</v>
      </c>
      <c r="CE126" s="143">
        <v>3300</v>
      </c>
      <c r="CF126" s="143">
        <v>5000</v>
      </c>
      <c r="CG126" s="143">
        <v>2300</v>
      </c>
      <c r="CH126" s="143">
        <v>3600</v>
      </c>
      <c r="CI126" s="143">
        <v>2300</v>
      </c>
      <c r="CJ126" s="143">
        <v>2300</v>
      </c>
      <c r="CK126" s="143">
        <v>2300</v>
      </c>
      <c r="CL126" s="143">
        <v>2300</v>
      </c>
      <c r="CM126" s="143">
        <v>3600</v>
      </c>
      <c r="CN126" s="143">
        <v>950</v>
      </c>
      <c r="CO126" s="143">
        <v>1250</v>
      </c>
      <c r="CP126" s="143">
        <v>2100</v>
      </c>
      <c r="CQ126" s="143">
        <v>600</v>
      </c>
      <c r="CR126" s="143">
        <v>1500</v>
      </c>
      <c r="CS126" s="143">
        <v>623.78</v>
      </c>
      <c r="CT126" s="143">
        <v>592.39999999999986</v>
      </c>
      <c r="CU126" s="143">
        <v>600</v>
      </c>
      <c r="CV126" s="143">
        <v>600</v>
      </c>
      <c r="CW126" s="14">
        <v>660</v>
      </c>
      <c r="CX126" s="14">
        <v>1650</v>
      </c>
      <c r="CY126" s="14">
        <v>1802</v>
      </c>
      <c r="CZ126" s="670">
        <v>2000</v>
      </c>
      <c r="DA126" s="670">
        <v>2000</v>
      </c>
      <c r="DB126" s="670">
        <v>1800</v>
      </c>
      <c r="DC126">
        <v>2000</v>
      </c>
      <c r="DD126">
        <v>1800</v>
      </c>
      <c r="DE126">
        <v>2000</v>
      </c>
      <c r="DF126">
        <v>3000</v>
      </c>
      <c r="DG126">
        <v>1800</v>
      </c>
      <c r="DH126">
        <v>2000</v>
      </c>
      <c r="DI126">
        <v>1800</v>
      </c>
      <c r="DJ126">
        <v>2600</v>
      </c>
      <c r="DK126">
        <v>3000</v>
      </c>
      <c r="DL126">
        <v>3000</v>
      </c>
      <c r="DM126">
        <v>850</v>
      </c>
      <c r="DN126">
        <v>1649</v>
      </c>
      <c r="DO126">
        <v>3000</v>
      </c>
      <c r="DP126">
        <v>7000</v>
      </c>
      <c r="DQ126">
        <v>18.75</v>
      </c>
    </row>
    <row r="127" spans="1:121" x14ac:dyDescent="0.2">
      <c r="A127" s="14">
        <v>19</v>
      </c>
      <c r="B127" s="684">
        <f t="shared" si="28"/>
        <v>4.6032000471272127E-3</v>
      </c>
      <c r="C127" s="684">
        <f t="shared" si="29"/>
        <v>4.603200047127211E-3</v>
      </c>
      <c r="D127" s="684">
        <f t="shared" si="36"/>
        <v>1.1508000117818027E-3</v>
      </c>
      <c r="E127" s="684">
        <f t="shared" si="30"/>
        <v>80.228928642963879</v>
      </c>
      <c r="F127" s="684">
        <f t="shared" si="31"/>
        <v>57.396339770423374</v>
      </c>
      <c r="G127" s="684">
        <f t="shared" si="37"/>
        <v>8.7921120900129726</v>
      </c>
      <c r="H127" s="684">
        <f t="shared" si="38"/>
        <v>2.1980280225032431</v>
      </c>
      <c r="I127" s="1052">
        <f>HLOOKUP('Input &amp; Summary'!$B$6,TurbineProfiles,ROW(I127)-49,0)</f>
        <v>1910</v>
      </c>
      <c r="J127" s="684">
        <f t="shared" si="32"/>
        <v>2117.4921141893815</v>
      </c>
      <c r="K127" s="9">
        <f t="shared" si="33"/>
        <v>0.90201044301465383</v>
      </c>
      <c r="L127" s="14">
        <f t="shared" si="34"/>
        <v>13823.333415557778</v>
      </c>
      <c r="M127" s="684">
        <f t="shared" si="35"/>
        <v>7463.4902342177393</v>
      </c>
      <c r="N127" s="684">
        <f t="shared" si="39"/>
        <v>2117.4921141893815</v>
      </c>
      <c r="O127" s="684">
        <f t="shared" si="40"/>
        <v>0.99063810989911938</v>
      </c>
      <c r="P127" s="684">
        <f t="shared" si="41"/>
        <v>2.1980280225032431</v>
      </c>
      <c r="Q127" s="684">
        <f t="shared" si="45"/>
        <v>1.2159620004502658E-3</v>
      </c>
      <c r="R127" s="684">
        <f t="shared" si="46"/>
        <v>1.1512918979822429E-3</v>
      </c>
      <c r="S127" s="684">
        <f t="shared" si="42"/>
        <v>2.1989675251460836</v>
      </c>
      <c r="T127" s="684">
        <f t="shared" si="43"/>
        <v>2.3224874208600079</v>
      </c>
      <c r="U127" s="14">
        <f t="shared" si="44"/>
        <v>1910</v>
      </c>
      <c r="V127">
        <v>1500</v>
      </c>
      <c r="W127">
        <v>3500</v>
      </c>
      <c r="X127">
        <v>5000</v>
      </c>
      <c r="Y127">
        <v>1500</v>
      </c>
      <c r="Z127">
        <v>3500</v>
      </c>
      <c r="AA127">
        <v>5000</v>
      </c>
      <c r="AB127">
        <v>1500</v>
      </c>
      <c r="AC127">
        <v>3500</v>
      </c>
      <c r="AD127">
        <v>5000</v>
      </c>
      <c r="AE127" s="143">
        <v>1500</v>
      </c>
      <c r="AF127" s="143">
        <v>1500</v>
      </c>
      <c r="AG127" s="143">
        <v>750</v>
      </c>
      <c r="AH127" s="143">
        <v>900</v>
      </c>
      <c r="AI127" s="996">
        <v>900</v>
      </c>
      <c r="AJ127" s="143">
        <v>5000</v>
      </c>
      <c r="AK127" s="143">
        <v>1300</v>
      </c>
      <c r="AL127" s="143">
        <v>2500</v>
      </c>
      <c r="AM127" s="143">
        <v>2500</v>
      </c>
      <c r="AN127" s="143">
        <v>2500</v>
      </c>
      <c r="AO127" s="143">
        <v>2500</v>
      </c>
      <c r="AP127" s="143">
        <v>2000</v>
      </c>
      <c r="AQ127" s="143">
        <v>2000</v>
      </c>
      <c r="AR127" s="143">
        <v>2000</v>
      </c>
      <c r="AS127" s="143">
        <v>2000</v>
      </c>
      <c r="AT127" s="143">
        <v>550</v>
      </c>
      <c r="AU127" s="143">
        <v>750</v>
      </c>
      <c r="AV127" s="143">
        <v>1500</v>
      </c>
      <c r="AW127" s="143">
        <v>1500</v>
      </c>
      <c r="AX127" s="143">
        <v>2500</v>
      </c>
      <c r="AY127" s="143">
        <v>2500</v>
      </c>
      <c r="AZ127" s="143">
        <v>2500</v>
      </c>
      <c r="BA127" s="143">
        <v>800</v>
      </c>
      <c r="BB127" s="143">
        <v>850</v>
      </c>
      <c r="BC127" s="143">
        <v>2000</v>
      </c>
      <c r="BD127" s="143">
        <v>2000</v>
      </c>
      <c r="BE127" s="143">
        <v>2000</v>
      </c>
      <c r="BF127" s="143">
        <v>1500</v>
      </c>
      <c r="BG127" s="143">
        <v>1500</v>
      </c>
      <c r="BH127" s="143">
        <v>1500</v>
      </c>
      <c r="BI127" s="143">
        <v>2500</v>
      </c>
      <c r="BJ127" s="996">
        <v>1000</v>
      </c>
      <c r="BK127" s="143">
        <v>1000</v>
      </c>
      <c r="BL127" s="143">
        <v>2400</v>
      </c>
      <c r="BM127" s="143">
        <v>2400</v>
      </c>
      <c r="BN127" s="143">
        <v>5000</v>
      </c>
      <c r="BO127" s="143">
        <v>724.21</v>
      </c>
      <c r="BP127" s="143">
        <v>735.8</v>
      </c>
      <c r="BQ127" s="143">
        <v>841.91</v>
      </c>
      <c r="BR127" s="143">
        <v>1500</v>
      </c>
      <c r="BS127" s="143">
        <v>1650</v>
      </c>
      <c r="BT127" s="143">
        <v>599.1</v>
      </c>
      <c r="BU127" s="143">
        <v>1319</v>
      </c>
      <c r="BV127" s="143">
        <v>2300</v>
      </c>
      <c r="BW127" s="143">
        <v>2500</v>
      </c>
      <c r="BX127" s="143">
        <v>2500</v>
      </c>
      <c r="BY127" s="143">
        <v>2500</v>
      </c>
      <c r="BZ127" s="996">
        <v>2500</v>
      </c>
      <c r="CA127" s="143">
        <v>1650</v>
      </c>
      <c r="CB127">
        <v>1650</v>
      </c>
      <c r="CC127" s="143">
        <v>2050</v>
      </c>
      <c r="CD127" s="143">
        <v>2050</v>
      </c>
      <c r="CE127" s="143">
        <v>3300</v>
      </c>
      <c r="CF127" s="143">
        <v>5000</v>
      </c>
      <c r="CG127" s="143">
        <v>2300</v>
      </c>
      <c r="CH127" s="143">
        <v>3600</v>
      </c>
      <c r="CI127" s="143">
        <v>2300</v>
      </c>
      <c r="CJ127" s="143">
        <v>2300</v>
      </c>
      <c r="CK127" s="143">
        <v>2300</v>
      </c>
      <c r="CL127" s="143">
        <v>2300</v>
      </c>
      <c r="CM127" s="143">
        <v>3600</v>
      </c>
      <c r="CN127" s="143">
        <v>950</v>
      </c>
      <c r="CO127" s="143">
        <v>1250</v>
      </c>
      <c r="CP127" s="143">
        <v>2100</v>
      </c>
      <c r="CQ127" s="143">
        <v>600</v>
      </c>
      <c r="CR127" s="143">
        <v>1500</v>
      </c>
      <c r="CS127" s="143">
        <v>623.78</v>
      </c>
      <c r="CT127" s="143">
        <v>589.70000000000005</v>
      </c>
      <c r="CU127" s="143">
        <v>600</v>
      </c>
      <c r="CV127" s="143">
        <v>600</v>
      </c>
      <c r="CW127" s="14">
        <v>660</v>
      </c>
      <c r="CX127" s="14">
        <v>1650</v>
      </c>
      <c r="CY127" s="14">
        <v>1802</v>
      </c>
      <c r="CZ127" s="670">
        <v>2000</v>
      </c>
      <c r="DA127" s="670">
        <v>2000</v>
      </c>
      <c r="DB127" s="670">
        <v>1800</v>
      </c>
      <c r="DC127">
        <v>2000</v>
      </c>
      <c r="DD127">
        <v>1800</v>
      </c>
      <c r="DE127">
        <v>2000</v>
      </c>
      <c r="DF127">
        <v>3000</v>
      </c>
      <c r="DG127">
        <v>1800</v>
      </c>
      <c r="DH127">
        <v>2000</v>
      </c>
      <c r="DI127">
        <v>1800</v>
      </c>
      <c r="DJ127">
        <v>2600</v>
      </c>
      <c r="DK127">
        <v>3000</v>
      </c>
      <c r="DL127">
        <v>3000</v>
      </c>
      <c r="DM127">
        <v>850</v>
      </c>
      <c r="DN127">
        <v>1650</v>
      </c>
      <c r="DO127">
        <v>3000</v>
      </c>
      <c r="DP127">
        <v>7000</v>
      </c>
      <c r="DQ127">
        <v>19</v>
      </c>
    </row>
    <row r="128" spans="1:121" x14ac:dyDescent="0.2">
      <c r="A128" s="14">
        <v>19.25</v>
      </c>
      <c r="B128" s="684">
        <f t="shared" si="28"/>
        <v>4.1209808238192478E-3</v>
      </c>
      <c r="C128" s="684">
        <f t="shared" si="29"/>
        <v>4.1209808238192513E-3</v>
      </c>
      <c r="D128" s="684">
        <f t="shared" si="36"/>
        <v>1.0302452059548128E-3</v>
      </c>
      <c r="E128" s="684">
        <f t="shared" si="30"/>
        <v>74.696995901129711</v>
      </c>
      <c r="F128" s="684">
        <f t="shared" si="31"/>
        <v>53.438756182956517</v>
      </c>
      <c r="G128" s="684">
        <f t="shared" si="37"/>
        <v>7.8710733734947702</v>
      </c>
      <c r="H128" s="684">
        <f t="shared" si="38"/>
        <v>1.9677683433736926</v>
      </c>
      <c r="I128" s="1052">
        <f>HLOOKUP('Input &amp; Summary'!$B$6,TurbineProfiles,ROW(I128)-49,0)</f>
        <v>1910</v>
      </c>
      <c r="J128" s="684">
        <f t="shared" si="32"/>
        <v>2117.4921141893815</v>
      </c>
      <c r="K128" s="9">
        <f t="shared" si="33"/>
        <v>0.90201044301465383</v>
      </c>
      <c r="L128" s="14">
        <f t="shared" si="34"/>
        <v>14376.202512676857</v>
      </c>
      <c r="M128" s="684">
        <f t="shared" si="35"/>
        <v>7614.825683809172</v>
      </c>
      <c r="N128" s="684">
        <f t="shared" si="39"/>
        <v>2117.4921141893815</v>
      </c>
      <c r="O128" s="684">
        <f t="shared" si="40"/>
        <v>0.99172768334480388</v>
      </c>
      <c r="P128" s="684">
        <f t="shared" si="41"/>
        <v>1.9677683433736926</v>
      </c>
      <c r="Q128" s="684">
        <f t="shared" si="45"/>
        <v>1.0895734456844997E-3</v>
      </c>
      <c r="R128" s="684">
        <f t="shared" si="46"/>
        <v>1.0307027482477915E-3</v>
      </c>
      <c r="S128" s="684">
        <f t="shared" si="42"/>
        <v>1.9686422491532818</v>
      </c>
      <c r="T128" s="684">
        <f t="shared" si="43"/>
        <v>2.0810852812573941</v>
      </c>
      <c r="U128" s="14">
        <f t="shared" si="44"/>
        <v>1910</v>
      </c>
      <c r="V128">
        <v>1500</v>
      </c>
      <c r="W128">
        <v>3500</v>
      </c>
      <c r="X128">
        <v>5000</v>
      </c>
      <c r="Y128">
        <v>1500</v>
      </c>
      <c r="Z128">
        <v>3500</v>
      </c>
      <c r="AA128">
        <v>5000</v>
      </c>
      <c r="AB128">
        <v>1500</v>
      </c>
      <c r="AC128">
        <v>3500</v>
      </c>
      <c r="AD128">
        <v>5000</v>
      </c>
      <c r="AE128" s="143">
        <v>1500</v>
      </c>
      <c r="AF128" s="143">
        <v>1500</v>
      </c>
      <c r="AG128" s="143">
        <v>750</v>
      </c>
      <c r="AH128" s="143">
        <v>900</v>
      </c>
      <c r="AI128" s="996">
        <v>900</v>
      </c>
      <c r="AJ128" s="143">
        <v>5000</v>
      </c>
      <c r="AK128" s="143">
        <v>1300</v>
      </c>
      <c r="AL128" s="143">
        <v>2500</v>
      </c>
      <c r="AM128" s="143">
        <v>2500</v>
      </c>
      <c r="AN128" s="143">
        <v>2500</v>
      </c>
      <c r="AO128" s="143">
        <v>2500</v>
      </c>
      <c r="AP128" s="143">
        <v>2000</v>
      </c>
      <c r="AQ128" s="143">
        <v>2000</v>
      </c>
      <c r="AR128" s="143">
        <v>2000</v>
      </c>
      <c r="AS128" s="143">
        <v>2000</v>
      </c>
      <c r="AT128" s="143">
        <v>550</v>
      </c>
      <c r="AU128" s="143">
        <v>750</v>
      </c>
      <c r="AV128" s="143">
        <v>1500</v>
      </c>
      <c r="AW128" s="143">
        <v>1500</v>
      </c>
      <c r="AX128" s="143">
        <v>2500</v>
      </c>
      <c r="AY128" s="143">
        <v>2500</v>
      </c>
      <c r="AZ128" s="143">
        <v>2500</v>
      </c>
      <c r="BA128" s="143">
        <v>800</v>
      </c>
      <c r="BB128" s="143">
        <v>850</v>
      </c>
      <c r="BC128" s="143">
        <v>2000</v>
      </c>
      <c r="BD128" s="143">
        <v>2000</v>
      </c>
      <c r="BE128" s="143">
        <v>2000</v>
      </c>
      <c r="BF128" s="143">
        <v>1500</v>
      </c>
      <c r="BG128" s="143">
        <v>1500</v>
      </c>
      <c r="BH128" s="143">
        <v>1500</v>
      </c>
      <c r="BI128" s="143">
        <v>2500</v>
      </c>
      <c r="BJ128" s="996">
        <v>1000</v>
      </c>
      <c r="BK128" s="143">
        <v>1000</v>
      </c>
      <c r="BL128" s="143">
        <v>2400</v>
      </c>
      <c r="BM128" s="143">
        <v>2400</v>
      </c>
      <c r="BN128" s="143">
        <v>5000</v>
      </c>
      <c r="BO128" s="143">
        <v>720.48</v>
      </c>
      <c r="BP128" s="143">
        <v>730.11</v>
      </c>
      <c r="BQ128" s="143">
        <v>837.93</v>
      </c>
      <c r="BR128" s="143">
        <v>1500</v>
      </c>
      <c r="BS128" s="143">
        <v>1650</v>
      </c>
      <c r="BT128" s="143">
        <v>599.1</v>
      </c>
      <c r="BU128" s="143">
        <v>1317.75</v>
      </c>
      <c r="BV128" s="143">
        <v>2300</v>
      </c>
      <c r="BW128" s="143">
        <v>2500</v>
      </c>
      <c r="BX128" s="143">
        <v>2500</v>
      </c>
      <c r="BY128" s="143">
        <v>2500</v>
      </c>
      <c r="BZ128" s="996">
        <v>2500</v>
      </c>
      <c r="CA128" s="143">
        <v>1650</v>
      </c>
      <c r="CB128">
        <v>1650</v>
      </c>
      <c r="CC128" s="143">
        <v>2050</v>
      </c>
      <c r="CD128" s="143">
        <v>2050</v>
      </c>
      <c r="CE128" s="143">
        <v>3300</v>
      </c>
      <c r="CF128" s="143">
        <v>5000</v>
      </c>
      <c r="CG128" s="143">
        <v>2300</v>
      </c>
      <c r="CH128" s="143">
        <v>3600</v>
      </c>
      <c r="CI128" s="143">
        <v>2300</v>
      </c>
      <c r="CJ128" s="143">
        <v>2300</v>
      </c>
      <c r="CK128" s="143">
        <v>2300</v>
      </c>
      <c r="CL128" s="143">
        <v>2300</v>
      </c>
      <c r="CM128" s="143">
        <v>3600</v>
      </c>
      <c r="CN128" s="143">
        <v>950</v>
      </c>
      <c r="CO128" s="143">
        <v>1250</v>
      </c>
      <c r="CP128" s="143">
        <v>2100</v>
      </c>
      <c r="CQ128" s="143">
        <v>600</v>
      </c>
      <c r="CR128" s="143">
        <v>1500</v>
      </c>
      <c r="CS128" s="143">
        <v>623.78</v>
      </c>
      <c r="CT128" s="143">
        <v>592.65000000000009</v>
      </c>
      <c r="CU128" s="143">
        <v>600</v>
      </c>
      <c r="CV128" s="143">
        <v>600</v>
      </c>
      <c r="CW128" s="14">
        <v>660</v>
      </c>
      <c r="CX128" s="14">
        <v>1650</v>
      </c>
      <c r="CY128" s="14">
        <v>1802</v>
      </c>
      <c r="CZ128" s="670">
        <v>2000</v>
      </c>
      <c r="DA128" s="670">
        <v>2000</v>
      </c>
      <c r="DB128" s="670">
        <v>1800</v>
      </c>
      <c r="DC128">
        <v>2000</v>
      </c>
      <c r="DD128">
        <v>1800</v>
      </c>
      <c r="DE128">
        <v>2000</v>
      </c>
      <c r="DF128">
        <v>3000</v>
      </c>
      <c r="DG128">
        <v>1800</v>
      </c>
      <c r="DH128">
        <v>2000</v>
      </c>
      <c r="DI128">
        <v>1800</v>
      </c>
      <c r="DJ128">
        <v>2600</v>
      </c>
      <c r="DK128">
        <v>3000</v>
      </c>
      <c r="DL128">
        <v>3000</v>
      </c>
      <c r="DM128">
        <v>850</v>
      </c>
      <c r="DN128">
        <v>1650</v>
      </c>
      <c r="DO128">
        <v>3000</v>
      </c>
      <c r="DP128">
        <v>7000</v>
      </c>
      <c r="DQ128">
        <v>19.25</v>
      </c>
    </row>
    <row r="129" spans="1:121" x14ac:dyDescent="0.2">
      <c r="A129" s="14">
        <v>19.5</v>
      </c>
      <c r="B129" s="684">
        <f t="shared" si="28"/>
        <v>3.6826941034015714E-3</v>
      </c>
      <c r="C129" s="684">
        <f t="shared" si="29"/>
        <v>3.6826941034015675E-3</v>
      </c>
      <c r="D129" s="684">
        <f t="shared" si="36"/>
        <v>9.2067352585039188E-4</v>
      </c>
      <c r="E129" s="684">
        <f t="shared" si="30"/>
        <v>69.387273303934379</v>
      </c>
      <c r="F129" s="684">
        <f t="shared" si="31"/>
        <v>49.640143295682897</v>
      </c>
      <c r="G129" s="684">
        <f t="shared" si="37"/>
        <v>7.0339457374969943</v>
      </c>
      <c r="H129" s="684">
        <f t="shared" si="38"/>
        <v>1.7584864343742486</v>
      </c>
      <c r="I129" s="1052">
        <f>HLOOKUP('Input &amp; Summary'!$B$6,TurbineProfiles,ROW(I129)-49,0)</f>
        <v>1910</v>
      </c>
      <c r="J129" s="684">
        <f t="shared" si="32"/>
        <v>2117.4921141893815</v>
      </c>
      <c r="K129" s="9">
        <f t="shared" si="33"/>
        <v>0.90201044301465383</v>
      </c>
      <c r="L129" s="14">
        <f t="shared" si="34"/>
        <v>14943.61996787928</v>
      </c>
      <c r="M129" s="684">
        <f t="shared" si="35"/>
        <v>7766.1611334006038</v>
      </c>
      <c r="N129" s="684">
        <f t="shared" si="39"/>
        <v>2117.4921141893815</v>
      </c>
      <c r="O129" s="684">
        <f t="shared" si="40"/>
        <v>0.99270226102191517</v>
      </c>
      <c r="P129" s="684">
        <f t="shared" si="41"/>
        <v>1.7584864343742486</v>
      </c>
      <c r="Q129" s="684">
        <f t="shared" si="45"/>
        <v>9.7457767711128795E-4</v>
      </c>
      <c r="R129" s="684">
        <f t="shared" si="46"/>
        <v>9.2109796427553015E-4</v>
      </c>
      <c r="S129" s="684">
        <f t="shared" si="42"/>
        <v>1.7592971117662626</v>
      </c>
      <c r="T129" s="684">
        <f t="shared" si="43"/>
        <v>1.86144336328256</v>
      </c>
      <c r="U129" s="14">
        <f t="shared" si="44"/>
        <v>1910</v>
      </c>
      <c r="V129">
        <v>1500</v>
      </c>
      <c r="W129">
        <v>3500</v>
      </c>
      <c r="X129">
        <v>5000</v>
      </c>
      <c r="Y129">
        <v>1500</v>
      </c>
      <c r="Z129">
        <v>3500</v>
      </c>
      <c r="AA129">
        <v>5000</v>
      </c>
      <c r="AB129">
        <v>1500</v>
      </c>
      <c r="AC129">
        <v>3500</v>
      </c>
      <c r="AD129">
        <v>5000</v>
      </c>
      <c r="AE129" s="143">
        <v>1500</v>
      </c>
      <c r="AF129" s="143">
        <v>1500</v>
      </c>
      <c r="AG129" s="143">
        <v>750</v>
      </c>
      <c r="AH129" s="143">
        <v>900</v>
      </c>
      <c r="AI129" s="996">
        <v>900</v>
      </c>
      <c r="AJ129" s="143">
        <v>5000</v>
      </c>
      <c r="AK129" s="143">
        <v>1300</v>
      </c>
      <c r="AL129" s="143">
        <v>2500</v>
      </c>
      <c r="AM129" s="143">
        <v>2500</v>
      </c>
      <c r="AN129" s="143">
        <v>2500</v>
      </c>
      <c r="AO129" s="143">
        <v>2500</v>
      </c>
      <c r="AP129" s="143">
        <v>2000</v>
      </c>
      <c r="AQ129" s="143">
        <v>2000</v>
      </c>
      <c r="AR129" s="143">
        <v>2000</v>
      </c>
      <c r="AS129" s="143">
        <v>2000</v>
      </c>
      <c r="AT129" s="143">
        <v>550</v>
      </c>
      <c r="AU129" s="143">
        <v>750</v>
      </c>
      <c r="AV129" s="143">
        <v>1500</v>
      </c>
      <c r="AW129" s="143">
        <v>1500</v>
      </c>
      <c r="AX129" s="143">
        <v>2500</v>
      </c>
      <c r="AY129" s="143">
        <v>2500</v>
      </c>
      <c r="AZ129" s="143">
        <v>2500</v>
      </c>
      <c r="BA129" s="143">
        <v>800</v>
      </c>
      <c r="BB129" s="143">
        <v>850</v>
      </c>
      <c r="BC129" s="143">
        <v>2000</v>
      </c>
      <c r="BD129" s="143">
        <v>2000</v>
      </c>
      <c r="BE129" s="143">
        <v>2000</v>
      </c>
      <c r="BF129" s="143">
        <v>1500</v>
      </c>
      <c r="BG129" s="143">
        <v>1500</v>
      </c>
      <c r="BH129" s="143">
        <v>1500</v>
      </c>
      <c r="BI129" s="143">
        <v>2500</v>
      </c>
      <c r="BJ129" s="996">
        <v>1000</v>
      </c>
      <c r="BK129" s="143">
        <v>1000</v>
      </c>
      <c r="BL129" s="143">
        <v>2400</v>
      </c>
      <c r="BM129" s="143">
        <v>2400</v>
      </c>
      <c r="BN129" s="143">
        <v>5000</v>
      </c>
      <c r="BO129" s="143">
        <v>716.76</v>
      </c>
      <c r="BP129" s="143">
        <v>727.3</v>
      </c>
      <c r="BQ129" s="143">
        <v>833.96</v>
      </c>
      <c r="BR129" s="143">
        <v>1500</v>
      </c>
      <c r="BS129" s="143">
        <v>1650</v>
      </c>
      <c r="BT129" s="143">
        <v>599.1</v>
      </c>
      <c r="BU129" s="143">
        <v>1316.5</v>
      </c>
      <c r="BV129" s="143">
        <v>2300</v>
      </c>
      <c r="BW129" s="143">
        <v>2500</v>
      </c>
      <c r="BX129" s="143">
        <v>2500</v>
      </c>
      <c r="BY129" s="143">
        <v>2500</v>
      </c>
      <c r="BZ129" s="996">
        <v>2500</v>
      </c>
      <c r="CA129" s="143">
        <v>1650</v>
      </c>
      <c r="CB129">
        <v>1650</v>
      </c>
      <c r="CC129" s="143">
        <v>2050</v>
      </c>
      <c r="CD129" s="143">
        <v>2050</v>
      </c>
      <c r="CE129" s="143">
        <v>3300</v>
      </c>
      <c r="CF129" s="143">
        <v>5000</v>
      </c>
      <c r="CG129" s="143">
        <v>2300</v>
      </c>
      <c r="CH129" s="143">
        <v>3600</v>
      </c>
      <c r="CI129" s="143">
        <v>2300</v>
      </c>
      <c r="CJ129" s="143">
        <v>2300</v>
      </c>
      <c r="CK129" s="143">
        <v>2300</v>
      </c>
      <c r="CL129" s="143">
        <v>2300</v>
      </c>
      <c r="CM129" s="143">
        <v>3600</v>
      </c>
      <c r="CN129" s="143">
        <v>950</v>
      </c>
      <c r="CO129" s="143">
        <v>1250</v>
      </c>
      <c r="CP129" s="143">
        <v>2100</v>
      </c>
      <c r="CQ129" s="143">
        <v>600</v>
      </c>
      <c r="CR129" s="143">
        <v>1500</v>
      </c>
      <c r="CS129" s="143">
        <v>623.78</v>
      </c>
      <c r="CT129" s="143">
        <v>595.60000000000014</v>
      </c>
      <c r="CU129" s="143">
        <v>600</v>
      </c>
      <c r="CV129" s="143">
        <v>600</v>
      </c>
      <c r="CW129" s="14">
        <v>660</v>
      </c>
      <c r="CX129" s="14">
        <v>1650</v>
      </c>
      <c r="CY129" s="14">
        <v>1802</v>
      </c>
      <c r="CZ129" s="670">
        <v>2000</v>
      </c>
      <c r="DA129" s="670">
        <v>2000</v>
      </c>
      <c r="DB129" s="670">
        <v>1800</v>
      </c>
      <c r="DC129">
        <v>2000</v>
      </c>
      <c r="DD129">
        <v>1800</v>
      </c>
      <c r="DE129">
        <v>2000</v>
      </c>
      <c r="DF129">
        <v>3000</v>
      </c>
      <c r="DG129">
        <v>1800</v>
      </c>
      <c r="DH129">
        <v>2000</v>
      </c>
      <c r="DI129">
        <v>1800</v>
      </c>
      <c r="DJ129">
        <v>2600</v>
      </c>
      <c r="DK129">
        <v>3000</v>
      </c>
      <c r="DL129">
        <v>3000</v>
      </c>
      <c r="DM129">
        <v>850</v>
      </c>
      <c r="DN129">
        <v>1650</v>
      </c>
      <c r="DO129">
        <v>3000</v>
      </c>
      <c r="DP129">
        <v>7000</v>
      </c>
      <c r="DQ129">
        <v>19.5</v>
      </c>
    </row>
    <row r="130" spans="1:121" x14ac:dyDescent="0.2">
      <c r="A130" s="14">
        <v>19.75</v>
      </c>
      <c r="B130" s="684">
        <f t="shared" si="28"/>
        <v>3.2851626297331921E-3</v>
      </c>
      <c r="C130" s="684">
        <f t="shared" si="29"/>
        <v>3.2851626297331913E-3</v>
      </c>
      <c r="D130" s="684">
        <f t="shared" si="36"/>
        <v>8.2129065743329782E-4</v>
      </c>
      <c r="E130" s="684">
        <f t="shared" si="30"/>
        <v>64.308519981960643</v>
      </c>
      <c r="F130" s="684">
        <f t="shared" si="31"/>
        <v>46.006767452221034</v>
      </c>
      <c r="G130" s="684">
        <f t="shared" si="37"/>
        <v>6.2746606227903952</v>
      </c>
      <c r="H130" s="684">
        <f t="shared" si="38"/>
        <v>1.5686651556975988</v>
      </c>
      <c r="I130" s="1052">
        <f>HLOOKUP('Input &amp; Summary'!$B$6,TurbineProfiles,ROW(I130)-49,0)</f>
        <v>1910</v>
      </c>
      <c r="J130" s="684">
        <f t="shared" si="32"/>
        <v>2117.4921141893815</v>
      </c>
      <c r="K130" s="9">
        <f t="shared" si="33"/>
        <v>0.90201044301465383</v>
      </c>
      <c r="L130" s="14">
        <f t="shared" si="34"/>
        <v>15525.774720880387</v>
      </c>
      <c r="M130" s="684">
        <f t="shared" si="35"/>
        <v>7917.4965829920357</v>
      </c>
      <c r="N130" s="684">
        <f t="shared" si="39"/>
        <v>2117.4921141893815</v>
      </c>
      <c r="O130" s="684">
        <f t="shared" si="40"/>
        <v>0.99357242630799469</v>
      </c>
      <c r="P130" s="684">
        <f t="shared" si="41"/>
        <v>1.5686651556975988</v>
      </c>
      <c r="Q130" s="684">
        <f t="shared" si="45"/>
        <v>8.7016528607952726E-4</v>
      </c>
      <c r="R130" s="684">
        <f t="shared" si="46"/>
        <v>8.216833373198007E-4</v>
      </c>
      <c r="S130" s="684">
        <f t="shared" si="42"/>
        <v>1.5694151742808193</v>
      </c>
      <c r="T130" s="684">
        <f t="shared" si="43"/>
        <v>1.6620156964118971</v>
      </c>
      <c r="U130" s="14">
        <f t="shared" si="44"/>
        <v>1910</v>
      </c>
      <c r="V130">
        <v>1500</v>
      </c>
      <c r="W130">
        <v>3500</v>
      </c>
      <c r="X130">
        <v>5000</v>
      </c>
      <c r="Y130">
        <v>1500</v>
      </c>
      <c r="Z130">
        <v>3500</v>
      </c>
      <c r="AA130">
        <v>5000</v>
      </c>
      <c r="AB130">
        <v>1500</v>
      </c>
      <c r="AC130">
        <v>3500</v>
      </c>
      <c r="AD130">
        <v>5000</v>
      </c>
      <c r="AE130" s="143">
        <v>1500</v>
      </c>
      <c r="AF130" s="143">
        <v>1500</v>
      </c>
      <c r="AG130" s="143">
        <v>750</v>
      </c>
      <c r="AH130" s="143">
        <v>900</v>
      </c>
      <c r="AI130" s="996">
        <v>900</v>
      </c>
      <c r="AJ130" s="143">
        <v>5000</v>
      </c>
      <c r="AK130" s="143">
        <v>1300</v>
      </c>
      <c r="AL130" s="143">
        <v>2500</v>
      </c>
      <c r="AM130" s="143">
        <v>2500</v>
      </c>
      <c r="AN130" s="143">
        <v>2500</v>
      </c>
      <c r="AO130" s="143">
        <v>2500</v>
      </c>
      <c r="AP130" s="143">
        <v>2000</v>
      </c>
      <c r="AQ130" s="143">
        <v>2000</v>
      </c>
      <c r="AR130" s="143">
        <v>2000</v>
      </c>
      <c r="AS130" s="143">
        <v>2000</v>
      </c>
      <c r="AT130" s="143">
        <v>550</v>
      </c>
      <c r="AU130" s="143">
        <v>750</v>
      </c>
      <c r="AV130" s="143">
        <v>1500</v>
      </c>
      <c r="AW130" s="143">
        <v>1500</v>
      </c>
      <c r="AX130" s="143">
        <v>2500</v>
      </c>
      <c r="AY130" s="143">
        <v>2500</v>
      </c>
      <c r="AZ130" s="143">
        <v>2500</v>
      </c>
      <c r="BA130" s="143">
        <v>800</v>
      </c>
      <c r="BB130" s="143">
        <v>850</v>
      </c>
      <c r="BC130" s="143">
        <v>2000</v>
      </c>
      <c r="BD130" s="143">
        <v>2000</v>
      </c>
      <c r="BE130" s="143">
        <v>2000</v>
      </c>
      <c r="BF130" s="143">
        <v>1500</v>
      </c>
      <c r="BG130" s="143">
        <v>1500</v>
      </c>
      <c r="BH130" s="143">
        <v>1500</v>
      </c>
      <c r="BI130" s="143">
        <v>2500</v>
      </c>
      <c r="BJ130" s="996">
        <v>1000</v>
      </c>
      <c r="BK130" s="143">
        <v>1000</v>
      </c>
      <c r="BL130" s="143">
        <v>2400</v>
      </c>
      <c r="BM130" s="143">
        <v>2400</v>
      </c>
      <c r="BN130" s="143">
        <v>5000</v>
      </c>
      <c r="BO130" s="143">
        <v>713.03</v>
      </c>
      <c r="BP130" s="143">
        <v>721.62</v>
      </c>
      <c r="BQ130" s="143">
        <v>829.98</v>
      </c>
      <c r="BR130" s="143">
        <v>1500</v>
      </c>
      <c r="BS130" s="143">
        <v>1650</v>
      </c>
      <c r="BT130" s="143">
        <v>599.1</v>
      </c>
      <c r="BU130" s="143">
        <v>1315.25</v>
      </c>
      <c r="BV130" s="143">
        <v>2300</v>
      </c>
      <c r="BW130" s="143">
        <v>2500</v>
      </c>
      <c r="BX130" s="143">
        <v>2500</v>
      </c>
      <c r="BY130" s="143">
        <v>2500</v>
      </c>
      <c r="BZ130" s="996">
        <v>2500</v>
      </c>
      <c r="CA130" s="143">
        <v>1650</v>
      </c>
      <c r="CB130">
        <v>1650</v>
      </c>
      <c r="CC130" s="143">
        <v>2050</v>
      </c>
      <c r="CD130" s="143">
        <v>2050</v>
      </c>
      <c r="CE130" s="143">
        <v>3300</v>
      </c>
      <c r="CF130" s="143">
        <v>5000</v>
      </c>
      <c r="CG130" s="143">
        <v>2300</v>
      </c>
      <c r="CH130" s="143">
        <v>3600</v>
      </c>
      <c r="CI130" s="143">
        <v>2300</v>
      </c>
      <c r="CJ130" s="143">
        <v>2300</v>
      </c>
      <c r="CK130" s="143">
        <v>2300</v>
      </c>
      <c r="CL130" s="143">
        <v>2300</v>
      </c>
      <c r="CM130" s="143">
        <v>3600</v>
      </c>
      <c r="CN130" s="143">
        <v>950</v>
      </c>
      <c r="CO130" s="143">
        <v>1250</v>
      </c>
      <c r="CP130" s="143">
        <v>2100</v>
      </c>
      <c r="CQ130" s="143">
        <v>600</v>
      </c>
      <c r="CR130" s="143">
        <v>1500</v>
      </c>
      <c r="CS130" s="143">
        <v>623.78</v>
      </c>
      <c r="CT130" s="143">
        <v>598.55000000000018</v>
      </c>
      <c r="CU130" s="143">
        <v>600</v>
      </c>
      <c r="CV130" s="143">
        <v>600</v>
      </c>
      <c r="CW130" s="14">
        <v>660</v>
      </c>
      <c r="CX130" s="14">
        <v>1650</v>
      </c>
      <c r="CY130" s="14">
        <v>1802</v>
      </c>
      <c r="CZ130" s="670">
        <v>2000</v>
      </c>
      <c r="DA130" s="670">
        <v>2000</v>
      </c>
      <c r="DB130" s="670">
        <v>1800</v>
      </c>
      <c r="DC130">
        <v>2000</v>
      </c>
      <c r="DD130">
        <v>1800</v>
      </c>
      <c r="DE130">
        <v>2000</v>
      </c>
      <c r="DF130">
        <v>3000</v>
      </c>
      <c r="DG130">
        <v>1800</v>
      </c>
      <c r="DH130">
        <v>2000</v>
      </c>
      <c r="DI130">
        <v>1800</v>
      </c>
      <c r="DJ130">
        <v>2600</v>
      </c>
      <c r="DK130">
        <v>3000</v>
      </c>
      <c r="DL130">
        <v>3000</v>
      </c>
      <c r="DM130">
        <v>850</v>
      </c>
      <c r="DN130">
        <v>1650</v>
      </c>
      <c r="DO130">
        <v>3000</v>
      </c>
      <c r="DP130">
        <v>7000</v>
      </c>
      <c r="DQ130">
        <v>19.75</v>
      </c>
    </row>
    <row r="131" spans="1:121" x14ac:dyDescent="0.2">
      <c r="A131" s="14">
        <v>20</v>
      </c>
      <c r="B131" s="684">
        <f t="shared" si="28"/>
        <v>2.9253381301311038E-3</v>
      </c>
      <c r="C131" s="684">
        <f t="shared" si="29"/>
        <v>2.9253381301310999E-3</v>
      </c>
      <c r="D131" s="684">
        <f t="shared" si="36"/>
        <v>7.3133453253277497E-4</v>
      </c>
      <c r="E131" s="684">
        <f t="shared" si="30"/>
        <v>59.467050690808449</v>
      </c>
      <c r="F131" s="684">
        <f t="shared" si="31"/>
        <v>42.543146273136365</v>
      </c>
      <c r="G131" s="684">
        <f t="shared" si="37"/>
        <v>5.5873958285504006</v>
      </c>
      <c r="H131" s="684">
        <f t="shared" si="38"/>
        <v>1.3968489571376002</v>
      </c>
      <c r="I131" s="1052">
        <f>HLOOKUP('Input &amp; Summary'!$B$6,TurbineProfiles,ROW(I131)-49,0)</f>
        <v>1910</v>
      </c>
      <c r="J131" s="684">
        <f t="shared" si="32"/>
        <v>2117.4921141893815</v>
      </c>
      <c r="K131" s="9">
        <f t="shared" si="33"/>
        <v>0.90201044301465383</v>
      </c>
      <c r="L131" s="14">
        <f t="shared" si="34"/>
        <v>16122.855711395569</v>
      </c>
      <c r="M131" s="684">
        <f t="shared" si="35"/>
        <v>8068.8320325834684</v>
      </c>
      <c r="N131" s="684">
        <f t="shared" si="39"/>
        <v>2117.4921141893815</v>
      </c>
      <c r="O131" s="684">
        <f t="shared" si="40"/>
        <v>0.99434798420409087</v>
      </c>
      <c r="P131" s="684">
        <f t="shared" si="41"/>
        <v>1.3968489571376002</v>
      </c>
      <c r="Q131" s="684">
        <f t="shared" si="45"/>
        <v>7.7555789609617953E-4</v>
      </c>
      <c r="R131" s="684">
        <f t="shared" si="46"/>
        <v>7.3169687977592268E-4</v>
      </c>
      <c r="S131" s="684">
        <f t="shared" si="42"/>
        <v>1.3975410403720123</v>
      </c>
      <c r="T131" s="684">
        <f t="shared" si="43"/>
        <v>1.4813155815437029</v>
      </c>
      <c r="U131" s="14">
        <f t="shared" si="44"/>
        <v>1910</v>
      </c>
      <c r="V131">
        <v>1500</v>
      </c>
      <c r="W131">
        <v>3500</v>
      </c>
      <c r="X131">
        <v>5000</v>
      </c>
      <c r="Y131">
        <v>1500</v>
      </c>
      <c r="Z131">
        <v>3500</v>
      </c>
      <c r="AA131">
        <v>5000</v>
      </c>
      <c r="AB131">
        <v>1500</v>
      </c>
      <c r="AC131">
        <v>3500</v>
      </c>
      <c r="AD131">
        <v>5000</v>
      </c>
      <c r="AE131" s="143">
        <v>1500</v>
      </c>
      <c r="AF131" s="143">
        <v>1500</v>
      </c>
      <c r="AG131" s="143">
        <v>750</v>
      </c>
      <c r="AH131" s="143">
        <v>900</v>
      </c>
      <c r="AI131" s="996">
        <v>900</v>
      </c>
      <c r="AJ131" s="143">
        <v>5000</v>
      </c>
      <c r="AK131" s="143">
        <v>1300</v>
      </c>
      <c r="AL131" s="143">
        <v>2500</v>
      </c>
      <c r="AM131" s="143">
        <v>2500</v>
      </c>
      <c r="AN131" s="143">
        <v>2500</v>
      </c>
      <c r="AO131" s="143">
        <v>2500</v>
      </c>
      <c r="AP131" s="143">
        <v>2000</v>
      </c>
      <c r="AQ131" s="143">
        <v>2000</v>
      </c>
      <c r="AR131" s="143">
        <v>2000</v>
      </c>
      <c r="AS131" s="143">
        <v>2000</v>
      </c>
      <c r="AT131" s="143">
        <v>550</v>
      </c>
      <c r="AU131" s="143">
        <v>750</v>
      </c>
      <c r="AV131" s="143">
        <v>1500</v>
      </c>
      <c r="AW131" s="143">
        <v>1500</v>
      </c>
      <c r="AX131" s="143">
        <v>2500</v>
      </c>
      <c r="AY131" s="143">
        <v>2500</v>
      </c>
      <c r="AZ131" s="143">
        <v>2500</v>
      </c>
      <c r="BA131" s="143">
        <v>800</v>
      </c>
      <c r="BB131" s="143">
        <v>850</v>
      </c>
      <c r="BC131" s="143">
        <v>2000</v>
      </c>
      <c r="BD131" s="143">
        <v>2000</v>
      </c>
      <c r="BE131" s="143">
        <v>2000</v>
      </c>
      <c r="BF131" s="143">
        <v>1500</v>
      </c>
      <c r="BG131" s="143">
        <v>1500</v>
      </c>
      <c r="BH131" s="143">
        <v>1500</v>
      </c>
      <c r="BI131" s="143">
        <v>2500</v>
      </c>
      <c r="BJ131" s="996">
        <v>1000</v>
      </c>
      <c r="BK131" s="143">
        <v>1000</v>
      </c>
      <c r="BL131" s="143">
        <v>2400</v>
      </c>
      <c r="BM131" s="143">
        <v>2400</v>
      </c>
      <c r="BN131" s="143">
        <v>5000</v>
      </c>
      <c r="BO131" s="143">
        <v>705.48</v>
      </c>
      <c r="BP131" s="143">
        <v>715.93</v>
      </c>
      <c r="BQ131" s="143">
        <v>828.02</v>
      </c>
      <c r="BR131" s="143">
        <v>1500</v>
      </c>
      <c r="BS131" s="143">
        <v>1650</v>
      </c>
      <c r="BT131" s="143">
        <v>599.1</v>
      </c>
      <c r="BU131" s="143">
        <v>1314</v>
      </c>
      <c r="BV131" s="143">
        <v>2300</v>
      </c>
      <c r="BW131" s="143">
        <v>2500</v>
      </c>
      <c r="BX131" s="143">
        <v>2500</v>
      </c>
      <c r="BY131" s="143">
        <v>2500</v>
      </c>
      <c r="BZ131" s="996">
        <v>2500</v>
      </c>
      <c r="CA131" s="143">
        <v>1650</v>
      </c>
      <c r="CB131">
        <v>1650</v>
      </c>
      <c r="CC131" s="143">
        <v>2050</v>
      </c>
      <c r="CD131" s="143">
        <v>2050</v>
      </c>
      <c r="CE131" s="143">
        <v>3300</v>
      </c>
      <c r="CF131" s="143">
        <v>5000</v>
      </c>
      <c r="CG131" s="143">
        <v>2300</v>
      </c>
      <c r="CH131" s="143">
        <v>3600</v>
      </c>
      <c r="CI131" s="143">
        <v>2300</v>
      </c>
      <c r="CJ131" s="143">
        <v>2300</v>
      </c>
      <c r="CK131" s="143">
        <v>2300</v>
      </c>
      <c r="CL131" s="143">
        <v>2300</v>
      </c>
      <c r="CM131" s="143">
        <v>3600</v>
      </c>
      <c r="CN131" s="143">
        <v>950</v>
      </c>
      <c r="CO131" s="143">
        <v>1250</v>
      </c>
      <c r="CP131" s="143">
        <v>2100</v>
      </c>
      <c r="CQ131" s="143">
        <v>600</v>
      </c>
      <c r="CR131" s="143">
        <v>1500</v>
      </c>
      <c r="CS131" s="143">
        <v>623.78</v>
      </c>
      <c r="CT131" s="143">
        <v>601.5</v>
      </c>
      <c r="CU131" s="143">
        <v>600</v>
      </c>
      <c r="CV131" s="143">
        <v>600</v>
      </c>
      <c r="CW131" s="14">
        <v>660</v>
      </c>
      <c r="CX131" s="14">
        <v>1650</v>
      </c>
      <c r="CY131" s="14">
        <v>1802</v>
      </c>
      <c r="CZ131" s="670">
        <v>2000</v>
      </c>
      <c r="DA131" s="670">
        <v>2000</v>
      </c>
      <c r="DB131" s="670">
        <v>1800</v>
      </c>
      <c r="DC131">
        <v>2000</v>
      </c>
      <c r="DD131">
        <v>1800</v>
      </c>
      <c r="DE131">
        <v>2000</v>
      </c>
      <c r="DF131">
        <v>3000</v>
      </c>
      <c r="DG131">
        <v>1800</v>
      </c>
      <c r="DH131">
        <v>2000</v>
      </c>
      <c r="DI131">
        <v>1800</v>
      </c>
      <c r="DJ131">
        <v>2600</v>
      </c>
      <c r="DK131">
        <v>3000</v>
      </c>
      <c r="DL131">
        <v>3000</v>
      </c>
      <c r="DM131">
        <v>850</v>
      </c>
      <c r="DN131">
        <v>1650</v>
      </c>
      <c r="DO131">
        <v>3000</v>
      </c>
      <c r="DP131">
        <v>7000</v>
      </c>
      <c r="DQ131">
        <v>20</v>
      </c>
    </row>
    <row r="132" spans="1:121" x14ac:dyDescent="0.2">
      <c r="A132" s="14">
        <v>20.25</v>
      </c>
      <c r="B132" s="684">
        <f t="shared" si="28"/>
        <v>2.600309063952479E-3</v>
      </c>
      <c r="C132" s="684">
        <f t="shared" si="29"/>
        <v>2.6003090639524747E-3</v>
      </c>
      <c r="D132" s="684">
        <f t="shared" si="36"/>
        <v>6.5007726598811867E-4</v>
      </c>
      <c r="E132" s="684">
        <f t="shared" si="30"/>
        <v>54.86689624843892</v>
      </c>
      <c r="F132" s="684">
        <f t="shared" si="31"/>
        <v>39.252163433945483</v>
      </c>
      <c r="G132" s="684">
        <f t="shared" si="37"/>
        <v>4.9665903121492265</v>
      </c>
      <c r="H132" s="684">
        <f t="shared" si="38"/>
        <v>1.2416475780373066</v>
      </c>
      <c r="I132" s="1052">
        <f>HLOOKUP('Input &amp; Summary'!$B$6,TurbineProfiles,ROW(I132)-49,0)</f>
        <v>1910</v>
      </c>
      <c r="J132" s="684">
        <f t="shared" si="32"/>
        <v>2117.4921141893815</v>
      </c>
      <c r="K132" s="9">
        <f t="shared" si="33"/>
        <v>0.90201044301465383</v>
      </c>
      <c r="L132" s="14">
        <f t="shared" si="34"/>
        <v>16735.051879140181</v>
      </c>
      <c r="M132" s="684">
        <f t="shared" si="35"/>
        <v>8220.1674821749002</v>
      </c>
      <c r="N132" s="684">
        <f t="shared" si="39"/>
        <v>2117.4921141893815</v>
      </c>
      <c r="O132" s="684">
        <f t="shared" si="40"/>
        <v>0.99503799459656062</v>
      </c>
      <c r="P132" s="684">
        <f t="shared" si="41"/>
        <v>1.2416475780373066</v>
      </c>
      <c r="Q132" s="684">
        <f t="shared" si="45"/>
        <v>6.9001039246974205E-4</v>
      </c>
      <c r="R132" s="684">
        <f t="shared" si="46"/>
        <v>6.5041076441707535E-4</v>
      </c>
      <c r="S132" s="684">
        <f t="shared" si="42"/>
        <v>1.2422845600366139</v>
      </c>
      <c r="T132" s="684">
        <f t="shared" si="43"/>
        <v>1.3179198496172073</v>
      </c>
      <c r="U132" s="14">
        <f t="shared" si="44"/>
        <v>1910</v>
      </c>
      <c r="V132">
        <v>1500</v>
      </c>
      <c r="W132">
        <v>3500</v>
      </c>
      <c r="X132">
        <v>5000</v>
      </c>
      <c r="Y132">
        <v>1500</v>
      </c>
      <c r="Z132">
        <v>3500</v>
      </c>
      <c r="AA132">
        <v>5000</v>
      </c>
      <c r="AB132">
        <v>1500</v>
      </c>
      <c r="AC132">
        <v>3500</v>
      </c>
      <c r="AD132">
        <v>5000</v>
      </c>
      <c r="AE132" s="143">
        <v>1500</v>
      </c>
      <c r="AF132" s="143">
        <v>0</v>
      </c>
      <c r="AG132" s="143">
        <v>750</v>
      </c>
      <c r="AH132" s="143">
        <v>900</v>
      </c>
      <c r="AI132" s="996">
        <v>900</v>
      </c>
      <c r="AJ132" s="143">
        <v>5000</v>
      </c>
      <c r="AK132" s="143">
        <v>1300</v>
      </c>
      <c r="AL132" s="143">
        <v>2500</v>
      </c>
      <c r="AM132" s="143">
        <v>2500</v>
      </c>
      <c r="AN132" s="143">
        <v>2500</v>
      </c>
      <c r="AO132" s="143">
        <v>2500</v>
      </c>
      <c r="AP132" s="143">
        <v>2000</v>
      </c>
      <c r="AQ132" s="143">
        <v>2000</v>
      </c>
      <c r="AR132" s="143">
        <v>2000</v>
      </c>
      <c r="AS132" s="143">
        <v>2000</v>
      </c>
      <c r="AT132" s="143">
        <v>550</v>
      </c>
      <c r="AU132" s="143">
        <v>750</v>
      </c>
      <c r="AV132" s="143">
        <v>1500</v>
      </c>
      <c r="AW132" s="143">
        <v>1500</v>
      </c>
      <c r="AX132" s="143">
        <v>2500</v>
      </c>
      <c r="AY132" s="143">
        <v>2500</v>
      </c>
      <c r="AZ132" s="143">
        <v>2500</v>
      </c>
      <c r="BA132" s="143">
        <v>800</v>
      </c>
      <c r="BB132" s="143">
        <v>850</v>
      </c>
      <c r="BC132" s="143">
        <v>2000</v>
      </c>
      <c r="BD132" s="143">
        <v>2000</v>
      </c>
      <c r="BE132" s="143">
        <v>2000</v>
      </c>
      <c r="BF132" s="143">
        <v>1500</v>
      </c>
      <c r="BG132" s="143">
        <v>1500</v>
      </c>
      <c r="BH132" s="143">
        <v>0</v>
      </c>
      <c r="BI132" s="143">
        <v>2500</v>
      </c>
      <c r="BJ132" s="996">
        <v>1000</v>
      </c>
      <c r="BK132" s="143">
        <v>1000</v>
      </c>
      <c r="BL132" s="143">
        <v>2400</v>
      </c>
      <c r="BM132" s="143">
        <v>2400</v>
      </c>
      <c r="BN132" s="143">
        <v>5000</v>
      </c>
      <c r="BO132" s="143">
        <v>705.56</v>
      </c>
      <c r="BP132" s="143">
        <v>710.24</v>
      </c>
      <c r="BQ132" s="143">
        <v>824.04</v>
      </c>
      <c r="BR132" s="143">
        <v>1500</v>
      </c>
      <c r="BS132" s="143">
        <v>0</v>
      </c>
      <c r="BT132" s="143">
        <v>599.1</v>
      </c>
      <c r="BU132" s="143">
        <v>1313.5</v>
      </c>
      <c r="BV132" s="143">
        <v>2300</v>
      </c>
      <c r="BW132" s="143">
        <v>2500</v>
      </c>
      <c r="BX132" s="143">
        <v>2500</v>
      </c>
      <c r="BY132" s="143">
        <v>2500</v>
      </c>
      <c r="BZ132" s="996">
        <v>0</v>
      </c>
      <c r="CA132" s="143">
        <v>0</v>
      </c>
      <c r="CB132">
        <v>0</v>
      </c>
      <c r="CC132" s="143">
        <v>2050</v>
      </c>
      <c r="CD132" s="143">
        <v>2050</v>
      </c>
      <c r="CE132" s="143">
        <v>3300</v>
      </c>
      <c r="CF132" s="143">
        <v>5000</v>
      </c>
      <c r="CG132" s="143">
        <v>2300</v>
      </c>
      <c r="CH132" s="143">
        <v>3600</v>
      </c>
      <c r="CI132" s="143">
        <v>2300</v>
      </c>
      <c r="CJ132" s="143">
        <v>2300</v>
      </c>
      <c r="CK132" s="143">
        <v>2300</v>
      </c>
      <c r="CL132" s="143">
        <v>2300</v>
      </c>
      <c r="CM132" s="143">
        <v>3600</v>
      </c>
      <c r="CN132" s="143">
        <v>950</v>
      </c>
      <c r="CO132" s="143">
        <v>1250</v>
      </c>
      <c r="CP132" s="143">
        <v>2100</v>
      </c>
      <c r="CQ132" s="143">
        <v>600</v>
      </c>
      <c r="CR132" s="143">
        <v>0</v>
      </c>
      <c r="CS132" s="143">
        <v>623.78</v>
      </c>
      <c r="CT132" s="143">
        <v>0</v>
      </c>
      <c r="CU132" s="143">
        <v>600</v>
      </c>
      <c r="CV132" s="143">
        <v>0</v>
      </c>
      <c r="CW132" s="14">
        <v>660</v>
      </c>
      <c r="CX132" s="14">
        <v>0</v>
      </c>
      <c r="CY132" s="14">
        <v>1802</v>
      </c>
      <c r="CZ132" s="670">
        <v>2000</v>
      </c>
      <c r="DA132" s="670">
        <v>2000</v>
      </c>
      <c r="DB132" s="670">
        <v>1800</v>
      </c>
      <c r="DC132">
        <v>2000</v>
      </c>
      <c r="DD132">
        <v>1800</v>
      </c>
      <c r="DE132">
        <v>2000</v>
      </c>
      <c r="DF132">
        <v>3000</v>
      </c>
      <c r="DG132">
        <v>1800</v>
      </c>
      <c r="DH132">
        <v>0</v>
      </c>
      <c r="DI132">
        <v>0</v>
      </c>
      <c r="DJ132">
        <v>2600</v>
      </c>
      <c r="DK132">
        <v>3000</v>
      </c>
      <c r="DL132">
        <v>3000</v>
      </c>
      <c r="DM132">
        <v>850</v>
      </c>
      <c r="DN132">
        <v>1650</v>
      </c>
      <c r="DO132">
        <v>3000</v>
      </c>
      <c r="DP132">
        <v>7000</v>
      </c>
      <c r="DQ132">
        <v>20.25</v>
      </c>
    </row>
    <row r="133" spans="1:121" x14ac:dyDescent="0.2">
      <c r="A133" s="14">
        <v>20.5</v>
      </c>
      <c r="B133" s="684">
        <f t="shared" si="28"/>
        <v>2.3073061986410275E-3</v>
      </c>
      <c r="C133" s="684">
        <f t="shared" si="29"/>
        <v>2.3073061986410271E-3</v>
      </c>
      <c r="D133" s="684">
        <f t="shared" si="36"/>
        <v>5.7682654966025677E-4</v>
      </c>
      <c r="E133" s="684">
        <f t="shared" si="30"/>
        <v>50.509975390804989</v>
      </c>
      <c r="F133" s="684">
        <f t="shared" si="31"/>
        <v>36.135191611842842</v>
      </c>
      <c r="G133" s="684">
        <f t="shared" si="37"/>
        <v>4.4069548394043618</v>
      </c>
      <c r="H133" s="684">
        <f t="shared" si="38"/>
        <v>1.1017387098510905</v>
      </c>
      <c r="I133" s="1052">
        <f>HLOOKUP('Input &amp; Summary'!$B$6,TurbineProfiles,ROW(I133)-49,0)</f>
        <v>1910</v>
      </c>
      <c r="J133" s="684">
        <f t="shared" si="32"/>
        <v>2117.4921141893815</v>
      </c>
      <c r="K133" s="9">
        <f t="shared" si="33"/>
        <v>0.90201044301465383</v>
      </c>
      <c r="L133" s="14">
        <f t="shared" si="34"/>
        <v>17362.55216382959</v>
      </c>
      <c r="M133" s="684">
        <f t="shared" si="35"/>
        <v>8371.502931766332</v>
      </c>
      <c r="N133" s="684">
        <f t="shared" si="39"/>
        <v>2117.4921141893815</v>
      </c>
      <c r="O133" s="684">
        <f t="shared" si="40"/>
        <v>0.99565080718023713</v>
      </c>
      <c r="P133" s="684">
        <f t="shared" si="41"/>
        <v>1.1017387098510905</v>
      </c>
      <c r="Q133" s="684">
        <f t="shared" si="45"/>
        <v>6.1281258367651414E-4</v>
      </c>
      <c r="R133" s="684">
        <f t="shared" si="46"/>
        <v>5.7713272052062337E-4</v>
      </c>
      <c r="S133" s="684">
        <f t="shared" si="42"/>
        <v>1.1023234961943906</v>
      </c>
      <c r="T133" s="684">
        <f t="shared" si="43"/>
        <v>1.170472034822142</v>
      </c>
      <c r="U133" s="14">
        <f t="shared" si="44"/>
        <v>1910</v>
      </c>
      <c r="V133">
        <v>1500</v>
      </c>
      <c r="W133">
        <v>3500</v>
      </c>
      <c r="X133">
        <v>5000</v>
      </c>
      <c r="Y133">
        <v>1500</v>
      </c>
      <c r="Z133">
        <v>3500</v>
      </c>
      <c r="AA133">
        <v>5000</v>
      </c>
      <c r="AB133">
        <v>1500</v>
      </c>
      <c r="AC133">
        <v>3500</v>
      </c>
      <c r="AD133">
        <v>5000</v>
      </c>
      <c r="AE133" s="143">
        <v>1500</v>
      </c>
      <c r="AF133" s="143">
        <v>0</v>
      </c>
      <c r="AG133" s="143">
        <v>750</v>
      </c>
      <c r="AH133" s="143">
        <v>900</v>
      </c>
      <c r="AI133" s="996">
        <v>900</v>
      </c>
      <c r="AJ133" s="143">
        <v>5000</v>
      </c>
      <c r="AK133" s="143">
        <v>1300</v>
      </c>
      <c r="AL133" s="143">
        <v>2500</v>
      </c>
      <c r="AM133" s="143">
        <v>2500</v>
      </c>
      <c r="AN133" s="143">
        <v>2500</v>
      </c>
      <c r="AO133" s="143">
        <v>2500</v>
      </c>
      <c r="AP133" s="143">
        <v>2000</v>
      </c>
      <c r="AQ133" s="143">
        <v>2000</v>
      </c>
      <c r="AR133" s="143">
        <v>2000</v>
      </c>
      <c r="AS133" s="143">
        <v>2000</v>
      </c>
      <c r="AT133" s="143">
        <v>550</v>
      </c>
      <c r="AU133" s="143">
        <v>750</v>
      </c>
      <c r="AV133" s="143">
        <v>1500</v>
      </c>
      <c r="AW133" s="143">
        <v>1500</v>
      </c>
      <c r="AX133" s="143">
        <v>2500</v>
      </c>
      <c r="AY133" s="143">
        <v>2500</v>
      </c>
      <c r="AZ133" s="143">
        <v>2500</v>
      </c>
      <c r="BA133" s="143">
        <v>800</v>
      </c>
      <c r="BB133" s="143">
        <v>850</v>
      </c>
      <c r="BC133" s="143">
        <v>2000</v>
      </c>
      <c r="BD133" s="143">
        <v>2000</v>
      </c>
      <c r="BE133" s="143">
        <v>2000</v>
      </c>
      <c r="BF133" s="143">
        <v>1500</v>
      </c>
      <c r="BG133" s="143">
        <v>1500</v>
      </c>
      <c r="BH133" s="143">
        <v>0</v>
      </c>
      <c r="BI133" s="143">
        <v>2500</v>
      </c>
      <c r="BJ133" s="996">
        <v>1000</v>
      </c>
      <c r="BK133" s="143">
        <v>1000</v>
      </c>
      <c r="BL133" s="143">
        <v>2400</v>
      </c>
      <c r="BM133" s="143">
        <v>2400</v>
      </c>
      <c r="BN133" s="143">
        <v>5000</v>
      </c>
      <c r="BO133" s="143">
        <v>705.65</v>
      </c>
      <c r="BP133" s="143">
        <v>707.43</v>
      </c>
      <c r="BQ133" s="143">
        <v>822.08</v>
      </c>
      <c r="BR133" s="143">
        <v>1500</v>
      </c>
      <c r="BS133" s="143">
        <v>0</v>
      </c>
      <c r="BT133" s="143">
        <v>599.1</v>
      </c>
      <c r="BU133" s="143">
        <v>1313</v>
      </c>
      <c r="BV133" s="143">
        <v>2300</v>
      </c>
      <c r="BW133" s="143">
        <v>2500</v>
      </c>
      <c r="BX133" s="143">
        <v>2500</v>
      </c>
      <c r="BY133" s="143">
        <v>2500</v>
      </c>
      <c r="BZ133" s="996">
        <v>0</v>
      </c>
      <c r="CA133" s="143">
        <v>0</v>
      </c>
      <c r="CB133">
        <v>0</v>
      </c>
      <c r="CC133" s="143">
        <v>2050</v>
      </c>
      <c r="CD133" s="143">
        <v>2050</v>
      </c>
      <c r="CE133" s="143">
        <v>3300</v>
      </c>
      <c r="CF133" s="143">
        <v>5000</v>
      </c>
      <c r="CG133" s="143">
        <v>2300</v>
      </c>
      <c r="CH133" s="143">
        <v>3600</v>
      </c>
      <c r="CI133" s="143">
        <v>2300</v>
      </c>
      <c r="CJ133" s="143">
        <v>2300</v>
      </c>
      <c r="CK133" s="143">
        <v>2300</v>
      </c>
      <c r="CL133" s="143">
        <v>2300</v>
      </c>
      <c r="CM133" s="143">
        <v>3600</v>
      </c>
      <c r="CN133" s="143">
        <v>950</v>
      </c>
      <c r="CO133" s="143">
        <v>1250</v>
      </c>
      <c r="CP133" s="143">
        <v>2100</v>
      </c>
      <c r="CQ133" s="143">
        <v>600</v>
      </c>
      <c r="CR133" s="143">
        <v>0</v>
      </c>
      <c r="CS133" s="143">
        <v>623.78</v>
      </c>
      <c r="CT133" s="143">
        <v>0</v>
      </c>
      <c r="CU133" s="143">
        <v>600</v>
      </c>
      <c r="CV133" s="143">
        <v>0</v>
      </c>
      <c r="CW133" s="14">
        <v>660</v>
      </c>
      <c r="CX133" s="14">
        <v>0</v>
      </c>
      <c r="CY133" s="14">
        <v>1802</v>
      </c>
      <c r="CZ133" s="670">
        <v>2000</v>
      </c>
      <c r="DA133" s="670">
        <v>2000</v>
      </c>
      <c r="DB133" s="670">
        <v>1800</v>
      </c>
      <c r="DC133">
        <v>2000</v>
      </c>
      <c r="DD133">
        <v>1800</v>
      </c>
      <c r="DE133">
        <v>2000</v>
      </c>
      <c r="DF133">
        <v>3000</v>
      </c>
      <c r="DG133">
        <v>1800</v>
      </c>
      <c r="DH133">
        <v>0</v>
      </c>
      <c r="DI133">
        <v>0</v>
      </c>
      <c r="DJ133">
        <v>2600</v>
      </c>
      <c r="DK133">
        <v>3000</v>
      </c>
      <c r="DL133">
        <v>3000</v>
      </c>
      <c r="DM133">
        <v>850</v>
      </c>
      <c r="DN133">
        <v>1650</v>
      </c>
      <c r="DO133">
        <v>3000</v>
      </c>
      <c r="DP133">
        <v>7000</v>
      </c>
      <c r="DQ133">
        <v>20.5</v>
      </c>
    </row>
    <row r="134" spans="1:121" x14ac:dyDescent="0.2">
      <c r="A134" s="14">
        <v>20.75</v>
      </c>
      <c r="B134" s="684">
        <f t="shared" si="28"/>
        <v>2.0437062160466677E-3</v>
      </c>
      <c r="C134" s="684">
        <f t="shared" si="29"/>
        <v>2.0437062160466694E-3</v>
      </c>
      <c r="D134" s="684">
        <f t="shared" si="36"/>
        <v>5.1092655401166736E-4</v>
      </c>
      <c r="E134" s="684">
        <f t="shared" si="30"/>
        <v>46.396274574935674</v>
      </c>
      <c r="F134" s="684">
        <f t="shared" si="31"/>
        <v>33.192221118091773</v>
      </c>
      <c r="G134" s="684">
        <f t="shared" si="37"/>
        <v>3.9034788726491385</v>
      </c>
      <c r="H134" s="684">
        <f t="shared" si="38"/>
        <v>0.97586971816228463</v>
      </c>
      <c r="I134" s="1052">
        <f>HLOOKUP('Input &amp; Summary'!$B$6,TurbineProfiles,ROW(I134)-49,0)</f>
        <v>1910</v>
      </c>
      <c r="J134" s="684">
        <f t="shared" si="32"/>
        <v>2117.4921141893815</v>
      </c>
      <c r="K134" s="9">
        <f t="shared" si="33"/>
        <v>0.90201044301465383</v>
      </c>
      <c r="L134" s="14">
        <f t="shared" si="34"/>
        <v>18005.54550517918</v>
      </c>
      <c r="M134" s="684">
        <f t="shared" si="35"/>
        <v>8522.8383813577639</v>
      </c>
      <c r="N134" s="684">
        <f t="shared" si="39"/>
        <v>2117.4921141893815</v>
      </c>
      <c r="O134" s="684">
        <f t="shared" si="40"/>
        <v>0.99619409752516386</v>
      </c>
      <c r="P134" s="684">
        <f t="shared" si="41"/>
        <v>0.97586971816228463</v>
      </c>
      <c r="Q134" s="684">
        <f t="shared" si="45"/>
        <v>5.432903449267279E-4</v>
      </c>
      <c r="R134" s="684">
        <f t="shared" si="46"/>
        <v>5.1120693755524194E-4</v>
      </c>
      <c r="S134" s="684">
        <f t="shared" si="42"/>
        <v>0.9764052507305121</v>
      </c>
      <c r="T134" s="684">
        <f t="shared" si="43"/>
        <v>1.0376845588100503</v>
      </c>
      <c r="U134" s="14">
        <f t="shared" si="44"/>
        <v>1910</v>
      </c>
      <c r="V134">
        <v>1500</v>
      </c>
      <c r="W134">
        <v>3500</v>
      </c>
      <c r="X134">
        <v>5000</v>
      </c>
      <c r="Y134">
        <v>1500</v>
      </c>
      <c r="Z134">
        <v>3500</v>
      </c>
      <c r="AA134">
        <v>5000</v>
      </c>
      <c r="AB134">
        <v>1500</v>
      </c>
      <c r="AC134">
        <v>3500</v>
      </c>
      <c r="AD134">
        <v>5000</v>
      </c>
      <c r="AE134" s="143">
        <v>1500</v>
      </c>
      <c r="AF134" s="143">
        <v>0</v>
      </c>
      <c r="AG134" s="143">
        <v>750</v>
      </c>
      <c r="AH134" s="143">
        <v>900</v>
      </c>
      <c r="AI134" s="996">
        <v>900</v>
      </c>
      <c r="AJ134" s="143">
        <v>5000</v>
      </c>
      <c r="AK134" s="143">
        <v>1300</v>
      </c>
      <c r="AL134" s="143">
        <v>2500</v>
      </c>
      <c r="AM134" s="143">
        <v>2500</v>
      </c>
      <c r="AN134" s="143">
        <v>2500</v>
      </c>
      <c r="AO134" s="143">
        <v>2500</v>
      </c>
      <c r="AP134" s="143">
        <v>2000</v>
      </c>
      <c r="AQ134" s="143">
        <v>2000</v>
      </c>
      <c r="AR134" s="143">
        <v>2000</v>
      </c>
      <c r="AS134" s="143">
        <v>2000</v>
      </c>
      <c r="AT134" s="143">
        <v>550</v>
      </c>
      <c r="AU134" s="143">
        <v>750</v>
      </c>
      <c r="AV134" s="143">
        <v>1500</v>
      </c>
      <c r="AW134" s="143">
        <v>1500</v>
      </c>
      <c r="AX134" s="143">
        <v>2500</v>
      </c>
      <c r="AY134" s="143">
        <v>2500</v>
      </c>
      <c r="AZ134" s="143">
        <v>2500</v>
      </c>
      <c r="BA134" s="143">
        <v>800</v>
      </c>
      <c r="BB134" s="143">
        <v>850</v>
      </c>
      <c r="BC134" s="143">
        <v>2000</v>
      </c>
      <c r="BD134" s="143">
        <v>2000</v>
      </c>
      <c r="BE134" s="143">
        <v>2000</v>
      </c>
      <c r="BF134" s="143">
        <v>1500</v>
      </c>
      <c r="BG134" s="143">
        <v>1500</v>
      </c>
      <c r="BH134" s="143">
        <v>0</v>
      </c>
      <c r="BI134" s="143">
        <v>2500</v>
      </c>
      <c r="BJ134" s="996">
        <v>1000</v>
      </c>
      <c r="BK134" s="143">
        <v>1000</v>
      </c>
      <c r="BL134" s="143">
        <v>2400</v>
      </c>
      <c r="BM134" s="143">
        <v>2400</v>
      </c>
      <c r="BN134" s="143">
        <v>5000</v>
      </c>
      <c r="BO134" s="143">
        <v>705.73</v>
      </c>
      <c r="BP134" s="143">
        <v>701.74</v>
      </c>
      <c r="BQ134" s="143">
        <v>820.11</v>
      </c>
      <c r="BR134" s="143">
        <v>1500</v>
      </c>
      <c r="BS134" s="143">
        <v>0</v>
      </c>
      <c r="BT134" s="143">
        <v>599.1</v>
      </c>
      <c r="BU134" s="143">
        <v>1312.5</v>
      </c>
      <c r="BV134" s="143">
        <v>2300</v>
      </c>
      <c r="BW134" s="143">
        <v>2500</v>
      </c>
      <c r="BX134" s="143">
        <v>2500</v>
      </c>
      <c r="BY134" s="143">
        <v>2500</v>
      </c>
      <c r="BZ134" s="996">
        <v>0</v>
      </c>
      <c r="CA134" s="143">
        <v>0</v>
      </c>
      <c r="CB134">
        <v>0</v>
      </c>
      <c r="CC134" s="143">
        <v>2050</v>
      </c>
      <c r="CD134" s="143">
        <v>2050</v>
      </c>
      <c r="CE134" s="143">
        <v>3300</v>
      </c>
      <c r="CF134" s="143">
        <v>5000</v>
      </c>
      <c r="CG134" s="143">
        <v>2300</v>
      </c>
      <c r="CH134" s="143">
        <v>3600</v>
      </c>
      <c r="CI134" s="143">
        <v>2300</v>
      </c>
      <c r="CJ134" s="143">
        <v>2300</v>
      </c>
      <c r="CK134" s="143">
        <v>2300</v>
      </c>
      <c r="CL134" s="143">
        <v>2300</v>
      </c>
      <c r="CM134" s="143">
        <v>3600</v>
      </c>
      <c r="CN134" s="143">
        <v>950</v>
      </c>
      <c r="CO134" s="143">
        <v>1250</v>
      </c>
      <c r="CP134" s="143">
        <v>2100</v>
      </c>
      <c r="CQ134" s="143">
        <v>600</v>
      </c>
      <c r="CR134" s="143">
        <v>0</v>
      </c>
      <c r="CS134" s="143">
        <v>623.78</v>
      </c>
      <c r="CT134" s="143">
        <v>0</v>
      </c>
      <c r="CU134" s="143">
        <v>600</v>
      </c>
      <c r="CV134" s="143">
        <v>0</v>
      </c>
      <c r="CW134" s="14">
        <v>660</v>
      </c>
      <c r="CX134" s="14">
        <v>0</v>
      </c>
      <c r="CY134" s="14">
        <v>1802</v>
      </c>
      <c r="CZ134" s="670">
        <v>2000</v>
      </c>
      <c r="DA134" s="670">
        <v>2000</v>
      </c>
      <c r="DB134" s="670">
        <v>1800</v>
      </c>
      <c r="DC134">
        <v>2000</v>
      </c>
      <c r="DD134">
        <v>1800</v>
      </c>
      <c r="DE134">
        <v>2000</v>
      </c>
      <c r="DF134">
        <v>3000</v>
      </c>
      <c r="DG134">
        <v>1800</v>
      </c>
      <c r="DH134">
        <v>0</v>
      </c>
      <c r="DI134">
        <v>0</v>
      </c>
      <c r="DJ134">
        <v>2600</v>
      </c>
      <c r="DK134">
        <v>3000</v>
      </c>
      <c r="DL134">
        <v>3000</v>
      </c>
      <c r="DM134">
        <v>850</v>
      </c>
      <c r="DN134">
        <v>1650</v>
      </c>
      <c r="DO134">
        <v>3000</v>
      </c>
      <c r="DP134">
        <v>7000</v>
      </c>
      <c r="DQ134">
        <v>20.75</v>
      </c>
    </row>
    <row r="135" spans="1:121" x14ac:dyDescent="0.2">
      <c r="A135" s="14">
        <v>21</v>
      </c>
      <c r="B135" s="684">
        <f t="shared" si="28"/>
        <v>1.8070335510911271E-3</v>
      </c>
      <c r="C135" s="684">
        <f t="shared" si="29"/>
        <v>1.8070335510911269E-3</v>
      </c>
      <c r="D135" s="684">
        <f t="shared" si="36"/>
        <v>4.5175838777278173E-4</v>
      </c>
      <c r="E135" s="684">
        <f t="shared" si="30"/>
        <v>42.52403248933318</v>
      </c>
      <c r="F135" s="684">
        <f t="shared" si="31"/>
        <v>30.421991898060107</v>
      </c>
      <c r="G135" s="684">
        <f t="shared" si="37"/>
        <v>3.4514340825840524</v>
      </c>
      <c r="H135" s="684">
        <f t="shared" si="38"/>
        <v>0.86285852064601309</v>
      </c>
      <c r="I135" s="1052">
        <f>HLOOKUP('Input &amp; Summary'!$B$6,TurbineProfiles,ROW(I135)-49,0)</f>
        <v>1910</v>
      </c>
      <c r="J135" s="684">
        <f t="shared" si="32"/>
        <v>2117.4921141893815</v>
      </c>
      <c r="K135" s="9">
        <f t="shared" si="33"/>
        <v>0.90201044301465383</v>
      </c>
      <c r="L135" s="14">
        <f t="shared" si="34"/>
        <v>18664.220842904291</v>
      </c>
      <c r="M135" s="684">
        <f t="shared" si="35"/>
        <v>8674.1738309491957</v>
      </c>
      <c r="N135" s="684">
        <f t="shared" si="39"/>
        <v>2117.4921141893815</v>
      </c>
      <c r="O135" s="684">
        <f t="shared" si="40"/>
        <v>0.99667490381976809</v>
      </c>
      <c r="P135" s="684">
        <f t="shared" si="41"/>
        <v>0.86285852064601309</v>
      </c>
      <c r="Q135" s="684">
        <f t="shared" si="45"/>
        <v>4.8080629460423019E-4</v>
      </c>
      <c r="R135" s="684">
        <f t="shared" si="46"/>
        <v>4.5201452691767674E-4</v>
      </c>
      <c r="S135" s="684">
        <f t="shared" si="42"/>
        <v>0.86334774641276257</v>
      </c>
      <c r="T135" s="684">
        <f t="shared" si="43"/>
        <v>0.91834002269407966</v>
      </c>
      <c r="U135" s="14">
        <f t="shared" si="44"/>
        <v>1910</v>
      </c>
      <c r="V135">
        <v>1500</v>
      </c>
      <c r="W135">
        <v>3500</v>
      </c>
      <c r="X135">
        <v>5000</v>
      </c>
      <c r="Y135">
        <v>1500</v>
      </c>
      <c r="Z135">
        <v>3500</v>
      </c>
      <c r="AA135">
        <v>5000</v>
      </c>
      <c r="AB135">
        <v>1500</v>
      </c>
      <c r="AC135">
        <v>3500</v>
      </c>
      <c r="AD135">
        <v>5000</v>
      </c>
      <c r="AE135" s="143">
        <v>1500</v>
      </c>
      <c r="AF135" s="143">
        <v>0</v>
      </c>
      <c r="AG135" s="143">
        <v>750</v>
      </c>
      <c r="AH135" s="143">
        <v>900</v>
      </c>
      <c r="AI135" s="996">
        <v>900</v>
      </c>
      <c r="AJ135" s="143">
        <v>5000</v>
      </c>
      <c r="AK135" s="143">
        <v>1300</v>
      </c>
      <c r="AL135" s="143">
        <v>2500</v>
      </c>
      <c r="AM135" s="143">
        <v>2500</v>
      </c>
      <c r="AN135" s="143">
        <v>2500</v>
      </c>
      <c r="AO135" s="143">
        <v>2500</v>
      </c>
      <c r="AP135" s="143">
        <v>2000</v>
      </c>
      <c r="AQ135" s="143">
        <v>2000</v>
      </c>
      <c r="AR135" s="143">
        <v>2000</v>
      </c>
      <c r="AS135" s="143">
        <v>2000</v>
      </c>
      <c r="AT135" s="143">
        <v>550</v>
      </c>
      <c r="AU135" s="143">
        <v>750</v>
      </c>
      <c r="AV135" s="143">
        <v>1500</v>
      </c>
      <c r="AW135" s="143">
        <v>1500</v>
      </c>
      <c r="AX135" s="143">
        <v>2500</v>
      </c>
      <c r="AY135" s="143">
        <v>2500</v>
      </c>
      <c r="AZ135" s="143">
        <v>2500</v>
      </c>
      <c r="BA135" s="143">
        <v>800</v>
      </c>
      <c r="BB135" s="143">
        <v>850</v>
      </c>
      <c r="BC135" s="143">
        <v>2000</v>
      </c>
      <c r="BD135" s="143">
        <v>2000</v>
      </c>
      <c r="BE135" s="143">
        <v>2000</v>
      </c>
      <c r="BF135" s="143">
        <v>1500</v>
      </c>
      <c r="BG135" s="143">
        <v>1500</v>
      </c>
      <c r="BH135" s="143">
        <v>0</v>
      </c>
      <c r="BI135" s="143">
        <v>2500</v>
      </c>
      <c r="BJ135" s="996">
        <v>1000</v>
      </c>
      <c r="BK135" s="143">
        <v>1000</v>
      </c>
      <c r="BL135" s="143">
        <v>2400</v>
      </c>
      <c r="BM135" s="143">
        <v>2400</v>
      </c>
      <c r="BN135" s="143">
        <v>5000</v>
      </c>
      <c r="BO135" s="143">
        <v>705.81</v>
      </c>
      <c r="BP135" s="143">
        <v>698.93</v>
      </c>
      <c r="BQ135" s="143">
        <v>812.12</v>
      </c>
      <c r="BR135" s="143">
        <v>1500</v>
      </c>
      <c r="BS135" s="143">
        <v>0</v>
      </c>
      <c r="BT135" s="143">
        <v>599.1</v>
      </c>
      <c r="BU135" s="143">
        <v>1312</v>
      </c>
      <c r="BV135" s="143">
        <v>2300</v>
      </c>
      <c r="BW135" s="143">
        <v>2500</v>
      </c>
      <c r="BX135" s="143">
        <v>2500</v>
      </c>
      <c r="BY135" s="143">
        <v>2500</v>
      </c>
      <c r="BZ135" s="996">
        <v>0</v>
      </c>
      <c r="CA135" s="143">
        <v>0</v>
      </c>
      <c r="CB135">
        <v>0</v>
      </c>
      <c r="CC135" s="143">
        <v>2050</v>
      </c>
      <c r="CD135" s="143">
        <v>2050</v>
      </c>
      <c r="CE135" s="143">
        <v>3300</v>
      </c>
      <c r="CF135" s="143">
        <v>5000</v>
      </c>
      <c r="CG135" s="143">
        <v>2300</v>
      </c>
      <c r="CH135" s="143">
        <v>3600</v>
      </c>
      <c r="CI135" s="143">
        <v>2300</v>
      </c>
      <c r="CJ135" s="143">
        <v>2300</v>
      </c>
      <c r="CK135" s="143">
        <v>2300</v>
      </c>
      <c r="CL135" s="143">
        <v>2300</v>
      </c>
      <c r="CM135" s="143">
        <v>3600</v>
      </c>
      <c r="CN135" s="143">
        <v>950</v>
      </c>
      <c r="CO135" s="143">
        <v>1250</v>
      </c>
      <c r="CP135" s="143">
        <v>2100</v>
      </c>
      <c r="CQ135" s="143">
        <v>600</v>
      </c>
      <c r="CR135" s="143">
        <v>0</v>
      </c>
      <c r="CS135" s="143">
        <v>627.44000000000005</v>
      </c>
      <c r="CT135" s="143">
        <v>0</v>
      </c>
      <c r="CU135" s="143">
        <v>600</v>
      </c>
      <c r="CV135" s="143">
        <v>0</v>
      </c>
      <c r="CW135" s="14">
        <v>660</v>
      </c>
      <c r="CX135" s="14">
        <v>0</v>
      </c>
      <c r="CY135" s="14">
        <v>1802</v>
      </c>
      <c r="CZ135" s="670">
        <v>2000</v>
      </c>
      <c r="DA135" s="670">
        <v>2000</v>
      </c>
      <c r="DB135" s="670">
        <v>1800</v>
      </c>
      <c r="DC135">
        <v>2000</v>
      </c>
      <c r="DD135">
        <v>1800</v>
      </c>
      <c r="DE135">
        <v>2000</v>
      </c>
      <c r="DF135">
        <v>3000</v>
      </c>
      <c r="DG135">
        <v>1800</v>
      </c>
      <c r="DH135">
        <v>0</v>
      </c>
      <c r="DI135">
        <v>0</v>
      </c>
      <c r="DJ135">
        <v>2600</v>
      </c>
      <c r="DK135">
        <v>3000</v>
      </c>
      <c r="DL135">
        <v>3000</v>
      </c>
      <c r="DM135">
        <v>850</v>
      </c>
      <c r="DN135">
        <v>1650</v>
      </c>
      <c r="DO135">
        <v>3000</v>
      </c>
      <c r="DP135">
        <v>7000</v>
      </c>
      <c r="DQ135">
        <v>21</v>
      </c>
    </row>
    <row r="136" spans="1:121" x14ac:dyDescent="0.2">
      <c r="A136" s="14">
        <v>21.25</v>
      </c>
      <c r="B136" s="684">
        <f t="shared" si="28"/>
        <v>1.5949606614535903E-3</v>
      </c>
      <c r="C136" s="684">
        <f t="shared" si="29"/>
        <v>1.5949606614535888E-3</v>
      </c>
      <c r="D136" s="684">
        <f t="shared" si="36"/>
        <v>3.987401653633972E-4</v>
      </c>
      <c r="E136" s="684">
        <f t="shared" si="30"/>
        <v>38.889926294318244</v>
      </c>
      <c r="F136" s="684">
        <f t="shared" si="31"/>
        <v>27.822126768873066</v>
      </c>
      <c r="G136" s="684">
        <f t="shared" si="37"/>
        <v>3.0463748633763545</v>
      </c>
      <c r="H136" s="684">
        <f t="shared" si="38"/>
        <v>0.76159371584408864</v>
      </c>
      <c r="I136" s="1052">
        <f>HLOOKUP('Input &amp; Summary'!$B$6,TurbineProfiles,ROW(I136)-49,0)</f>
        <v>1910</v>
      </c>
      <c r="J136" s="684">
        <f t="shared" si="32"/>
        <v>2117.4921141893815</v>
      </c>
      <c r="K136" s="9">
        <f t="shared" si="33"/>
        <v>0.90201044301465383</v>
      </c>
      <c r="L136" s="14">
        <f t="shared" si="34"/>
        <v>19338.767116720319</v>
      </c>
      <c r="M136" s="684">
        <f t="shared" si="35"/>
        <v>8825.5092805406293</v>
      </c>
      <c r="N136" s="684">
        <f t="shared" si="39"/>
        <v>2117.4921141893815</v>
      </c>
      <c r="O136" s="684">
        <f t="shared" si="40"/>
        <v>0.99709966387349136</v>
      </c>
      <c r="P136" s="684">
        <f t="shared" si="41"/>
        <v>0.76159371584408864</v>
      </c>
      <c r="Q136" s="684">
        <f t="shared" si="45"/>
        <v>4.2476005372327208E-4</v>
      </c>
      <c r="R136" s="684">
        <f t="shared" si="46"/>
        <v>3.989735913670911E-4</v>
      </c>
      <c r="S136" s="684">
        <f t="shared" si="42"/>
        <v>0.76203955951114399</v>
      </c>
      <c r="T136" s="684">
        <f t="shared" si="43"/>
        <v>0.81129170261144967</v>
      </c>
      <c r="U136" s="14">
        <f t="shared" si="44"/>
        <v>1910</v>
      </c>
      <c r="V136">
        <v>1500</v>
      </c>
      <c r="W136">
        <v>3500</v>
      </c>
      <c r="X136">
        <v>5000</v>
      </c>
      <c r="Y136">
        <v>1500</v>
      </c>
      <c r="Z136">
        <v>3500</v>
      </c>
      <c r="AA136">
        <v>5000</v>
      </c>
      <c r="AB136">
        <v>1500</v>
      </c>
      <c r="AC136">
        <v>3500</v>
      </c>
      <c r="AD136">
        <v>5000</v>
      </c>
      <c r="AE136" s="143">
        <v>1500</v>
      </c>
      <c r="AF136" s="143">
        <v>0</v>
      </c>
      <c r="AG136" s="143">
        <v>750</v>
      </c>
      <c r="AH136" s="143">
        <v>900</v>
      </c>
      <c r="AI136" s="996">
        <v>900</v>
      </c>
      <c r="AJ136" s="143">
        <v>5000</v>
      </c>
      <c r="AK136" s="143">
        <v>1300</v>
      </c>
      <c r="AL136" s="143">
        <v>2500</v>
      </c>
      <c r="AM136" s="143">
        <v>2500</v>
      </c>
      <c r="AN136" s="143">
        <v>2500</v>
      </c>
      <c r="AO136" s="143">
        <v>2500</v>
      </c>
      <c r="AP136" s="143">
        <v>2000</v>
      </c>
      <c r="AQ136" s="143">
        <v>2000</v>
      </c>
      <c r="AR136" s="143">
        <v>2000</v>
      </c>
      <c r="AS136" s="143">
        <v>2000</v>
      </c>
      <c r="AT136" s="143">
        <v>550</v>
      </c>
      <c r="AU136" s="143">
        <v>750</v>
      </c>
      <c r="AV136" s="143">
        <v>1500</v>
      </c>
      <c r="AW136" s="143">
        <v>1500</v>
      </c>
      <c r="AX136" s="143">
        <v>2500</v>
      </c>
      <c r="AY136" s="143">
        <v>2500</v>
      </c>
      <c r="AZ136" s="143">
        <v>2500</v>
      </c>
      <c r="BA136" s="143">
        <v>800</v>
      </c>
      <c r="BB136" s="143">
        <v>850</v>
      </c>
      <c r="BC136" s="143">
        <v>2000</v>
      </c>
      <c r="BD136" s="143">
        <v>2000</v>
      </c>
      <c r="BE136" s="143">
        <v>0</v>
      </c>
      <c r="BF136" s="143">
        <v>1500</v>
      </c>
      <c r="BG136" s="143">
        <v>1500</v>
      </c>
      <c r="BH136" s="143">
        <v>0</v>
      </c>
      <c r="BI136" s="143">
        <v>2500</v>
      </c>
      <c r="BJ136" s="996">
        <v>1000</v>
      </c>
      <c r="BK136" s="143">
        <v>1000</v>
      </c>
      <c r="BL136" s="143">
        <v>2400</v>
      </c>
      <c r="BM136" s="143">
        <v>2400</v>
      </c>
      <c r="BN136" s="143">
        <v>5000</v>
      </c>
      <c r="BO136" s="143">
        <v>705.91</v>
      </c>
      <c r="BP136" s="143">
        <v>698.99</v>
      </c>
      <c r="BQ136" s="143">
        <v>810.16</v>
      </c>
      <c r="BR136" s="143">
        <v>1500</v>
      </c>
      <c r="BS136" s="143">
        <v>0</v>
      </c>
      <c r="BT136" s="143">
        <v>599.1</v>
      </c>
      <c r="BU136" s="143">
        <v>1310.75</v>
      </c>
      <c r="BV136" s="143">
        <v>2300</v>
      </c>
      <c r="BW136" s="143">
        <v>2500</v>
      </c>
      <c r="BX136" s="143">
        <v>2500</v>
      </c>
      <c r="BY136" s="143">
        <v>2500</v>
      </c>
      <c r="BZ136" s="996">
        <v>0</v>
      </c>
      <c r="CA136" s="143">
        <v>0</v>
      </c>
      <c r="CB136">
        <v>0</v>
      </c>
      <c r="CC136" s="143">
        <v>2050</v>
      </c>
      <c r="CD136" s="143">
        <v>2050</v>
      </c>
      <c r="CE136" s="143">
        <v>3300</v>
      </c>
      <c r="CF136" s="143">
        <v>5000</v>
      </c>
      <c r="CG136" s="143">
        <v>2300</v>
      </c>
      <c r="CH136" s="143">
        <v>3600</v>
      </c>
      <c r="CI136" s="143">
        <v>2300</v>
      </c>
      <c r="CJ136" s="143">
        <v>2300</v>
      </c>
      <c r="CK136" s="143">
        <v>2300</v>
      </c>
      <c r="CL136" s="143">
        <v>2300</v>
      </c>
      <c r="CM136" s="143">
        <v>3600</v>
      </c>
      <c r="CN136" s="143">
        <v>950</v>
      </c>
      <c r="CO136" s="143">
        <v>1250</v>
      </c>
      <c r="CP136" s="143">
        <v>2100</v>
      </c>
      <c r="CQ136" s="143">
        <v>600</v>
      </c>
      <c r="CR136" s="143">
        <v>0</v>
      </c>
      <c r="CS136" s="143">
        <v>627.44000000000005</v>
      </c>
      <c r="CT136" s="143">
        <v>0</v>
      </c>
      <c r="CU136" s="143">
        <v>600</v>
      </c>
      <c r="CV136" s="143">
        <v>0</v>
      </c>
      <c r="CW136" s="14">
        <v>660</v>
      </c>
      <c r="CX136" s="14">
        <v>0</v>
      </c>
      <c r="CY136" s="14">
        <v>1802</v>
      </c>
      <c r="CZ136" s="670">
        <v>2000</v>
      </c>
      <c r="DA136" s="670">
        <v>2000</v>
      </c>
      <c r="DB136" s="670">
        <v>1800</v>
      </c>
      <c r="DC136">
        <v>2000</v>
      </c>
      <c r="DD136">
        <v>1800</v>
      </c>
      <c r="DE136">
        <v>2000</v>
      </c>
      <c r="DF136">
        <v>3000</v>
      </c>
      <c r="DG136">
        <v>1800</v>
      </c>
      <c r="DH136">
        <v>0</v>
      </c>
      <c r="DI136">
        <v>0</v>
      </c>
      <c r="DJ136">
        <v>2600</v>
      </c>
      <c r="DK136">
        <v>3000</v>
      </c>
      <c r="DL136">
        <v>3000</v>
      </c>
      <c r="DM136">
        <v>850</v>
      </c>
      <c r="DN136">
        <v>1650</v>
      </c>
      <c r="DO136">
        <v>3000</v>
      </c>
      <c r="DP136">
        <v>7000</v>
      </c>
      <c r="DQ136">
        <v>21.25</v>
      </c>
    </row>
    <row r="137" spans="1:121" x14ac:dyDescent="0.2">
      <c r="A137" s="14">
        <v>21.5</v>
      </c>
      <c r="B137" s="684">
        <f t="shared" si="28"/>
        <v>1.4053069212681933E-3</v>
      </c>
      <c r="C137" s="684">
        <f t="shared" si="29"/>
        <v>1.4053069212681905E-3</v>
      </c>
      <c r="D137" s="684">
        <f t="shared" si="36"/>
        <v>3.5132673031704762E-4</v>
      </c>
      <c r="E137" s="684">
        <f t="shared" si="30"/>
        <v>35.48925690131486</v>
      </c>
      <c r="F137" s="684">
        <f t="shared" si="31"/>
        <v>25.38926396951647</v>
      </c>
      <c r="G137" s="684">
        <f t="shared" si="37"/>
        <v>2.6841362196222436</v>
      </c>
      <c r="H137" s="684">
        <f t="shared" si="38"/>
        <v>0.67103405490556089</v>
      </c>
      <c r="I137" s="1052">
        <f>HLOOKUP('Input &amp; Summary'!$B$6,TurbineProfiles,ROW(I137)-49,0)</f>
        <v>1910</v>
      </c>
      <c r="J137" s="684">
        <f t="shared" si="32"/>
        <v>2117.4921141893815</v>
      </c>
      <c r="K137" s="9">
        <f t="shared" si="33"/>
        <v>0.90201044301465383</v>
      </c>
      <c r="L137" s="14">
        <f t="shared" si="34"/>
        <v>20029.373266342616</v>
      </c>
      <c r="M137" s="684">
        <f t="shared" si="35"/>
        <v>8976.8447301320612</v>
      </c>
      <c r="N137" s="684">
        <f t="shared" si="39"/>
        <v>2117.4921141893815</v>
      </c>
      <c r="O137" s="684">
        <f t="shared" si="40"/>
        <v>0.99747425201089335</v>
      </c>
      <c r="P137" s="684">
        <f t="shared" si="41"/>
        <v>0.67103405490556089</v>
      </c>
      <c r="Q137" s="684">
        <f t="shared" si="45"/>
        <v>3.7458813740198771E-4</v>
      </c>
      <c r="R137" s="684">
        <f t="shared" si="46"/>
        <v>3.5153895038053662E-4</v>
      </c>
      <c r="S137" s="684">
        <f t="shared" si="42"/>
        <v>0.67143939522682494</v>
      </c>
      <c r="T137" s="684">
        <f t="shared" si="43"/>
        <v>0.71546334243779652</v>
      </c>
      <c r="U137" s="14">
        <f t="shared" si="44"/>
        <v>1910</v>
      </c>
      <c r="V137">
        <v>1500</v>
      </c>
      <c r="W137">
        <v>3500</v>
      </c>
      <c r="X137">
        <v>5000</v>
      </c>
      <c r="Y137">
        <v>1500</v>
      </c>
      <c r="Z137">
        <v>3500</v>
      </c>
      <c r="AA137">
        <v>5000</v>
      </c>
      <c r="AB137">
        <v>1500</v>
      </c>
      <c r="AC137">
        <v>3500</v>
      </c>
      <c r="AD137">
        <v>5000</v>
      </c>
      <c r="AE137" s="143">
        <v>1500</v>
      </c>
      <c r="AF137" s="143">
        <v>0</v>
      </c>
      <c r="AG137" s="143">
        <v>750</v>
      </c>
      <c r="AH137" s="143">
        <v>900</v>
      </c>
      <c r="AI137" s="996">
        <v>900</v>
      </c>
      <c r="AJ137" s="143">
        <v>5000</v>
      </c>
      <c r="AK137" s="143">
        <v>1300</v>
      </c>
      <c r="AL137" s="143">
        <v>2500</v>
      </c>
      <c r="AM137" s="143">
        <v>2500</v>
      </c>
      <c r="AN137" s="143">
        <v>2500</v>
      </c>
      <c r="AO137" s="143">
        <v>2500</v>
      </c>
      <c r="AP137" s="143">
        <v>2000</v>
      </c>
      <c r="AQ137" s="143">
        <v>2000</v>
      </c>
      <c r="AR137" s="143">
        <v>2000</v>
      </c>
      <c r="AS137" s="143">
        <v>2000</v>
      </c>
      <c r="AT137" s="143">
        <v>550</v>
      </c>
      <c r="AU137" s="143">
        <v>750</v>
      </c>
      <c r="AV137" s="143">
        <v>1500</v>
      </c>
      <c r="AW137" s="143">
        <v>1500</v>
      </c>
      <c r="AX137" s="143">
        <v>2500</v>
      </c>
      <c r="AY137" s="143">
        <v>2500</v>
      </c>
      <c r="AZ137" s="143">
        <v>2500</v>
      </c>
      <c r="BA137" s="143">
        <v>800</v>
      </c>
      <c r="BB137" s="143">
        <v>850</v>
      </c>
      <c r="BC137" s="143">
        <v>2000</v>
      </c>
      <c r="BD137" s="143">
        <v>2000</v>
      </c>
      <c r="BE137" s="143">
        <v>0</v>
      </c>
      <c r="BF137" s="143">
        <v>1500</v>
      </c>
      <c r="BG137" s="143">
        <v>1500</v>
      </c>
      <c r="BH137" s="143">
        <v>0</v>
      </c>
      <c r="BI137" s="143">
        <v>2500</v>
      </c>
      <c r="BJ137" s="996">
        <v>1000</v>
      </c>
      <c r="BK137" s="143">
        <v>1000</v>
      </c>
      <c r="BL137" s="143">
        <v>2400</v>
      </c>
      <c r="BM137" s="143">
        <v>2400</v>
      </c>
      <c r="BN137" s="143">
        <v>5000</v>
      </c>
      <c r="BO137" s="143">
        <v>706</v>
      </c>
      <c r="BP137" s="143">
        <v>696.17</v>
      </c>
      <c r="BQ137" s="143">
        <v>806.18</v>
      </c>
      <c r="BR137" s="143">
        <v>1500</v>
      </c>
      <c r="BS137" s="143">
        <v>0</v>
      </c>
      <c r="BT137" s="143">
        <v>599.1</v>
      </c>
      <c r="BU137" s="143">
        <v>1309.5</v>
      </c>
      <c r="BV137" s="143">
        <v>2300</v>
      </c>
      <c r="BW137" s="143">
        <v>2500</v>
      </c>
      <c r="BX137" s="143">
        <v>2500</v>
      </c>
      <c r="BY137" s="143">
        <v>2500</v>
      </c>
      <c r="BZ137" s="996">
        <v>0</v>
      </c>
      <c r="CA137" s="143">
        <v>0</v>
      </c>
      <c r="CB137">
        <v>0</v>
      </c>
      <c r="CC137" s="143">
        <v>2050</v>
      </c>
      <c r="CD137" s="143">
        <v>2050</v>
      </c>
      <c r="CE137" s="143">
        <v>3300</v>
      </c>
      <c r="CF137" s="143">
        <v>5000</v>
      </c>
      <c r="CG137" s="143">
        <v>2300</v>
      </c>
      <c r="CH137" s="143">
        <v>3600</v>
      </c>
      <c r="CI137" s="143">
        <v>2300</v>
      </c>
      <c r="CJ137" s="143">
        <v>2300</v>
      </c>
      <c r="CK137" s="143">
        <v>2300</v>
      </c>
      <c r="CL137" s="143">
        <v>2300</v>
      </c>
      <c r="CM137" s="143">
        <v>3600</v>
      </c>
      <c r="CN137" s="143">
        <v>950</v>
      </c>
      <c r="CO137" s="143">
        <v>1250</v>
      </c>
      <c r="CP137" s="143">
        <v>2100</v>
      </c>
      <c r="CQ137" s="143">
        <v>600</v>
      </c>
      <c r="CR137" s="143">
        <v>0</v>
      </c>
      <c r="CS137" s="143">
        <v>627.44000000000005</v>
      </c>
      <c r="CT137" s="143">
        <v>0</v>
      </c>
      <c r="CU137" s="143">
        <v>600</v>
      </c>
      <c r="CV137" s="143">
        <v>0</v>
      </c>
      <c r="CW137" s="14">
        <v>660</v>
      </c>
      <c r="CX137" s="14">
        <v>0</v>
      </c>
      <c r="CY137" s="14">
        <v>1802</v>
      </c>
      <c r="CZ137" s="670">
        <v>2000</v>
      </c>
      <c r="DA137" s="670">
        <v>2000</v>
      </c>
      <c r="DB137" s="670">
        <v>1800</v>
      </c>
      <c r="DC137">
        <v>2000</v>
      </c>
      <c r="DD137">
        <v>1800</v>
      </c>
      <c r="DE137">
        <v>2000</v>
      </c>
      <c r="DF137">
        <v>3000</v>
      </c>
      <c r="DG137">
        <v>1800</v>
      </c>
      <c r="DH137">
        <v>0</v>
      </c>
      <c r="DI137">
        <v>0</v>
      </c>
      <c r="DJ137">
        <v>2600</v>
      </c>
      <c r="DK137">
        <v>3000</v>
      </c>
      <c r="DL137">
        <v>3000</v>
      </c>
      <c r="DM137">
        <v>850</v>
      </c>
      <c r="DN137">
        <v>1650</v>
      </c>
      <c r="DO137">
        <v>3000</v>
      </c>
      <c r="DP137">
        <v>7000</v>
      </c>
      <c r="DQ137">
        <v>21.5</v>
      </c>
    </row>
    <row r="138" spans="1:121" x14ac:dyDescent="0.2">
      <c r="A138" s="14">
        <v>21.75</v>
      </c>
      <c r="B138" s="684">
        <f t="shared" si="28"/>
        <v>1.2360363242281942E-3</v>
      </c>
      <c r="C138" s="684">
        <f t="shared" si="29"/>
        <v>1.2360363242281949E-3</v>
      </c>
      <c r="D138" s="684">
        <f t="shared" si="36"/>
        <v>3.0900908105704872E-4</v>
      </c>
      <c r="E138" s="684">
        <f t="shared" si="30"/>
        <v>32.316130901943033</v>
      </c>
      <c r="F138" s="684">
        <f t="shared" si="31"/>
        <v>23.119187314189197</v>
      </c>
      <c r="G138" s="684">
        <f t="shared" si="37"/>
        <v>2.3608293792758523</v>
      </c>
      <c r="H138" s="684">
        <f t="shared" si="38"/>
        <v>0.59020734481896309</v>
      </c>
      <c r="I138" s="1052">
        <f>HLOOKUP('Input &amp; Summary'!$B$6,TurbineProfiles,ROW(I138)-49,0)</f>
        <v>1910</v>
      </c>
      <c r="J138" s="684">
        <f t="shared" si="32"/>
        <v>2117.4921141893815</v>
      </c>
      <c r="K138" s="9">
        <f t="shared" si="33"/>
        <v>0.90201044301465383</v>
      </c>
      <c r="L138" s="14">
        <f t="shared" si="34"/>
        <v>20736.228231486552</v>
      </c>
      <c r="M138" s="684">
        <f t="shared" si="35"/>
        <v>9128.1801797234948</v>
      </c>
      <c r="N138" s="684">
        <f t="shared" si="39"/>
        <v>2117.4921141893815</v>
      </c>
      <c r="O138" s="684">
        <f t="shared" si="40"/>
        <v>0.99780401553658449</v>
      </c>
      <c r="P138" s="684">
        <f t="shared" si="41"/>
        <v>0.59020734481896309</v>
      </c>
      <c r="Q138" s="684">
        <f t="shared" si="45"/>
        <v>3.297635256911402E-4</v>
      </c>
      <c r="R138" s="684">
        <f t="shared" si="46"/>
        <v>3.0920156776703678E-4</v>
      </c>
      <c r="S138" s="684">
        <f t="shared" si="42"/>
        <v>0.59057499443504025</v>
      </c>
      <c r="T138" s="684">
        <f t="shared" si="43"/>
        <v>0.62984833407007779</v>
      </c>
      <c r="U138" s="14">
        <f t="shared" si="44"/>
        <v>1910</v>
      </c>
      <c r="V138">
        <v>1500</v>
      </c>
      <c r="W138">
        <v>3500</v>
      </c>
      <c r="X138">
        <v>5000</v>
      </c>
      <c r="Y138">
        <v>1500</v>
      </c>
      <c r="Z138">
        <v>3500</v>
      </c>
      <c r="AA138">
        <v>5000</v>
      </c>
      <c r="AB138">
        <v>1500</v>
      </c>
      <c r="AC138">
        <v>3500</v>
      </c>
      <c r="AD138">
        <v>5000</v>
      </c>
      <c r="AE138" s="143">
        <v>1500</v>
      </c>
      <c r="AF138" s="143">
        <v>0</v>
      </c>
      <c r="AG138" s="143">
        <v>750</v>
      </c>
      <c r="AH138" s="143">
        <v>900</v>
      </c>
      <c r="AI138" s="996">
        <v>900</v>
      </c>
      <c r="AJ138" s="143">
        <v>5000</v>
      </c>
      <c r="AK138" s="143">
        <v>1300</v>
      </c>
      <c r="AL138" s="143">
        <v>2500</v>
      </c>
      <c r="AM138" s="143">
        <v>2500</v>
      </c>
      <c r="AN138" s="143">
        <v>2500</v>
      </c>
      <c r="AO138" s="143">
        <v>2500</v>
      </c>
      <c r="AP138" s="143">
        <v>2000</v>
      </c>
      <c r="AQ138" s="143">
        <v>2000</v>
      </c>
      <c r="AR138" s="143">
        <v>2000</v>
      </c>
      <c r="AS138" s="143">
        <v>2000</v>
      </c>
      <c r="AT138" s="143">
        <v>550</v>
      </c>
      <c r="AU138" s="143">
        <v>750</v>
      </c>
      <c r="AV138" s="143">
        <v>1500</v>
      </c>
      <c r="AW138" s="143">
        <v>1500</v>
      </c>
      <c r="AX138" s="143">
        <v>2500</v>
      </c>
      <c r="AY138" s="143">
        <v>2500</v>
      </c>
      <c r="AZ138" s="143">
        <v>2500</v>
      </c>
      <c r="BA138" s="143">
        <v>800</v>
      </c>
      <c r="BB138" s="143">
        <v>850</v>
      </c>
      <c r="BC138" s="143">
        <v>2000</v>
      </c>
      <c r="BD138" s="143">
        <v>2000</v>
      </c>
      <c r="BE138" s="143">
        <v>0</v>
      </c>
      <c r="BF138" s="143">
        <v>1500</v>
      </c>
      <c r="BG138" s="143">
        <v>1500</v>
      </c>
      <c r="BH138" s="143">
        <v>0</v>
      </c>
      <c r="BI138" s="143">
        <v>2500</v>
      </c>
      <c r="BJ138" s="996">
        <v>1000</v>
      </c>
      <c r="BK138" s="143">
        <v>1000</v>
      </c>
      <c r="BL138" s="143">
        <v>2400</v>
      </c>
      <c r="BM138" s="143">
        <v>2400</v>
      </c>
      <c r="BN138" s="143">
        <v>5000</v>
      </c>
      <c r="BO138" s="143">
        <v>706.09</v>
      </c>
      <c r="BP138" s="143">
        <v>696.23</v>
      </c>
      <c r="BQ138" s="143">
        <v>802.21</v>
      </c>
      <c r="BR138" s="143">
        <v>1500</v>
      </c>
      <c r="BS138" s="143">
        <v>0</v>
      </c>
      <c r="BT138" s="143">
        <v>599.1</v>
      </c>
      <c r="BU138" s="143">
        <v>1308.25</v>
      </c>
      <c r="BV138" s="143">
        <v>2300</v>
      </c>
      <c r="BW138" s="143">
        <v>2500</v>
      </c>
      <c r="BX138" s="143">
        <v>2500</v>
      </c>
      <c r="BY138" s="143">
        <v>2500</v>
      </c>
      <c r="BZ138" s="996">
        <v>0</v>
      </c>
      <c r="CA138" s="143">
        <v>0</v>
      </c>
      <c r="CB138">
        <v>0</v>
      </c>
      <c r="CC138" s="143">
        <v>2050</v>
      </c>
      <c r="CD138" s="143">
        <v>2050</v>
      </c>
      <c r="CE138" s="143">
        <v>3300</v>
      </c>
      <c r="CF138" s="143">
        <v>5000</v>
      </c>
      <c r="CG138" s="143">
        <v>2300</v>
      </c>
      <c r="CH138" s="143">
        <v>3600</v>
      </c>
      <c r="CI138" s="143">
        <v>2300</v>
      </c>
      <c r="CJ138" s="143">
        <v>2300</v>
      </c>
      <c r="CK138" s="143">
        <v>2300</v>
      </c>
      <c r="CL138" s="143">
        <v>2300</v>
      </c>
      <c r="CM138" s="143">
        <v>3600</v>
      </c>
      <c r="CN138" s="143">
        <v>950</v>
      </c>
      <c r="CO138" s="143">
        <v>1250</v>
      </c>
      <c r="CP138" s="143">
        <v>2100</v>
      </c>
      <c r="CQ138" s="143">
        <v>600</v>
      </c>
      <c r="CR138" s="143">
        <v>0</v>
      </c>
      <c r="CS138" s="143">
        <v>627.44000000000005</v>
      </c>
      <c r="CT138" s="143">
        <v>0</v>
      </c>
      <c r="CU138" s="143">
        <v>600</v>
      </c>
      <c r="CV138" s="143">
        <v>0</v>
      </c>
      <c r="CW138" s="14">
        <v>660</v>
      </c>
      <c r="CX138" s="14">
        <v>0</v>
      </c>
      <c r="CY138" s="14">
        <v>1802</v>
      </c>
      <c r="CZ138" s="670">
        <v>2000</v>
      </c>
      <c r="DA138" s="670">
        <v>2000</v>
      </c>
      <c r="DB138" s="670">
        <v>1800</v>
      </c>
      <c r="DC138">
        <v>2000</v>
      </c>
      <c r="DD138">
        <v>1800</v>
      </c>
      <c r="DE138">
        <v>2000</v>
      </c>
      <c r="DF138">
        <v>3000</v>
      </c>
      <c r="DG138">
        <v>1800</v>
      </c>
      <c r="DH138">
        <v>0</v>
      </c>
      <c r="DI138">
        <v>0</v>
      </c>
      <c r="DJ138">
        <v>2600</v>
      </c>
      <c r="DK138">
        <v>3000</v>
      </c>
      <c r="DL138">
        <v>3000</v>
      </c>
      <c r="DM138">
        <v>850</v>
      </c>
      <c r="DN138">
        <v>1650</v>
      </c>
      <c r="DO138">
        <v>3000</v>
      </c>
      <c r="DP138">
        <v>7000</v>
      </c>
      <c r="DQ138">
        <v>21.75</v>
      </c>
    </row>
    <row r="139" spans="1:121" x14ac:dyDescent="0.2">
      <c r="A139" s="14">
        <v>22</v>
      </c>
      <c r="B139" s="684">
        <f t="shared" si="28"/>
        <v>1.08525417233486E-3</v>
      </c>
      <c r="C139" s="684">
        <f t="shared" si="29"/>
        <v>1.0852541723348611E-3</v>
      </c>
      <c r="D139" s="684">
        <f t="shared" si="36"/>
        <v>2.7131354308371528E-4</v>
      </c>
      <c r="E139" s="684">
        <f t="shared" si="30"/>
        <v>29.363637067702545</v>
      </c>
      <c r="F139" s="684">
        <f t="shared" si="31"/>
        <v>21.00695246141818</v>
      </c>
      <c r="G139" s="684">
        <f t="shared" si="37"/>
        <v>2.0728354691595849</v>
      </c>
      <c r="H139" s="684">
        <f t="shared" si="38"/>
        <v>0.51820886728989624</v>
      </c>
      <c r="I139" s="1052">
        <f>HLOOKUP('Input &amp; Summary'!$B$6,TurbineProfiles,ROW(I139)-49,0)</f>
        <v>1910</v>
      </c>
      <c r="J139" s="684">
        <f t="shared" si="32"/>
        <v>2117.4921141893815</v>
      </c>
      <c r="K139" s="9">
        <f t="shared" si="33"/>
        <v>0.90201044301465383</v>
      </c>
      <c r="L139" s="14">
        <f t="shared" si="34"/>
        <v>21459.520951867507</v>
      </c>
      <c r="M139" s="684">
        <f t="shared" si="35"/>
        <v>9279.5156293149266</v>
      </c>
      <c r="N139" s="684">
        <f t="shared" si="39"/>
        <v>2117.4921141893815</v>
      </c>
      <c r="O139" s="684">
        <f t="shared" si="40"/>
        <v>0.99809381049557255</v>
      </c>
      <c r="P139" s="684">
        <f t="shared" si="41"/>
        <v>0.51820886728989624</v>
      </c>
      <c r="Q139" s="684">
        <f t="shared" si="45"/>
        <v>2.8979495898806551E-4</v>
      </c>
      <c r="R139" s="684">
        <f t="shared" si="46"/>
        <v>2.7148772558183154E-4</v>
      </c>
      <c r="S139" s="684">
        <f t="shared" si="42"/>
        <v>0.51854155586129824</v>
      </c>
      <c r="T139" s="684">
        <f t="shared" si="43"/>
        <v>0.55350837166720512</v>
      </c>
      <c r="U139" s="14">
        <f t="shared" si="44"/>
        <v>1910</v>
      </c>
      <c r="V139">
        <v>1500</v>
      </c>
      <c r="W139">
        <v>3500</v>
      </c>
      <c r="X139">
        <v>5000</v>
      </c>
      <c r="Y139">
        <v>1500</v>
      </c>
      <c r="Z139">
        <v>3500</v>
      </c>
      <c r="AA139">
        <v>5000</v>
      </c>
      <c r="AB139">
        <v>1500</v>
      </c>
      <c r="AC139">
        <v>3500</v>
      </c>
      <c r="AD139">
        <v>5000</v>
      </c>
      <c r="AE139" s="143">
        <v>1500</v>
      </c>
      <c r="AF139" s="143">
        <v>0</v>
      </c>
      <c r="AG139" s="143">
        <v>750</v>
      </c>
      <c r="AH139" s="143">
        <v>900</v>
      </c>
      <c r="AI139" s="996">
        <v>900</v>
      </c>
      <c r="AJ139" s="143">
        <v>5000</v>
      </c>
      <c r="AK139" s="143">
        <v>1300</v>
      </c>
      <c r="AL139" s="143">
        <v>2500</v>
      </c>
      <c r="AM139" s="143">
        <v>2500</v>
      </c>
      <c r="AN139" s="143">
        <v>2500</v>
      </c>
      <c r="AO139" s="143">
        <v>2500</v>
      </c>
      <c r="AP139" s="143">
        <v>2000</v>
      </c>
      <c r="AQ139" s="143">
        <v>2000</v>
      </c>
      <c r="AR139" s="143">
        <v>2000</v>
      </c>
      <c r="AS139" s="143">
        <v>2000</v>
      </c>
      <c r="AT139" s="143">
        <v>550</v>
      </c>
      <c r="AU139" s="143">
        <v>750</v>
      </c>
      <c r="AV139" s="143">
        <v>1500</v>
      </c>
      <c r="AW139" s="143">
        <v>1500</v>
      </c>
      <c r="AX139" s="143">
        <v>2500</v>
      </c>
      <c r="AY139" s="143">
        <v>2500</v>
      </c>
      <c r="AZ139" s="143">
        <v>2500</v>
      </c>
      <c r="BA139" s="143">
        <v>800</v>
      </c>
      <c r="BB139" s="143">
        <v>850</v>
      </c>
      <c r="BC139" s="143">
        <v>2000</v>
      </c>
      <c r="BD139" s="143">
        <v>2000</v>
      </c>
      <c r="BE139" s="143">
        <v>0</v>
      </c>
      <c r="BF139" s="143">
        <v>1500</v>
      </c>
      <c r="BG139" s="143">
        <v>1500</v>
      </c>
      <c r="BH139" s="143">
        <v>0</v>
      </c>
      <c r="BI139" s="143">
        <v>2500</v>
      </c>
      <c r="BJ139" s="996">
        <v>1000</v>
      </c>
      <c r="BK139" s="143">
        <v>1000</v>
      </c>
      <c r="BL139" s="143">
        <v>2400</v>
      </c>
      <c r="BM139" s="143">
        <v>2400</v>
      </c>
      <c r="BN139" s="143">
        <v>5000</v>
      </c>
      <c r="BO139" s="143">
        <v>706.18</v>
      </c>
      <c r="BP139" s="143">
        <v>693.42</v>
      </c>
      <c r="BQ139" s="143">
        <v>800.24</v>
      </c>
      <c r="BR139" s="143">
        <v>1500</v>
      </c>
      <c r="BS139" s="143">
        <v>0</v>
      </c>
      <c r="BT139" s="143">
        <v>599.1</v>
      </c>
      <c r="BU139" s="143">
        <v>1307</v>
      </c>
      <c r="BV139" s="143">
        <v>2300</v>
      </c>
      <c r="BW139" s="143">
        <v>2500</v>
      </c>
      <c r="BX139" s="143">
        <v>2500</v>
      </c>
      <c r="BY139" s="143">
        <v>2500</v>
      </c>
      <c r="BZ139" s="996">
        <v>0</v>
      </c>
      <c r="CA139" s="143">
        <v>0</v>
      </c>
      <c r="CB139">
        <v>0</v>
      </c>
      <c r="CC139" s="143">
        <v>2050</v>
      </c>
      <c r="CD139" s="143">
        <v>2050</v>
      </c>
      <c r="CE139" s="143">
        <v>3300</v>
      </c>
      <c r="CF139" s="143">
        <v>5000</v>
      </c>
      <c r="CG139" s="143">
        <v>2300</v>
      </c>
      <c r="CH139" s="143">
        <v>3600</v>
      </c>
      <c r="CI139" s="143">
        <v>2300</v>
      </c>
      <c r="CJ139" s="143">
        <v>2300</v>
      </c>
      <c r="CK139" s="143">
        <v>2300</v>
      </c>
      <c r="CL139" s="143">
        <v>2300</v>
      </c>
      <c r="CM139" s="143">
        <v>3600</v>
      </c>
      <c r="CN139" s="143">
        <v>950</v>
      </c>
      <c r="CO139" s="143">
        <v>1250</v>
      </c>
      <c r="CP139" s="143">
        <v>2100</v>
      </c>
      <c r="CQ139" s="143">
        <v>600</v>
      </c>
      <c r="CR139" s="143">
        <v>0</v>
      </c>
      <c r="CS139" s="143">
        <v>627.44000000000005</v>
      </c>
      <c r="CT139" s="143">
        <v>0</v>
      </c>
      <c r="CU139" s="143">
        <v>600</v>
      </c>
      <c r="CV139" s="143">
        <v>0</v>
      </c>
      <c r="CW139" s="14">
        <v>660</v>
      </c>
      <c r="CX139" s="14">
        <v>0</v>
      </c>
      <c r="CY139" s="14">
        <v>1802</v>
      </c>
      <c r="CZ139" s="670">
        <v>2000</v>
      </c>
      <c r="DA139" s="670">
        <v>2000</v>
      </c>
      <c r="DB139" s="670">
        <v>1800</v>
      </c>
      <c r="DC139">
        <v>2000</v>
      </c>
      <c r="DD139">
        <v>1800</v>
      </c>
      <c r="DE139">
        <v>2000</v>
      </c>
      <c r="DF139">
        <v>3000</v>
      </c>
      <c r="DG139">
        <v>1800</v>
      </c>
      <c r="DH139">
        <v>0</v>
      </c>
      <c r="DI139">
        <v>0</v>
      </c>
      <c r="DJ139">
        <v>2600</v>
      </c>
      <c r="DK139">
        <v>3000</v>
      </c>
      <c r="DL139">
        <v>3000</v>
      </c>
      <c r="DM139">
        <v>850</v>
      </c>
      <c r="DN139">
        <v>1650</v>
      </c>
      <c r="DO139">
        <v>3000</v>
      </c>
      <c r="DP139">
        <v>7000</v>
      </c>
      <c r="DQ139">
        <v>22</v>
      </c>
    </row>
    <row r="140" spans="1:121" x14ac:dyDescent="0.2">
      <c r="A140" s="14">
        <v>22.25</v>
      </c>
      <c r="B140" s="684">
        <f t="shared" si="28"/>
        <v>9.5120291614871598E-4</v>
      </c>
      <c r="C140" s="684">
        <f t="shared" si="29"/>
        <v>9.5120291614871652E-4</v>
      </c>
      <c r="D140" s="684">
        <f t="shared" si="36"/>
        <v>2.3780072903717913E-4</v>
      </c>
      <c r="E140" s="684">
        <f t="shared" si="30"/>
        <v>26.624015652199798</v>
      </c>
      <c r="F140" s="684">
        <f t="shared" si="31"/>
        <v>19.047008034062124</v>
      </c>
      <c r="G140" s="684">
        <f t="shared" si="37"/>
        <v>1.8167975698440486</v>
      </c>
      <c r="H140" s="684">
        <f t="shared" si="38"/>
        <v>0.45419939246101215</v>
      </c>
      <c r="I140" s="1052">
        <f>HLOOKUP('Input &amp; Summary'!$B$6,TurbineProfiles,ROW(I140)-49,0)</f>
        <v>1910</v>
      </c>
      <c r="J140" s="684">
        <f t="shared" si="32"/>
        <v>2117.4921141893815</v>
      </c>
      <c r="K140" s="9">
        <f t="shared" si="33"/>
        <v>0.90201044301465383</v>
      </c>
      <c r="L140" s="14">
        <f t="shared" si="34"/>
        <v>22199.440367200823</v>
      </c>
      <c r="M140" s="684">
        <f t="shared" si="35"/>
        <v>9430.8510789063585</v>
      </c>
      <c r="N140" s="684">
        <f t="shared" si="39"/>
        <v>2117.4921141893815</v>
      </c>
      <c r="O140" s="684">
        <f t="shared" si="40"/>
        <v>0.99834803649639337</v>
      </c>
      <c r="P140" s="684">
        <f t="shared" si="41"/>
        <v>0.45419939246101215</v>
      </c>
      <c r="Q140" s="684">
        <f t="shared" si="45"/>
        <v>2.5422600082081193E-4</v>
      </c>
      <c r="R140" s="684">
        <f t="shared" si="46"/>
        <v>2.3795798580072969E-4</v>
      </c>
      <c r="S140" s="684">
        <f t="shared" si="42"/>
        <v>0.4544997528793937</v>
      </c>
      <c r="T140" s="684">
        <f t="shared" si="43"/>
        <v>0.48557166156775078</v>
      </c>
      <c r="U140" s="14">
        <f t="shared" si="44"/>
        <v>1910</v>
      </c>
      <c r="V140">
        <v>1500</v>
      </c>
      <c r="W140">
        <v>3500</v>
      </c>
      <c r="X140">
        <v>5000</v>
      </c>
      <c r="Y140">
        <v>1500</v>
      </c>
      <c r="Z140">
        <v>3500</v>
      </c>
      <c r="AA140">
        <v>5000</v>
      </c>
      <c r="AB140">
        <v>0</v>
      </c>
      <c r="AC140">
        <v>0</v>
      </c>
      <c r="AD140">
        <v>0</v>
      </c>
      <c r="AE140" s="143">
        <v>1500</v>
      </c>
      <c r="AF140" s="143">
        <v>0</v>
      </c>
      <c r="AG140" s="143">
        <v>750</v>
      </c>
      <c r="AH140" s="143">
        <v>900</v>
      </c>
      <c r="AI140" s="996">
        <v>900</v>
      </c>
      <c r="AJ140" s="143">
        <v>5000</v>
      </c>
      <c r="AK140" s="143">
        <v>1300</v>
      </c>
      <c r="AL140" s="143">
        <v>2500</v>
      </c>
      <c r="AM140" s="143">
        <v>2500</v>
      </c>
      <c r="AN140" s="143">
        <v>2500</v>
      </c>
      <c r="AO140" s="143">
        <v>2500</v>
      </c>
      <c r="AP140" s="143">
        <v>2000</v>
      </c>
      <c r="AQ140" s="143">
        <v>2000</v>
      </c>
      <c r="AR140" s="143">
        <v>2000</v>
      </c>
      <c r="AS140" s="143">
        <v>2000</v>
      </c>
      <c r="AT140" s="143">
        <v>550</v>
      </c>
      <c r="AU140" s="143">
        <v>750</v>
      </c>
      <c r="AV140" s="143">
        <v>1500</v>
      </c>
      <c r="AW140" s="143">
        <v>1500</v>
      </c>
      <c r="AX140" s="143">
        <v>2500</v>
      </c>
      <c r="AY140" s="143">
        <v>2500</v>
      </c>
      <c r="AZ140" s="143">
        <v>2500</v>
      </c>
      <c r="BA140" s="143">
        <v>800</v>
      </c>
      <c r="BB140" s="143">
        <v>850</v>
      </c>
      <c r="BC140" s="143">
        <v>2000</v>
      </c>
      <c r="BD140" s="143">
        <v>2000</v>
      </c>
      <c r="BE140" s="143">
        <v>0</v>
      </c>
      <c r="BF140" s="143">
        <v>1500</v>
      </c>
      <c r="BG140" s="143">
        <v>1500</v>
      </c>
      <c r="BH140" s="143">
        <v>0</v>
      </c>
      <c r="BI140" s="143">
        <v>2500</v>
      </c>
      <c r="BJ140" s="996">
        <v>1000</v>
      </c>
      <c r="BK140" s="143">
        <v>1000</v>
      </c>
      <c r="BL140" s="143">
        <v>2400</v>
      </c>
      <c r="BM140" s="143">
        <v>2400</v>
      </c>
      <c r="BN140" s="143">
        <v>5000</v>
      </c>
      <c r="BO140" s="143">
        <v>706.25</v>
      </c>
      <c r="BP140" s="143">
        <v>693.48</v>
      </c>
      <c r="BQ140" s="143">
        <v>798.28</v>
      </c>
      <c r="BR140" s="143">
        <v>1500</v>
      </c>
      <c r="BS140" s="143">
        <v>0</v>
      </c>
      <c r="BT140" s="143">
        <v>599.1</v>
      </c>
      <c r="BU140" s="143">
        <v>1305</v>
      </c>
      <c r="BV140" s="143">
        <v>2300</v>
      </c>
      <c r="BW140" s="143">
        <v>2500</v>
      </c>
      <c r="BX140" s="143">
        <v>2500</v>
      </c>
      <c r="BY140" s="143">
        <v>2500</v>
      </c>
      <c r="BZ140" s="996">
        <v>0</v>
      </c>
      <c r="CA140" s="143">
        <v>0</v>
      </c>
      <c r="CB140">
        <v>0</v>
      </c>
      <c r="CC140" s="143">
        <v>2050</v>
      </c>
      <c r="CD140" s="143">
        <v>2050</v>
      </c>
      <c r="CE140" s="143">
        <v>3300</v>
      </c>
      <c r="CF140" s="143">
        <v>5000</v>
      </c>
      <c r="CG140" s="143">
        <v>2300</v>
      </c>
      <c r="CH140" s="143">
        <v>3600</v>
      </c>
      <c r="CI140" s="143">
        <v>2300</v>
      </c>
      <c r="CJ140" s="143">
        <v>2300</v>
      </c>
      <c r="CK140" s="143">
        <v>2300</v>
      </c>
      <c r="CL140" s="143">
        <v>2300</v>
      </c>
      <c r="CM140" s="143">
        <v>3600</v>
      </c>
      <c r="CN140" s="143">
        <v>950</v>
      </c>
      <c r="CO140" s="143">
        <v>1250</v>
      </c>
      <c r="CP140" s="143">
        <v>2100</v>
      </c>
      <c r="CQ140" s="143">
        <v>600</v>
      </c>
      <c r="CR140" s="143">
        <v>0</v>
      </c>
      <c r="CS140" s="143">
        <v>627.44000000000005</v>
      </c>
      <c r="CT140" s="143">
        <v>0</v>
      </c>
      <c r="CU140" s="143">
        <v>600</v>
      </c>
      <c r="CV140" s="143">
        <v>0</v>
      </c>
      <c r="CW140" s="14">
        <v>660</v>
      </c>
      <c r="CX140" s="14">
        <v>0</v>
      </c>
      <c r="CY140" s="14">
        <v>1802</v>
      </c>
      <c r="CZ140" s="670">
        <v>2000</v>
      </c>
      <c r="DA140" s="670">
        <v>2000</v>
      </c>
      <c r="DB140" s="670">
        <v>1800</v>
      </c>
      <c r="DC140">
        <v>2000</v>
      </c>
      <c r="DD140">
        <v>1800</v>
      </c>
      <c r="DE140">
        <v>2000</v>
      </c>
      <c r="DF140">
        <v>3000</v>
      </c>
      <c r="DG140">
        <v>1800</v>
      </c>
      <c r="DH140">
        <v>0</v>
      </c>
      <c r="DI140">
        <v>0</v>
      </c>
      <c r="DJ140">
        <v>2600</v>
      </c>
      <c r="DK140">
        <v>3000</v>
      </c>
      <c r="DL140">
        <v>3000</v>
      </c>
      <c r="DM140">
        <v>850</v>
      </c>
      <c r="DN140">
        <v>1650</v>
      </c>
      <c r="DO140">
        <v>3000</v>
      </c>
      <c r="DP140">
        <v>7000</v>
      </c>
      <c r="DQ140">
        <v>22.25</v>
      </c>
    </row>
    <row r="141" spans="1:121" x14ac:dyDescent="0.2">
      <c r="A141" s="14">
        <v>22.5</v>
      </c>
      <c r="B141" s="684">
        <f t="shared" si="28"/>
        <v>8.3225730111013442E-4</v>
      </c>
      <c r="C141" s="684">
        <f t="shared" si="29"/>
        <v>8.322573011101341E-4</v>
      </c>
      <c r="D141" s="684">
        <f t="shared" si="36"/>
        <v>2.0806432527753352E-4</v>
      </c>
      <c r="E141" s="684">
        <f t="shared" si="30"/>
        <v>24.08881903423957</v>
      </c>
      <c r="F141" s="684">
        <f t="shared" si="31"/>
        <v>17.233310544509084</v>
      </c>
      <c r="G141" s="684">
        <f t="shared" si="37"/>
        <v>1.5896114451203562</v>
      </c>
      <c r="H141" s="684">
        <f t="shared" si="38"/>
        <v>0.39740286128008906</v>
      </c>
      <c r="I141" s="1052">
        <f>HLOOKUP('Input &amp; Summary'!$B$6,TurbineProfiles,ROW(I141)-49,0)</f>
        <v>1910</v>
      </c>
      <c r="J141" s="684">
        <f t="shared" si="32"/>
        <v>2117.4921141893815</v>
      </c>
      <c r="K141" s="9">
        <f t="shared" si="33"/>
        <v>0.90201044301465383</v>
      </c>
      <c r="L141" s="14">
        <f t="shared" si="34"/>
        <v>22956.175417201895</v>
      </c>
      <c r="M141" s="684">
        <f t="shared" si="35"/>
        <v>9582.1865284977903</v>
      </c>
      <c r="N141" s="684">
        <f t="shared" si="39"/>
        <v>2117.4921141893815</v>
      </c>
      <c r="O141" s="684">
        <f t="shared" si="40"/>
        <v>0.99857067040446534</v>
      </c>
      <c r="P141" s="684">
        <f t="shared" si="41"/>
        <v>0.39740286128008906</v>
      </c>
      <c r="Q141" s="684">
        <f t="shared" si="45"/>
        <v>2.2263390807197858E-4</v>
      </c>
      <c r="R141" s="684">
        <f t="shared" si="46"/>
        <v>2.0820597838588917E-4</v>
      </c>
      <c r="S141" s="684">
        <f t="shared" si="42"/>
        <v>0.39767341871704831</v>
      </c>
      <c r="T141" s="684">
        <f t="shared" si="43"/>
        <v>0.42523076441747909</v>
      </c>
      <c r="U141" s="14">
        <f t="shared" si="44"/>
        <v>1910</v>
      </c>
      <c r="V141">
        <v>1500</v>
      </c>
      <c r="W141">
        <v>3500</v>
      </c>
      <c r="X141">
        <v>5000</v>
      </c>
      <c r="Y141">
        <v>1500</v>
      </c>
      <c r="Z141">
        <v>3500</v>
      </c>
      <c r="AA141">
        <v>5000</v>
      </c>
      <c r="AB141">
        <v>0</v>
      </c>
      <c r="AC141">
        <v>0</v>
      </c>
      <c r="AD141">
        <v>0</v>
      </c>
      <c r="AE141" s="143">
        <v>1500</v>
      </c>
      <c r="AF141" s="143">
        <v>0</v>
      </c>
      <c r="AG141" s="143">
        <v>750</v>
      </c>
      <c r="AH141" s="143">
        <v>900</v>
      </c>
      <c r="AI141" s="996">
        <v>900</v>
      </c>
      <c r="AJ141" s="143">
        <v>5000</v>
      </c>
      <c r="AK141" s="143">
        <v>1300</v>
      </c>
      <c r="AL141" s="143">
        <v>2500</v>
      </c>
      <c r="AM141" s="143">
        <v>2500</v>
      </c>
      <c r="AN141" s="143">
        <v>2500</v>
      </c>
      <c r="AO141" s="143">
        <v>2500</v>
      </c>
      <c r="AP141" s="143">
        <v>2000</v>
      </c>
      <c r="AQ141" s="143">
        <v>2000</v>
      </c>
      <c r="AR141" s="143">
        <v>2000</v>
      </c>
      <c r="AS141" s="143">
        <v>2000</v>
      </c>
      <c r="AT141" s="143">
        <v>550</v>
      </c>
      <c r="AU141" s="143">
        <v>750</v>
      </c>
      <c r="AV141" s="143">
        <v>1500</v>
      </c>
      <c r="AW141" s="143">
        <v>1500</v>
      </c>
      <c r="AX141" s="143">
        <v>2500</v>
      </c>
      <c r="AY141" s="143">
        <v>2500</v>
      </c>
      <c r="AZ141" s="143">
        <v>2500</v>
      </c>
      <c r="BA141" s="143">
        <v>800</v>
      </c>
      <c r="BB141" s="143">
        <v>850</v>
      </c>
      <c r="BC141" s="143">
        <v>2000</v>
      </c>
      <c r="BD141" s="143">
        <v>2000</v>
      </c>
      <c r="BE141" s="143">
        <v>0</v>
      </c>
      <c r="BF141" s="143">
        <v>1500</v>
      </c>
      <c r="BG141" s="143">
        <v>1500</v>
      </c>
      <c r="BH141" s="143">
        <v>0</v>
      </c>
      <c r="BI141" s="143">
        <v>2500</v>
      </c>
      <c r="BJ141" s="996">
        <v>1000</v>
      </c>
      <c r="BK141" s="143">
        <v>1000</v>
      </c>
      <c r="BL141" s="143">
        <v>2400</v>
      </c>
      <c r="BM141" s="143">
        <v>2400</v>
      </c>
      <c r="BN141" s="143">
        <v>5000</v>
      </c>
      <c r="BO141" s="143">
        <v>710.16</v>
      </c>
      <c r="BP141" s="143">
        <v>693.54</v>
      </c>
      <c r="BQ141" s="143">
        <v>796.31</v>
      </c>
      <c r="BR141" s="143">
        <v>1500</v>
      </c>
      <c r="BS141" s="143">
        <v>0</v>
      </c>
      <c r="BT141" s="143">
        <v>599.1</v>
      </c>
      <c r="BU141" s="143">
        <v>1303</v>
      </c>
      <c r="BV141" s="143">
        <v>2300</v>
      </c>
      <c r="BW141" s="143">
        <v>2500</v>
      </c>
      <c r="BX141" s="143">
        <v>2500</v>
      </c>
      <c r="BY141" s="143">
        <v>2500</v>
      </c>
      <c r="BZ141" s="996">
        <v>0</v>
      </c>
      <c r="CA141" s="143">
        <v>0</v>
      </c>
      <c r="CB141">
        <v>0</v>
      </c>
      <c r="CC141" s="143">
        <v>2050</v>
      </c>
      <c r="CD141" s="143">
        <v>2050</v>
      </c>
      <c r="CE141" s="143">
        <v>3300</v>
      </c>
      <c r="CF141" s="143">
        <v>5000</v>
      </c>
      <c r="CG141" s="143">
        <v>2300</v>
      </c>
      <c r="CH141" s="143">
        <v>3600</v>
      </c>
      <c r="CI141" s="143">
        <v>2300</v>
      </c>
      <c r="CJ141" s="143">
        <v>2300</v>
      </c>
      <c r="CK141" s="143">
        <v>2300</v>
      </c>
      <c r="CL141" s="143">
        <v>2300</v>
      </c>
      <c r="CM141" s="143">
        <v>3600</v>
      </c>
      <c r="CN141" s="143">
        <v>950</v>
      </c>
      <c r="CO141" s="143">
        <v>1250</v>
      </c>
      <c r="CP141" s="143">
        <v>2100</v>
      </c>
      <c r="CQ141" s="143">
        <v>600</v>
      </c>
      <c r="CR141" s="143">
        <v>0</v>
      </c>
      <c r="CS141" s="143">
        <v>627.44000000000005</v>
      </c>
      <c r="CT141" s="143">
        <v>0</v>
      </c>
      <c r="CU141" s="143">
        <v>600</v>
      </c>
      <c r="CV141" s="143">
        <v>0</v>
      </c>
      <c r="CW141" s="14">
        <v>660</v>
      </c>
      <c r="CX141" s="14">
        <v>0</v>
      </c>
      <c r="CY141" s="14">
        <v>1802</v>
      </c>
      <c r="CZ141" s="670">
        <v>2000</v>
      </c>
      <c r="DA141" s="670">
        <v>2000</v>
      </c>
      <c r="DB141" s="670">
        <v>1800</v>
      </c>
      <c r="DC141">
        <v>2000</v>
      </c>
      <c r="DD141">
        <v>1800</v>
      </c>
      <c r="DE141">
        <v>2000</v>
      </c>
      <c r="DF141">
        <v>3000</v>
      </c>
      <c r="DG141">
        <v>1800</v>
      </c>
      <c r="DH141">
        <v>0</v>
      </c>
      <c r="DI141">
        <v>0</v>
      </c>
      <c r="DJ141">
        <v>2600</v>
      </c>
      <c r="DK141">
        <v>3000</v>
      </c>
      <c r="DL141">
        <v>3000</v>
      </c>
      <c r="DM141">
        <v>850</v>
      </c>
      <c r="DN141">
        <v>1650</v>
      </c>
      <c r="DO141">
        <v>3000</v>
      </c>
      <c r="DP141">
        <v>7000</v>
      </c>
      <c r="DQ141">
        <v>22.5</v>
      </c>
    </row>
    <row r="142" spans="1:121" x14ac:dyDescent="0.2">
      <c r="A142" s="14">
        <v>22.75</v>
      </c>
      <c r="B142" s="684">
        <f t="shared" si="28"/>
        <v>7.2691896258341403E-4</v>
      </c>
      <c r="C142" s="684">
        <f t="shared" si="29"/>
        <v>7.2691896258341392E-4</v>
      </c>
      <c r="D142" s="684">
        <f t="shared" si="36"/>
        <v>1.8172974064585348E-4</v>
      </c>
      <c r="E142" s="684">
        <f t="shared" si="30"/>
        <v>21.749062536450499</v>
      </c>
      <c r="F142" s="684">
        <f t="shared" si="31"/>
        <v>15.559432291381809</v>
      </c>
      <c r="G142" s="684">
        <f t="shared" si="37"/>
        <v>1.3884152185343206</v>
      </c>
      <c r="H142" s="684">
        <f t="shared" si="38"/>
        <v>0.34710380463358015</v>
      </c>
      <c r="I142" s="1052">
        <f>HLOOKUP('Input &amp; Summary'!$B$6,TurbineProfiles,ROW(I142)-49,0)</f>
        <v>1910</v>
      </c>
      <c r="J142" s="684">
        <f t="shared" si="32"/>
        <v>2117.4921141893815</v>
      </c>
      <c r="K142" s="9">
        <f t="shared" si="33"/>
        <v>0.90201044301465383</v>
      </c>
      <c r="L142" s="14">
        <f t="shared" si="34"/>
        <v>23729.915041586082</v>
      </c>
      <c r="M142" s="684">
        <f t="shared" si="35"/>
        <v>9733.5219780892221</v>
      </c>
      <c r="N142" s="684">
        <f t="shared" si="39"/>
        <v>2117.4921141893815</v>
      </c>
      <c r="O142" s="684">
        <f t="shared" si="40"/>
        <v>0.9987652987502692</v>
      </c>
      <c r="P142" s="684">
        <f t="shared" si="41"/>
        <v>0.34710380463358015</v>
      </c>
      <c r="Q142" s="684">
        <f t="shared" si="45"/>
        <v>1.9462834580386001E-4</v>
      </c>
      <c r="R142" s="684">
        <f t="shared" si="46"/>
        <v>1.8185705140538744E-4</v>
      </c>
      <c r="S142" s="684">
        <f t="shared" si="42"/>
        <v>0.34734696818429001</v>
      </c>
      <c r="T142" s="684">
        <f t="shared" si="43"/>
        <v>0.37174014048537263</v>
      </c>
      <c r="U142" s="14">
        <f t="shared" si="44"/>
        <v>1910</v>
      </c>
      <c r="V142">
        <v>1500</v>
      </c>
      <c r="W142">
        <v>3500</v>
      </c>
      <c r="X142">
        <v>5000</v>
      </c>
      <c r="Y142">
        <v>1500</v>
      </c>
      <c r="Z142">
        <v>3500</v>
      </c>
      <c r="AA142">
        <v>5000</v>
      </c>
      <c r="AB142">
        <v>0</v>
      </c>
      <c r="AC142">
        <v>0</v>
      </c>
      <c r="AD142">
        <v>0</v>
      </c>
      <c r="AE142" s="143">
        <v>1500</v>
      </c>
      <c r="AF142" s="143">
        <v>0</v>
      </c>
      <c r="AG142" s="143">
        <v>750</v>
      </c>
      <c r="AH142" s="143">
        <v>900</v>
      </c>
      <c r="AI142" s="996">
        <v>900</v>
      </c>
      <c r="AJ142" s="143">
        <v>5000</v>
      </c>
      <c r="AK142" s="143">
        <v>1300</v>
      </c>
      <c r="AL142" s="143">
        <v>2500</v>
      </c>
      <c r="AM142" s="143">
        <v>2500</v>
      </c>
      <c r="AN142" s="143">
        <v>2500</v>
      </c>
      <c r="AO142" s="143">
        <v>2500</v>
      </c>
      <c r="AP142" s="143">
        <v>2000</v>
      </c>
      <c r="AQ142" s="143">
        <v>2000</v>
      </c>
      <c r="AR142" s="143">
        <v>2000</v>
      </c>
      <c r="AS142" s="143">
        <v>2000</v>
      </c>
      <c r="AT142" s="143">
        <v>550</v>
      </c>
      <c r="AU142" s="143">
        <v>750</v>
      </c>
      <c r="AV142" s="143">
        <v>1500</v>
      </c>
      <c r="AW142" s="143">
        <v>1500</v>
      </c>
      <c r="AX142" s="143">
        <v>2500</v>
      </c>
      <c r="AY142" s="143">
        <v>2500</v>
      </c>
      <c r="AZ142" s="143">
        <v>2500</v>
      </c>
      <c r="BA142" s="143">
        <v>800</v>
      </c>
      <c r="BB142" s="143">
        <v>850</v>
      </c>
      <c r="BC142" s="143">
        <v>2000</v>
      </c>
      <c r="BD142" s="143">
        <v>2000</v>
      </c>
      <c r="BE142" s="143">
        <v>0</v>
      </c>
      <c r="BF142" s="143">
        <v>1500</v>
      </c>
      <c r="BG142" s="143">
        <v>1500</v>
      </c>
      <c r="BH142" s="143">
        <v>0</v>
      </c>
      <c r="BI142" s="143">
        <v>2500</v>
      </c>
      <c r="BJ142" s="996">
        <v>1000</v>
      </c>
      <c r="BK142" s="143">
        <v>1000</v>
      </c>
      <c r="BL142" s="143">
        <v>2400</v>
      </c>
      <c r="BM142" s="143">
        <v>2400</v>
      </c>
      <c r="BN142" s="143">
        <v>5000</v>
      </c>
      <c r="BO142" s="143">
        <v>710.25</v>
      </c>
      <c r="BP142" s="143">
        <v>693.58</v>
      </c>
      <c r="BQ142" s="143">
        <v>794.34</v>
      </c>
      <c r="BR142" s="143">
        <v>1500</v>
      </c>
      <c r="BS142" s="143">
        <v>0</v>
      </c>
      <c r="BT142" s="143">
        <v>599.1</v>
      </c>
      <c r="BU142" s="143">
        <v>1301</v>
      </c>
      <c r="BV142" s="143">
        <v>2300</v>
      </c>
      <c r="BW142" s="143">
        <v>2500</v>
      </c>
      <c r="BX142" s="143">
        <v>2500</v>
      </c>
      <c r="BY142" s="143">
        <v>2500</v>
      </c>
      <c r="BZ142" s="996">
        <v>0</v>
      </c>
      <c r="CA142" s="143">
        <v>0</v>
      </c>
      <c r="CB142">
        <v>0</v>
      </c>
      <c r="CC142" s="143">
        <v>2050</v>
      </c>
      <c r="CD142" s="143">
        <v>2050</v>
      </c>
      <c r="CE142" s="143">
        <v>3300</v>
      </c>
      <c r="CF142" s="143">
        <v>5000</v>
      </c>
      <c r="CG142" s="143">
        <v>2300</v>
      </c>
      <c r="CH142" s="143">
        <v>3600</v>
      </c>
      <c r="CI142" s="143">
        <v>2300</v>
      </c>
      <c r="CJ142" s="143">
        <v>2300</v>
      </c>
      <c r="CK142" s="143">
        <v>2300</v>
      </c>
      <c r="CL142" s="143">
        <v>2300</v>
      </c>
      <c r="CM142" s="143">
        <v>3600</v>
      </c>
      <c r="CN142" s="143">
        <v>950</v>
      </c>
      <c r="CO142" s="143">
        <v>1250</v>
      </c>
      <c r="CP142" s="143">
        <v>2100</v>
      </c>
      <c r="CQ142" s="143">
        <v>600</v>
      </c>
      <c r="CR142" s="143">
        <v>0</v>
      </c>
      <c r="CS142" s="143">
        <v>627.44000000000005</v>
      </c>
      <c r="CT142" s="143">
        <v>0</v>
      </c>
      <c r="CU142" s="143">
        <v>600</v>
      </c>
      <c r="CV142" s="143">
        <v>0</v>
      </c>
      <c r="CW142" s="14">
        <v>660</v>
      </c>
      <c r="CX142" s="14">
        <v>0</v>
      </c>
      <c r="CY142" s="14">
        <v>1802</v>
      </c>
      <c r="CZ142" s="670">
        <v>2000</v>
      </c>
      <c r="DA142" s="670">
        <v>2000</v>
      </c>
      <c r="DB142" s="670">
        <v>1800</v>
      </c>
      <c r="DC142">
        <v>2000</v>
      </c>
      <c r="DD142">
        <v>1800</v>
      </c>
      <c r="DE142">
        <v>2000</v>
      </c>
      <c r="DF142">
        <v>3000</v>
      </c>
      <c r="DG142">
        <v>1800</v>
      </c>
      <c r="DH142">
        <v>0</v>
      </c>
      <c r="DI142">
        <v>0</v>
      </c>
      <c r="DJ142">
        <v>2600</v>
      </c>
      <c r="DK142">
        <v>3000</v>
      </c>
      <c r="DL142">
        <v>3000</v>
      </c>
      <c r="DM142">
        <v>850</v>
      </c>
      <c r="DN142">
        <v>1650</v>
      </c>
      <c r="DO142">
        <v>3000</v>
      </c>
      <c r="DP142">
        <v>7000</v>
      </c>
      <c r="DQ142">
        <v>22.75</v>
      </c>
    </row>
    <row r="143" spans="1:121" x14ac:dyDescent="0.2">
      <c r="A143" s="14">
        <v>23</v>
      </c>
      <c r="B143" s="684">
        <f t="shared" si="28"/>
        <v>6.3381060000448008E-4</v>
      </c>
      <c r="C143" s="684">
        <f t="shared" si="29"/>
        <v>6.3381060000447889E-4</v>
      </c>
      <c r="D143" s="684">
        <f t="shared" si="36"/>
        <v>1.5845265000111972E-4</v>
      </c>
      <c r="E143" s="684">
        <f t="shared" si="30"/>
        <v>19.595364536016518</v>
      </c>
      <c r="F143" s="684">
        <f t="shared" si="31"/>
        <v>14.018661595740326</v>
      </c>
      <c r="G143" s="684">
        <f t="shared" si="37"/>
        <v>1.2105782460085546</v>
      </c>
      <c r="H143" s="684">
        <f t="shared" si="38"/>
        <v>0.30264456150213864</v>
      </c>
      <c r="I143" s="1052">
        <f>HLOOKUP('Input &amp; Summary'!$B$6,TurbineProfiles,ROW(I143)-49,0)</f>
        <v>1910</v>
      </c>
      <c r="J143" s="684">
        <f t="shared" si="32"/>
        <v>2117.4921141893815</v>
      </c>
      <c r="K143" s="9">
        <f t="shared" si="33"/>
        <v>0.90201044301465383</v>
      </c>
      <c r="L143" s="14">
        <f t="shared" si="34"/>
        <v>24520.848180068737</v>
      </c>
      <c r="M143" s="684">
        <f t="shared" si="35"/>
        <v>9884.8574276806539</v>
      </c>
      <c r="N143" s="684">
        <f t="shared" si="39"/>
        <v>2117.4921141893815</v>
      </c>
      <c r="O143" s="684">
        <f t="shared" si="40"/>
        <v>0.99893514873109002</v>
      </c>
      <c r="P143" s="684">
        <f t="shared" si="41"/>
        <v>0.30264456150213864</v>
      </c>
      <c r="Q143" s="684">
        <f t="shared" si="45"/>
        <v>1.6984998082081315E-4</v>
      </c>
      <c r="R143" s="684">
        <f t="shared" si="46"/>
        <v>1.5856681579906606E-4</v>
      </c>
      <c r="S143" s="684">
        <f t="shared" si="42"/>
        <v>0.30286261817621618</v>
      </c>
      <c r="T143" s="684">
        <f t="shared" si="43"/>
        <v>0.32441346336775312</v>
      </c>
      <c r="U143" s="14">
        <f t="shared" si="44"/>
        <v>1910</v>
      </c>
      <c r="V143">
        <v>1500</v>
      </c>
      <c r="W143">
        <v>3500</v>
      </c>
      <c r="X143">
        <v>5000</v>
      </c>
      <c r="Y143">
        <v>1500</v>
      </c>
      <c r="Z143">
        <v>3500</v>
      </c>
      <c r="AA143">
        <v>5000</v>
      </c>
      <c r="AB143">
        <v>0</v>
      </c>
      <c r="AC143">
        <v>0</v>
      </c>
      <c r="AD143">
        <v>0</v>
      </c>
      <c r="AE143" s="143">
        <v>1500</v>
      </c>
      <c r="AF143" s="143">
        <v>0</v>
      </c>
      <c r="AG143" s="143">
        <v>750</v>
      </c>
      <c r="AH143" s="143">
        <v>900</v>
      </c>
      <c r="AI143" s="996">
        <v>900</v>
      </c>
      <c r="AJ143" s="143">
        <v>5000</v>
      </c>
      <c r="AK143" s="143">
        <v>1300</v>
      </c>
      <c r="AL143" s="143">
        <v>2500</v>
      </c>
      <c r="AM143" s="143">
        <v>2500</v>
      </c>
      <c r="AN143" s="143">
        <v>2500</v>
      </c>
      <c r="AO143" s="143">
        <v>2500</v>
      </c>
      <c r="AP143" s="143">
        <v>2000</v>
      </c>
      <c r="AQ143" s="143">
        <v>2000</v>
      </c>
      <c r="AR143" s="143">
        <v>2000</v>
      </c>
      <c r="AS143" s="143">
        <v>2000</v>
      </c>
      <c r="AT143" s="143">
        <v>550</v>
      </c>
      <c r="AU143" s="143">
        <v>750</v>
      </c>
      <c r="AV143" s="143">
        <v>1500</v>
      </c>
      <c r="AW143" s="143">
        <v>1500</v>
      </c>
      <c r="AX143" s="143">
        <v>2500</v>
      </c>
      <c r="AY143" s="143">
        <v>2500</v>
      </c>
      <c r="AZ143" s="143">
        <v>2500</v>
      </c>
      <c r="BA143" s="143">
        <v>800</v>
      </c>
      <c r="BB143" s="143">
        <v>850</v>
      </c>
      <c r="BC143" s="143">
        <v>2000</v>
      </c>
      <c r="BD143" s="143">
        <v>2000</v>
      </c>
      <c r="BE143" s="143">
        <v>0</v>
      </c>
      <c r="BF143" s="143">
        <v>1500</v>
      </c>
      <c r="BG143" s="143">
        <v>1500</v>
      </c>
      <c r="BH143" s="143">
        <v>0</v>
      </c>
      <c r="BI143" s="143">
        <v>2500</v>
      </c>
      <c r="BJ143" s="996">
        <v>1000</v>
      </c>
      <c r="BK143" s="143">
        <v>1000</v>
      </c>
      <c r="BL143" s="143">
        <v>2400</v>
      </c>
      <c r="BM143" s="143">
        <v>2400</v>
      </c>
      <c r="BN143" s="143">
        <v>5000</v>
      </c>
      <c r="BO143" s="143">
        <v>710.34</v>
      </c>
      <c r="BP143" s="143">
        <v>693.65</v>
      </c>
      <c r="BQ143" s="143">
        <v>792.38</v>
      </c>
      <c r="BR143" s="143">
        <v>1500</v>
      </c>
      <c r="BS143" s="143">
        <v>0</v>
      </c>
      <c r="BT143" s="143">
        <v>599.1</v>
      </c>
      <c r="BU143" s="143">
        <v>1299</v>
      </c>
      <c r="BV143" s="143">
        <v>2300</v>
      </c>
      <c r="BW143" s="143">
        <v>2500</v>
      </c>
      <c r="BX143" s="143">
        <v>2500</v>
      </c>
      <c r="BY143" s="143">
        <v>2500</v>
      </c>
      <c r="BZ143" s="996">
        <v>0</v>
      </c>
      <c r="CA143" s="143">
        <v>0</v>
      </c>
      <c r="CB143">
        <v>0</v>
      </c>
      <c r="CC143" s="143">
        <v>2050</v>
      </c>
      <c r="CD143" s="143">
        <v>2050</v>
      </c>
      <c r="CE143" s="143">
        <v>3300</v>
      </c>
      <c r="CF143" s="143">
        <v>5000</v>
      </c>
      <c r="CG143" s="143">
        <v>2300</v>
      </c>
      <c r="CH143" s="143">
        <v>3600</v>
      </c>
      <c r="CI143" s="143">
        <v>2300</v>
      </c>
      <c r="CJ143" s="143">
        <v>2300</v>
      </c>
      <c r="CK143" s="143">
        <v>2300</v>
      </c>
      <c r="CL143" s="143">
        <v>2300</v>
      </c>
      <c r="CM143" s="143">
        <v>3600</v>
      </c>
      <c r="CN143" s="143">
        <v>950</v>
      </c>
      <c r="CO143" s="143">
        <v>1250</v>
      </c>
      <c r="CP143" s="143">
        <v>2100</v>
      </c>
      <c r="CQ143" s="143">
        <v>600</v>
      </c>
      <c r="CR143" s="143">
        <v>0</v>
      </c>
      <c r="CS143" s="143">
        <v>627.44000000000005</v>
      </c>
      <c r="CT143" s="143">
        <v>0</v>
      </c>
      <c r="CU143" s="143">
        <v>600</v>
      </c>
      <c r="CV143" s="143">
        <v>0</v>
      </c>
      <c r="CW143" s="14">
        <v>660</v>
      </c>
      <c r="CX143" s="14">
        <v>0</v>
      </c>
      <c r="CY143" s="14">
        <v>1802</v>
      </c>
      <c r="CZ143" s="670">
        <v>2000</v>
      </c>
      <c r="DA143" s="670">
        <v>2000</v>
      </c>
      <c r="DB143" s="670">
        <v>1800</v>
      </c>
      <c r="DC143">
        <v>2000</v>
      </c>
      <c r="DD143">
        <v>1800</v>
      </c>
      <c r="DE143">
        <v>2000</v>
      </c>
      <c r="DF143">
        <v>3000</v>
      </c>
      <c r="DG143">
        <v>1800</v>
      </c>
      <c r="DH143">
        <v>0</v>
      </c>
      <c r="DI143">
        <v>0</v>
      </c>
      <c r="DJ143">
        <v>2600</v>
      </c>
      <c r="DK143">
        <v>3000</v>
      </c>
      <c r="DL143">
        <v>3000</v>
      </c>
      <c r="DM143">
        <v>850</v>
      </c>
      <c r="DN143">
        <v>1650</v>
      </c>
      <c r="DO143">
        <v>3000</v>
      </c>
      <c r="DP143">
        <v>7000</v>
      </c>
      <c r="DQ143">
        <v>23</v>
      </c>
    </row>
    <row r="144" spans="1:121" x14ac:dyDescent="0.2">
      <c r="A144" s="14">
        <v>23.25</v>
      </c>
      <c r="B144" s="684">
        <f t="shared" si="28"/>
        <v>5.5166984810934661E-4</v>
      </c>
      <c r="C144" s="684">
        <f t="shared" si="29"/>
        <v>5.5166984810934617E-4</v>
      </c>
      <c r="D144" s="684">
        <f t="shared" si="36"/>
        <v>1.3791746202733654E-4</v>
      </c>
      <c r="E144" s="684">
        <f t="shared" si="30"/>
        <v>17.618075247959013</v>
      </c>
      <c r="F144" s="684">
        <f t="shared" si="31"/>
        <v>12.604094933547708</v>
      </c>
      <c r="G144" s="684">
        <f t="shared" si="37"/>
        <v>1.0536894098888512</v>
      </c>
      <c r="H144" s="684">
        <f t="shared" si="38"/>
        <v>0.2634223524722128</v>
      </c>
      <c r="I144" s="1052">
        <f>HLOOKUP('Input &amp; Summary'!$B$6,TurbineProfiles,ROW(I144)-49,0)</f>
        <v>1910</v>
      </c>
      <c r="J144" s="684">
        <f t="shared" si="32"/>
        <v>2117.4921141893815</v>
      </c>
      <c r="K144" s="9">
        <f t="shared" si="33"/>
        <v>0.90201044301465383</v>
      </c>
      <c r="L144" s="14">
        <f t="shared" si="34"/>
        <v>25329.163772365249</v>
      </c>
      <c r="M144" s="684">
        <f t="shared" si="35"/>
        <v>10036.192877272086</v>
      </c>
      <c r="N144" s="684">
        <f t="shared" si="39"/>
        <v>2117.4921141893815</v>
      </c>
      <c r="O144" s="684">
        <f t="shared" si="40"/>
        <v>0.99908311771610236</v>
      </c>
      <c r="P144" s="684">
        <f t="shared" si="41"/>
        <v>0.2634223524722128</v>
      </c>
      <c r="Q144" s="684">
        <f t="shared" si="45"/>
        <v>1.4796898501234779E-4</v>
      </c>
      <c r="R144" s="684">
        <f t="shared" si="46"/>
        <v>1.3801961428550058E-4</v>
      </c>
      <c r="S144" s="684">
        <f t="shared" si="42"/>
        <v>0.26361746328530611</v>
      </c>
      <c r="T144" s="684">
        <f t="shared" si="43"/>
        <v>0.28262076137358427</v>
      </c>
      <c r="U144" s="14">
        <f t="shared" si="44"/>
        <v>1910</v>
      </c>
      <c r="V144">
        <v>1500</v>
      </c>
      <c r="W144">
        <v>3500</v>
      </c>
      <c r="X144">
        <v>5000</v>
      </c>
      <c r="Y144">
        <v>1500</v>
      </c>
      <c r="Z144">
        <v>3500</v>
      </c>
      <c r="AA144">
        <v>5000</v>
      </c>
      <c r="AB144">
        <v>0</v>
      </c>
      <c r="AC144">
        <v>0</v>
      </c>
      <c r="AD144">
        <v>0</v>
      </c>
      <c r="AE144" s="143">
        <v>1500</v>
      </c>
      <c r="AF144" s="143">
        <v>0</v>
      </c>
      <c r="AG144" s="143">
        <v>750</v>
      </c>
      <c r="AH144" s="143">
        <v>900</v>
      </c>
      <c r="AI144" s="996">
        <v>900</v>
      </c>
      <c r="AJ144" s="143">
        <v>5000</v>
      </c>
      <c r="AK144" s="143">
        <v>1300</v>
      </c>
      <c r="AL144" s="143">
        <v>2500</v>
      </c>
      <c r="AM144" s="143">
        <v>2500</v>
      </c>
      <c r="AN144" s="143">
        <v>2500</v>
      </c>
      <c r="AO144" s="143">
        <v>2500</v>
      </c>
      <c r="AP144" s="143">
        <v>2000</v>
      </c>
      <c r="AQ144" s="143">
        <v>2000</v>
      </c>
      <c r="AR144" s="143">
        <v>2000</v>
      </c>
      <c r="AS144" s="143">
        <v>2000</v>
      </c>
      <c r="AT144" s="143">
        <v>550</v>
      </c>
      <c r="AU144" s="143">
        <v>750</v>
      </c>
      <c r="AV144" s="143">
        <v>1500</v>
      </c>
      <c r="AW144" s="143">
        <v>1500</v>
      </c>
      <c r="AX144" s="143">
        <v>2500</v>
      </c>
      <c r="AY144" s="143">
        <v>2500</v>
      </c>
      <c r="AZ144" s="143">
        <v>2500</v>
      </c>
      <c r="BA144" s="143">
        <v>800</v>
      </c>
      <c r="BB144" s="143">
        <v>850</v>
      </c>
      <c r="BC144" s="143">
        <v>2000</v>
      </c>
      <c r="BD144" s="143">
        <v>2000</v>
      </c>
      <c r="BE144" s="143">
        <v>0</v>
      </c>
      <c r="BF144" s="143">
        <v>1500</v>
      </c>
      <c r="BG144" s="143">
        <v>1500</v>
      </c>
      <c r="BH144" s="143">
        <v>0</v>
      </c>
      <c r="BI144" s="143">
        <v>2500</v>
      </c>
      <c r="BJ144" s="996">
        <v>1000</v>
      </c>
      <c r="BK144" s="143">
        <v>1000</v>
      </c>
      <c r="BL144" s="143">
        <v>2400</v>
      </c>
      <c r="BM144" s="143">
        <v>2400</v>
      </c>
      <c r="BN144" s="143">
        <v>5000</v>
      </c>
      <c r="BO144" s="143">
        <v>710.43</v>
      </c>
      <c r="BP144" s="143">
        <v>693.72</v>
      </c>
      <c r="BQ144" s="143">
        <v>790.41</v>
      </c>
      <c r="BR144" s="143">
        <v>1500</v>
      </c>
      <c r="BS144" s="143">
        <v>0</v>
      </c>
      <c r="BT144" s="143">
        <v>599.1</v>
      </c>
      <c r="BU144" s="143">
        <v>1297.25</v>
      </c>
      <c r="BV144" s="143">
        <v>2300</v>
      </c>
      <c r="BW144" s="143">
        <v>2500</v>
      </c>
      <c r="BX144" s="143">
        <v>2500</v>
      </c>
      <c r="BY144" s="143">
        <v>2500</v>
      </c>
      <c r="BZ144" s="996">
        <v>0</v>
      </c>
      <c r="CA144" s="143">
        <v>0</v>
      </c>
      <c r="CB144">
        <v>0</v>
      </c>
      <c r="CC144" s="143">
        <v>2050</v>
      </c>
      <c r="CD144" s="143">
        <v>2050</v>
      </c>
      <c r="CE144" s="143">
        <v>3300</v>
      </c>
      <c r="CF144" s="143">
        <v>5000</v>
      </c>
      <c r="CG144" s="143">
        <v>2300</v>
      </c>
      <c r="CH144" s="143">
        <v>3600</v>
      </c>
      <c r="CI144" s="143">
        <v>2300</v>
      </c>
      <c r="CJ144" s="143">
        <v>2300</v>
      </c>
      <c r="CK144" s="143">
        <v>2300</v>
      </c>
      <c r="CL144" s="143">
        <v>2300</v>
      </c>
      <c r="CM144" s="143">
        <v>3600</v>
      </c>
      <c r="CN144" s="143">
        <v>950</v>
      </c>
      <c r="CO144" s="143">
        <v>1250</v>
      </c>
      <c r="CP144" s="143">
        <v>2100</v>
      </c>
      <c r="CQ144" s="143">
        <v>600</v>
      </c>
      <c r="CR144" s="143">
        <v>0</v>
      </c>
      <c r="CS144" s="143">
        <v>627.44000000000005</v>
      </c>
      <c r="CT144" s="143">
        <v>0</v>
      </c>
      <c r="CU144" s="143">
        <v>600</v>
      </c>
      <c r="CV144" s="143">
        <v>0</v>
      </c>
      <c r="CW144" s="14">
        <v>660</v>
      </c>
      <c r="CX144" s="14">
        <v>0</v>
      </c>
      <c r="CY144" s="14">
        <v>1801.5</v>
      </c>
      <c r="CZ144" s="670">
        <v>2000</v>
      </c>
      <c r="DA144" s="670">
        <v>2000</v>
      </c>
      <c r="DB144" s="670">
        <v>1800</v>
      </c>
      <c r="DC144">
        <v>2000</v>
      </c>
      <c r="DD144">
        <v>1800</v>
      </c>
      <c r="DE144">
        <v>2000</v>
      </c>
      <c r="DF144">
        <v>3000</v>
      </c>
      <c r="DG144">
        <v>1800</v>
      </c>
      <c r="DH144">
        <v>0</v>
      </c>
      <c r="DI144">
        <v>0</v>
      </c>
      <c r="DJ144">
        <v>0</v>
      </c>
      <c r="DK144">
        <v>3000</v>
      </c>
      <c r="DL144">
        <v>3000</v>
      </c>
      <c r="DM144">
        <v>850</v>
      </c>
      <c r="DN144">
        <v>1650</v>
      </c>
      <c r="DO144">
        <v>3000</v>
      </c>
      <c r="DP144">
        <v>7000</v>
      </c>
      <c r="DQ144">
        <v>23.25</v>
      </c>
    </row>
    <row r="145" spans="1:121" x14ac:dyDescent="0.2">
      <c r="A145" s="14">
        <v>23.5</v>
      </c>
      <c r="B145" s="684">
        <f t="shared" si="28"/>
        <v>4.7934295089234908E-4</v>
      </c>
      <c r="C145" s="684">
        <f t="shared" si="29"/>
        <v>4.7934295089234897E-4</v>
      </c>
      <c r="D145" s="684">
        <f t="shared" si="36"/>
        <v>1.1983573772308724E-4</v>
      </c>
      <c r="E145" s="684">
        <f t="shared" si="30"/>
        <v>15.807393804470204</v>
      </c>
      <c r="F145" s="684">
        <f t="shared" si="31"/>
        <v>11.308720695048528</v>
      </c>
      <c r="G145" s="684">
        <f t="shared" si="37"/>
        <v>0.91554503620438654</v>
      </c>
      <c r="H145" s="684">
        <f t="shared" si="38"/>
        <v>0.22888625905109664</v>
      </c>
      <c r="I145" s="1052">
        <f>HLOOKUP('Input &amp; Summary'!$B$6,TurbineProfiles,ROW(I145)-49,0)</f>
        <v>1910</v>
      </c>
      <c r="J145" s="684">
        <f t="shared" si="32"/>
        <v>2117.4921141893815</v>
      </c>
      <c r="K145" s="9">
        <f t="shared" si="33"/>
        <v>0.90201044301465383</v>
      </c>
      <c r="L145" s="14">
        <f t="shared" si="34"/>
        <v>26155.05075819097</v>
      </c>
      <c r="M145" s="684">
        <f t="shared" si="35"/>
        <v>10187.528326863518</v>
      </c>
      <c r="N145" s="684">
        <f t="shared" si="39"/>
        <v>2117.4921141893815</v>
      </c>
      <c r="O145" s="684">
        <f t="shared" si="40"/>
        <v>0.99921180119252928</v>
      </c>
      <c r="P145" s="684">
        <f t="shared" si="41"/>
        <v>0.22888625905109664</v>
      </c>
      <c r="Q145" s="684">
        <f t="shared" si="45"/>
        <v>1.2868347642691624E-4</v>
      </c>
      <c r="R145" s="684">
        <f t="shared" si="46"/>
        <v>1.199269408264092E-4</v>
      </c>
      <c r="S145" s="684">
        <f t="shared" si="42"/>
        <v>0.22906045697844157</v>
      </c>
      <c r="T145" s="684">
        <f t="shared" si="43"/>
        <v>0.24578543997541002</v>
      </c>
      <c r="U145" s="14">
        <f t="shared" si="44"/>
        <v>1910</v>
      </c>
      <c r="V145">
        <v>1500</v>
      </c>
      <c r="W145">
        <v>3500</v>
      </c>
      <c r="X145">
        <v>5000</v>
      </c>
      <c r="Y145">
        <v>1500</v>
      </c>
      <c r="Z145">
        <v>3500</v>
      </c>
      <c r="AA145">
        <v>5000</v>
      </c>
      <c r="AB145">
        <v>0</v>
      </c>
      <c r="AC145">
        <v>0</v>
      </c>
      <c r="AD145">
        <v>0</v>
      </c>
      <c r="AE145" s="143">
        <v>1500</v>
      </c>
      <c r="AF145" s="143">
        <v>0</v>
      </c>
      <c r="AG145" s="143">
        <v>750</v>
      </c>
      <c r="AH145" s="143">
        <v>900</v>
      </c>
      <c r="AI145" s="996">
        <v>900</v>
      </c>
      <c r="AJ145" s="143">
        <v>5000</v>
      </c>
      <c r="AK145" s="143">
        <v>1300</v>
      </c>
      <c r="AL145" s="143">
        <v>2500</v>
      </c>
      <c r="AM145" s="143">
        <v>2500</v>
      </c>
      <c r="AN145" s="143">
        <v>2500</v>
      </c>
      <c r="AO145" s="143">
        <v>2500</v>
      </c>
      <c r="AP145" s="143">
        <v>2000</v>
      </c>
      <c r="AQ145" s="143">
        <v>2000</v>
      </c>
      <c r="AR145" s="143">
        <v>2000</v>
      </c>
      <c r="AS145" s="143">
        <v>2000</v>
      </c>
      <c r="AT145" s="143">
        <v>550</v>
      </c>
      <c r="AU145" s="143">
        <v>750</v>
      </c>
      <c r="AV145" s="143">
        <v>1500</v>
      </c>
      <c r="AW145" s="143">
        <v>1500</v>
      </c>
      <c r="AX145" s="143">
        <v>2500</v>
      </c>
      <c r="AY145" s="143">
        <v>2500</v>
      </c>
      <c r="AZ145" s="143">
        <v>2500</v>
      </c>
      <c r="BA145" s="143">
        <v>800</v>
      </c>
      <c r="BB145" s="143">
        <v>850</v>
      </c>
      <c r="BC145" s="143">
        <v>2000</v>
      </c>
      <c r="BD145" s="143">
        <v>2000</v>
      </c>
      <c r="BE145" s="143">
        <v>0</v>
      </c>
      <c r="BF145" s="143">
        <v>1500</v>
      </c>
      <c r="BG145" s="143">
        <v>1500</v>
      </c>
      <c r="BH145" s="143">
        <v>0</v>
      </c>
      <c r="BI145" s="143">
        <v>2500</v>
      </c>
      <c r="BJ145" s="996">
        <v>1000</v>
      </c>
      <c r="BK145" s="143">
        <v>1000</v>
      </c>
      <c r="BL145" s="143">
        <v>2400</v>
      </c>
      <c r="BM145" s="143">
        <v>2400</v>
      </c>
      <c r="BN145" s="143">
        <v>5000</v>
      </c>
      <c r="BO145" s="143">
        <v>710.52</v>
      </c>
      <c r="BP145" s="143">
        <v>693.78</v>
      </c>
      <c r="BQ145" s="143">
        <v>788.45</v>
      </c>
      <c r="BR145" s="143">
        <v>1500</v>
      </c>
      <c r="BS145" s="143">
        <v>0</v>
      </c>
      <c r="BT145" s="143">
        <v>599.1</v>
      </c>
      <c r="BU145" s="143">
        <v>1295.5</v>
      </c>
      <c r="BV145" s="143">
        <v>2300</v>
      </c>
      <c r="BW145" s="143">
        <v>2500</v>
      </c>
      <c r="BX145" s="143">
        <v>2500</v>
      </c>
      <c r="BY145" s="143">
        <v>2500</v>
      </c>
      <c r="BZ145" s="996">
        <v>0</v>
      </c>
      <c r="CA145" s="143">
        <v>0</v>
      </c>
      <c r="CB145">
        <v>0</v>
      </c>
      <c r="CC145" s="143">
        <v>2050</v>
      </c>
      <c r="CD145" s="143">
        <v>2050</v>
      </c>
      <c r="CE145" s="143">
        <v>3300</v>
      </c>
      <c r="CF145" s="143">
        <v>5000</v>
      </c>
      <c r="CG145" s="143">
        <v>2300</v>
      </c>
      <c r="CH145" s="143">
        <v>3600</v>
      </c>
      <c r="CI145" s="143">
        <v>2300</v>
      </c>
      <c r="CJ145" s="143">
        <v>2300</v>
      </c>
      <c r="CK145" s="143">
        <v>2300</v>
      </c>
      <c r="CL145" s="143">
        <v>2300</v>
      </c>
      <c r="CM145" s="143">
        <v>3600</v>
      </c>
      <c r="CN145" s="143">
        <v>950</v>
      </c>
      <c r="CO145" s="143">
        <v>1250</v>
      </c>
      <c r="CP145" s="143">
        <v>2100</v>
      </c>
      <c r="CQ145" s="143">
        <v>600</v>
      </c>
      <c r="CR145" s="143">
        <v>0</v>
      </c>
      <c r="CS145" s="143">
        <v>627.44000000000005</v>
      </c>
      <c r="CT145" s="143">
        <v>0</v>
      </c>
      <c r="CU145" s="143">
        <v>600</v>
      </c>
      <c r="CV145" s="143">
        <v>0</v>
      </c>
      <c r="CW145" s="14">
        <v>660</v>
      </c>
      <c r="CX145" s="14">
        <v>0</v>
      </c>
      <c r="CY145" s="14">
        <v>1801</v>
      </c>
      <c r="CZ145" s="670">
        <v>2000</v>
      </c>
      <c r="DA145" s="670">
        <v>2000</v>
      </c>
      <c r="DB145" s="670">
        <v>1800</v>
      </c>
      <c r="DC145">
        <v>2000</v>
      </c>
      <c r="DD145">
        <v>1800</v>
      </c>
      <c r="DE145">
        <v>2000</v>
      </c>
      <c r="DF145">
        <v>3000</v>
      </c>
      <c r="DG145">
        <v>1800</v>
      </c>
      <c r="DH145">
        <v>0</v>
      </c>
      <c r="DI145">
        <v>0</v>
      </c>
      <c r="DJ145">
        <v>0</v>
      </c>
      <c r="DK145">
        <v>3000</v>
      </c>
      <c r="DL145">
        <v>3000</v>
      </c>
      <c r="DM145">
        <v>850</v>
      </c>
      <c r="DN145">
        <v>1650</v>
      </c>
      <c r="DO145">
        <v>3000</v>
      </c>
      <c r="DP145">
        <v>7000</v>
      </c>
      <c r="DQ145">
        <v>23.5</v>
      </c>
    </row>
    <row r="146" spans="1:121" x14ac:dyDescent="0.2">
      <c r="A146" s="14">
        <v>23.75</v>
      </c>
      <c r="B146" s="684">
        <f t="shared" si="28"/>
        <v>4.1577833186470683E-4</v>
      </c>
      <c r="C146" s="684">
        <f t="shared" si="29"/>
        <v>4.1577833186470683E-4</v>
      </c>
      <c r="D146" s="684">
        <f t="shared" si="36"/>
        <v>1.0394458296617671E-4</v>
      </c>
      <c r="E146" s="684">
        <f t="shared" si="30"/>
        <v>14.153473474020572</v>
      </c>
      <c r="F146" s="684">
        <f t="shared" si="31"/>
        <v>10.125494459258286</v>
      </c>
      <c r="G146" s="684">
        <f t="shared" si="37"/>
        <v>0.79413661386159007</v>
      </c>
      <c r="H146" s="684">
        <f t="shared" si="38"/>
        <v>0.19853415346539752</v>
      </c>
      <c r="I146" s="1052">
        <f>HLOOKUP('Input &amp; Summary'!$B$6,TurbineProfiles,ROW(I146)-49,0)</f>
        <v>1910</v>
      </c>
      <c r="J146" s="684">
        <f t="shared" si="32"/>
        <v>2117.4921141893815</v>
      </c>
      <c r="K146" s="9">
        <f t="shared" si="33"/>
        <v>0.90201044301465383</v>
      </c>
      <c r="L146" s="14">
        <f t="shared" si="34"/>
        <v>26998.698077261281</v>
      </c>
      <c r="M146" s="684">
        <f t="shared" si="35"/>
        <v>10338.863776454951</v>
      </c>
      <c r="N146" s="684">
        <f t="shared" si="39"/>
        <v>2117.4921141893815</v>
      </c>
      <c r="O146" s="684">
        <f t="shared" si="40"/>
        <v>0.99932351911550332</v>
      </c>
      <c r="P146" s="684">
        <f t="shared" si="41"/>
        <v>0.19853415346539752</v>
      </c>
      <c r="Q146" s="684">
        <f t="shared" si="45"/>
        <v>1.1171792297404171E-4</v>
      </c>
      <c r="R146" s="684">
        <f t="shared" si="46"/>
        <v>1.0402583404389709E-4</v>
      </c>
      <c r="S146" s="684">
        <f t="shared" si="42"/>
        <v>0.19868934302384345</v>
      </c>
      <c r="T146" s="684">
        <f t="shared" si="43"/>
        <v>0.21338123288041966</v>
      </c>
      <c r="U146" s="14">
        <f t="shared" si="44"/>
        <v>1910</v>
      </c>
      <c r="V146">
        <v>1500</v>
      </c>
      <c r="W146">
        <v>3500</v>
      </c>
      <c r="X146">
        <v>5000</v>
      </c>
      <c r="Y146">
        <v>1500</v>
      </c>
      <c r="Z146">
        <v>3500</v>
      </c>
      <c r="AA146">
        <v>5000</v>
      </c>
      <c r="AB146">
        <v>0</v>
      </c>
      <c r="AC146">
        <v>0</v>
      </c>
      <c r="AD146">
        <v>0</v>
      </c>
      <c r="AE146" s="143">
        <v>1500</v>
      </c>
      <c r="AF146" s="143">
        <v>0</v>
      </c>
      <c r="AG146" s="143">
        <v>750</v>
      </c>
      <c r="AH146" s="143">
        <v>900</v>
      </c>
      <c r="AI146" s="996">
        <v>900</v>
      </c>
      <c r="AJ146" s="143">
        <v>5000</v>
      </c>
      <c r="AK146" s="143">
        <v>1300</v>
      </c>
      <c r="AL146" s="143">
        <v>2500</v>
      </c>
      <c r="AM146" s="143">
        <v>2500</v>
      </c>
      <c r="AN146" s="143">
        <v>2500</v>
      </c>
      <c r="AO146" s="143">
        <v>2500</v>
      </c>
      <c r="AP146" s="143">
        <v>2000</v>
      </c>
      <c r="AQ146" s="143">
        <v>2000</v>
      </c>
      <c r="AR146" s="143">
        <v>2000</v>
      </c>
      <c r="AS146" s="143">
        <v>2000</v>
      </c>
      <c r="AT146" s="143">
        <v>550</v>
      </c>
      <c r="AU146" s="143">
        <v>750</v>
      </c>
      <c r="AV146" s="143">
        <v>1500</v>
      </c>
      <c r="AW146" s="143">
        <v>1500</v>
      </c>
      <c r="AX146" s="143">
        <v>2500</v>
      </c>
      <c r="AY146" s="143">
        <v>2500</v>
      </c>
      <c r="AZ146" s="143">
        <v>2500</v>
      </c>
      <c r="BA146" s="143">
        <v>800</v>
      </c>
      <c r="BB146" s="143">
        <v>850</v>
      </c>
      <c r="BC146" s="143">
        <v>2000</v>
      </c>
      <c r="BD146" s="143">
        <v>2000</v>
      </c>
      <c r="BE146" s="143">
        <v>0</v>
      </c>
      <c r="BF146" s="143">
        <v>1500</v>
      </c>
      <c r="BG146" s="143">
        <v>1500</v>
      </c>
      <c r="BH146" s="143">
        <v>0</v>
      </c>
      <c r="BI146" s="143">
        <v>2500</v>
      </c>
      <c r="BJ146" s="996">
        <v>1000</v>
      </c>
      <c r="BK146" s="143">
        <v>1000</v>
      </c>
      <c r="BL146" s="143">
        <v>2400</v>
      </c>
      <c r="BM146" s="143">
        <v>2400</v>
      </c>
      <c r="BN146" s="143">
        <v>5000</v>
      </c>
      <c r="BO146" s="143">
        <v>710.6</v>
      </c>
      <c r="BP146" s="143">
        <v>696.71</v>
      </c>
      <c r="BQ146" s="143">
        <v>786.48</v>
      </c>
      <c r="BR146" s="143">
        <v>1500</v>
      </c>
      <c r="BS146" s="143">
        <v>0</v>
      </c>
      <c r="BT146" s="143">
        <v>599.1</v>
      </c>
      <c r="BU146" s="143">
        <v>1293.75</v>
      </c>
      <c r="BV146" s="143">
        <v>2300</v>
      </c>
      <c r="BW146" s="143">
        <v>2500</v>
      </c>
      <c r="BX146" s="143">
        <v>2500</v>
      </c>
      <c r="BY146" s="143">
        <v>2500</v>
      </c>
      <c r="BZ146" s="996">
        <v>0</v>
      </c>
      <c r="CA146" s="143">
        <v>0</v>
      </c>
      <c r="CB146">
        <v>0</v>
      </c>
      <c r="CC146" s="143">
        <v>2050</v>
      </c>
      <c r="CD146" s="143">
        <v>2050</v>
      </c>
      <c r="CE146" s="143">
        <v>3300</v>
      </c>
      <c r="CF146" s="143">
        <v>5000</v>
      </c>
      <c r="CG146" s="143">
        <v>2300</v>
      </c>
      <c r="CH146" s="143">
        <v>3600</v>
      </c>
      <c r="CI146" s="143">
        <v>2300</v>
      </c>
      <c r="CJ146" s="143">
        <v>2300</v>
      </c>
      <c r="CK146" s="143">
        <v>2300</v>
      </c>
      <c r="CL146" s="143">
        <v>2300</v>
      </c>
      <c r="CM146" s="143">
        <v>3600</v>
      </c>
      <c r="CN146" s="143">
        <v>950</v>
      </c>
      <c r="CO146" s="143">
        <v>1250</v>
      </c>
      <c r="CP146" s="143">
        <v>2100</v>
      </c>
      <c r="CQ146" s="143">
        <v>600</v>
      </c>
      <c r="CR146" s="143">
        <v>0</v>
      </c>
      <c r="CS146" s="143">
        <v>627.44000000000005</v>
      </c>
      <c r="CT146" s="143">
        <v>0</v>
      </c>
      <c r="CU146" s="143">
        <v>600</v>
      </c>
      <c r="CV146" s="143">
        <v>0</v>
      </c>
      <c r="CW146" s="14">
        <v>660</v>
      </c>
      <c r="CX146" s="14">
        <v>0</v>
      </c>
      <c r="CY146" s="14">
        <v>1800.5</v>
      </c>
      <c r="CZ146" s="670">
        <v>2000</v>
      </c>
      <c r="DA146" s="670">
        <v>2000</v>
      </c>
      <c r="DB146" s="670">
        <v>1800</v>
      </c>
      <c r="DC146">
        <v>2000</v>
      </c>
      <c r="DD146">
        <v>1800</v>
      </c>
      <c r="DE146">
        <v>2000</v>
      </c>
      <c r="DF146">
        <v>3000</v>
      </c>
      <c r="DG146">
        <v>1800</v>
      </c>
      <c r="DH146">
        <v>0</v>
      </c>
      <c r="DI146">
        <v>0</v>
      </c>
      <c r="DJ146">
        <v>0</v>
      </c>
      <c r="DK146">
        <v>3000</v>
      </c>
      <c r="DL146">
        <v>3000</v>
      </c>
      <c r="DM146">
        <v>850</v>
      </c>
      <c r="DN146">
        <v>1650</v>
      </c>
      <c r="DO146">
        <v>3000</v>
      </c>
      <c r="DP146">
        <v>7000</v>
      </c>
      <c r="DQ146">
        <v>23.75</v>
      </c>
    </row>
    <row r="147" spans="1:121" x14ac:dyDescent="0.2">
      <c r="A147" s="14">
        <v>24</v>
      </c>
      <c r="B147" s="684">
        <f t="shared" ref="B147:B178" si="47">((PI()*$A147)/(2*$B$16*$B$16))*EXP(((-PI()*$A147*$A147)/(4*$B$16*$B$16)))</f>
        <v>3.6002014250226651E-4</v>
      </c>
      <c r="C147" s="684">
        <f t="shared" ref="C147:C178" si="48">WEIBULL(A147,$B$2,$B$16/EXP(GAMMALN(1+1/$B$2)),FALSE)</f>
        <v>3.6002014250226624E-4</v>
      </c>
      <c r="D147" s="684">
        <f t="shared" si="36"/>
        <v>9.000503562556656E-5</v>
      </c>
      <c r="E147" s="684">
        <f t="shared" ref="E147:E178" si="49">((0.5*$B$15*0.25*PI()*$B$4^2*A147^3)*C147/(1000))*16/27</f>
        <v>12.64651506003905</v>
      </c>
      <c r="F147" s="684">
        <f t="shared" ref="F147:F178" si="50">((0.5*$B$15*0.25*PI()*$B$4^2*A147^3)*C147/(1000))*$B$7*K147</f>
        <v>9.0474058120360574</v>
      </c>
      <c r="G147" s="684">
        <f t="shared" si="37"/>
        <v>0.6876384721793285</v>
      </c>
      <c r="H147" s="684">
        <f t="shared" si="38"/>
        <v>0.17190961804483212</v>
      </c>
      <c r="I147" s="1052">
        <f>HLOOKUP('Input &amp; Summary'!$B$6,TurbineProfiles,ROW(I147)-49,0)</f>
        <v>1910</v>
      </c>
      <c r="J147" s="684">
        <f t="shared" ref="J147:J178" si="51">IF(AND(A147 &gt; $B$11,A147&lt;$B$12),IF(A147&gt;$B$18,N147,IF(A147&gt;=$O$25,M147,L147)),0)</f>
        <v>2117.4921141893815</v>
      </c>
      <c r="K147" s="9">
        <f t="shared" ref="K147:K178" si="52">IF(ISERROR(((J147/$B$17)-($B$19+$B$20*(J147/$B$17)+$B$21*(J147/$B$17)^2))/(J147/$B$17)),0,((J147/$B$17)-($B$19+$B$20*(J147/$B$17)+$B$21*(J147/$B$17)^2))/(J147/$B$17))</f>
        <v>0.90201044301465383</v>
      </c>
      <c r="L147" s="14">
        <f t="shared" ref="L147:L178" si="53">$I$28*(A147*$B$8/($B$4/2))^3/1000</f>
        <v>27860.294669291536</v>
      </c>
      <c r="M147" s="684">
        <f t="shared" ref="M147:M178" si="54">IF(A147&gt;=$O$25,($B$17-$O$26)/($B$18-$O$25)*(A147-$O$25)+$O$26,0)</f>
        <v>10490.199226046383</v>
      </c>
      <c r="N147" s="684">
        <f t="shared" si="39"/>
        <v>2117.4921141893815</v>
      </c>
      <c r="O147" s="684">
        <f t="shared" si="40"/>
        <v>0.99942034064617769</v>
      </c>
      <c r="P147" s="684">
        <f t="shared" si="41"/>
        <v>0.17190961804483212</v>
      </c>
      <c r="Q147" s="684">
        <f t="shared" si="45"/>
        <v>9.6821530674362499E-5</v>
      </c>
      <c r="R147" s="684">
        <f t="shared" si="46"/>
        <v>9.0077265068377876E-5</v>
      </c>
      <c r="S147" s="684">
        <f t="shared" si="42"/>
        <v>0.17204757628060174</v>
      </c>
      <c r="T147" s="684">
        <f t="shared" si="43"/>
        <v>0.18492912358803237</v>
      </c>
      <c r="U147" s="14">
        <f t="shared" si="44"/>
        <v>1910</v>
      </c>
      <c r="V147">
        <v>1500</v>
      </c>
      <c r="W147">
        <v>3500</v>
      </c>
      <c r="X147">
        <v>5000</v>
      </c>
      <c r="Y147">
        <v>1500</v>
      </c>
      <c r="Z147">
        <v>3500</v>
      </c>
      <c r="AA147">
        <v>5000</v>
      </c>
      <c r="AB147">
        <v>0</v>
      </c>
      <c r="AC147">
        <v>0</v>
      </c>
      <c r="AD147">
        <v>0</v>
      </c>
      <c r="AE147" s="143">
        <v>1500</v>
      </c>
      <c r="AF147" s="143">
        <v>0</v>
      </c>
      <c r="AG147" s="143">
        <v>750</v>
      </c>
      <c r="AH147" s="143">
        <v>900</v>
      </c>
      <c r="AI147" s="996">
        <v>900</v>
      </c>
      <c r="AJ147" s="143">
        <v>5000</v>
      </c>
      <c r="AK147" s="143">
        <v>1300</v>
      </c>
      <c r="AL147" s="143">
        <v>2500</v>
      </c>
      <c r="AM147" s="143">
        <v>2500</v>
      </c>
      <c r="AN147" s="143">
        <v>2500</v>
      </c>
      <c r="AO147" s="143">
        <v>2500</v>
      </c>
      <c r="AP147" s="143">
        <v>2000</v>
      </c>
      <c r="AQ147" s="143">
        <v>2000</v>
      </c>
      <c r="AR147" s="143">
        <v>2000</v>
      </c>
      <c r="AS147" s="143">
        <v>2000</v>
      </c>
      <c r="AT147" s="143">
        <v>550</v>
      </c>
      <c r="AU147" s="143">
        <v>750</v>
      </c>
      <c r="AV147" s="143">
        <v>1500</v>
      </c>
      <c r="AW147" s="143">
        <v>1500</v>
      </c>
      <c r="AX147" s="143">
        <v>2500</v>
      </c>
      <c r="AY147" s="143">
        <v>2500</v>
      </c>
      <c r="AZ147" s="143">
        <v>2500</v>
      </c>
      <c r="BA147" s="143">
        <v>800</v>
      </c>
      <c r="BB147" s="143">
        <v>850</v>
      </c>
      <c r="BC147" s="143">
        <v>2000</v>
      </c>
      <c r="BD147" s="143">
        <v>2000</v>
      </c>
      <c r="BE147" s="143">
        <v>0</v>
      </c>
      <c r="BF147" s="143">
        <v>1500</v>
      </c>
      <c r="BG147" s="143">
        <v>1500</v>
      </c>
      <c r="BH147" s="143">
        <v>0</v>
      </c>
      <c r="BI147" s="143">
        <v>2500</v>
      </c>
      <c r="BJ147" s="996">
        <v>1000</v>
      </c>
      <c r="BK147" s="143">
        <v>1000</v>
      </c>
      <c r="BL147" s="143">
        <v>2400</v>
      </c>
      <c r="BM147" s="143">
        <v>2400</v>
      </c>
      <c r="BN147" s="143">
        <v>5000</v>
      </c>
      <c r="BO147" s="143">
        <v>710.68</v>
      </c>
      <c r="BP147" s="143">
        <v>696.77</v>
      </c>
      <c r="BQ147" s="143">
        <v>784.51</v>
      </c>
      <c r="BR147" s="143">
        <v>1500</v>
      </c>
      <c r="BS147" s="143">
        <v>0</v>
      </c>
      <c r="BT147" s="143">
        <v>599.1</v>
      </c>
      <c r="BU147" s="143">
        <v>1292</v>
      </c>
      <c r="BV147" s="143">
        <v>2300</v>
      </c>
      <c r="BW147" s="143">
        <v>2500</v>
      </c>
      <c r="BX147" s="143">
        <v>2500</v>
      </c>
      <c r="BY147" s="143">
        <v>2500</v>
      </c>
      <c r="BZ147" s="996">
        <v>0</v>
      </c>
      <c r="CA147" s="143">
        <v>0</v>
      </c>
      <c r="CB147">
        <v>0</v>
      </c>
      <c r="CC147" s="143">
        <v>2050</v>
      </c>
      <c r="CD147" s="143">
        <v>2050</v>
      </c>
      <c r="CE147" s="143">
        <v>3300</v>
      </c>
      <c r="CF147" s="143">
        <v>5000</v>
      </c>
      <c r="CG147" s="143">
        <v>2300</v>
      </c>
      <c r="CH147" s="143">
        <v>3600</v>
      </c>
      <c r="CI147" s="143">
        <v>2300</v>
      </c>
      <c r="CJ147" s="143">
        <v>2300</v>
      </c>
      <c r="CK147" s="143">
        <v>2300</v>
      </c>
      <c r="CL147" s="143">
        <v>2300</v>
      </c>
      <c r="CM147" s="143">
        <v>3600</v>
      </c>
      <c r="CN147" s="143">
        <v>950</v>
      </c>
      <c r="CO147" s="143">
        <v>1250</v>
      </c>
      <c r="CP147" s="143">
        <v>2100</v>
      </c>
      <c r="CQ147" s="143">
        <v>600</v>
      </c>
      <c r="CR147" s="143">
        <v>0</v>
      </c>
      <c r="CS147" s="143">
        <v>627.44000000000005</v>
      </c>
      <c r="CT147" s="143">
        <v>0</v>
      </c>
      <c r="CU147" s="143">
        <v>600</v>
      </c>
      <c r="CV147" s="143">
        <v>0</v>
      </c>
      <c r="CW147" s="14">
        <v>660</v>
      </c>
      <c r="CX147" s="14">
        <v>0</v>
      </c>
      <c r="CY147" s="14">
        <v>1800</v>
      </c>
      <c r="CZ147" s="670">
        <v>2000</v>
      </c>
      <c r="DA147" s="670">
        <v>2000</v>
      </c>
      <c r="DB147" s="670">
        <v>1800</v>
      </c>
      <c r="DC147">
        <v>2000</v>
      </c>
      <c r="DD147">
        <v>1800</v>
      </c>
      <c r="DE147">
        <v>2000</v>
      </c>
      <c r="DF147">
        <v>3000</v>
      </c>
      <c r="DG147">
        <v>1800</v>
      </c>
      <c r="DH147">
        <v>0</v>
      </c>
      <c r="DI147">
        <v>0</v>
      </c>
      <c r="DJ147">
        <v>0</v>
      </c>
      <c r="DK147">
        <v>3000</v>
      </c>
      <c r="DL147">
        <v>3000</v>
      </c>
      <c r="DM147">
        <v>850</v>
      </c>
      <c r="DN147">
        <v>1650</v>
      </c>
      <c r="DO147">
        <v>3000</v>
      </c>
      <c r="DP147">
        <v>7000</v>
      </c>
      <c r="DQ147">
        <v>24</v>
      </c>
    </row>
    <row r="148" spans="1:121" x14ac:dyDescent="0.2">
      <c r="A148" s="14">
        <v>24.25</v>
      </c>
      <c r="B148" s="684">
        <f t="shared" si="47"/>
        <v>3.1120185960671772E-4</v>
      </c>
      <c r="C148" s="684">
        <f t="shared" si="48"/>
        <v>3.1120185960671767E-4</v>
      </c>
      <c r="D148" s="684">
        <f t="shared" si="36"/>
        <v>7.7800464901679417E-5</v>
      </c>
      <c r="E148" s="684">
        <f t="shared" si="49"/>
        <v>11.276848690256621</v>
      </c>
      <c r="F148" s="684">
        <f t="shared" si="50"/>
        <v>8.0675368587560854</v>
      </c>
      <c r="G148" s="684">
        <f t="shared" si="37"/>
        <v>0.59439555184883075</v>
      </c>
      <c r="H148" s="684">
        <f t="shared" si="38"/>
        <v>0.14859888796220769</v>
      </c>
      <c r="I148" s="1052">
        <f>HLOOKUP('Input &amp; Summary'!$B$6,TurbineProfiles,ROW(I148)-49,0)</f>
        <v>1910</v>
      </c>
      <c r="J148" s="684">
        <f t="shared" si="51"/>
        <v>2117.4921141893815</v>
      </c>
      <c r="K148" s="9">
        <f t="shared" si="52"/>
        <v>0.90201044301465383</v>
      </c>
      <c r="L148" s="14">
        <f t="shared" si="53"/>
        <v>28740.029473997125</v>
      </c>
      <c r="M148" s="684">
        <f t="shared" si="54"/>
        <v>10641.534675637815</v>
      </c>
      <c r="N148" s="684">
        <f t="shared" si="39"/>
        <v>2117.4921141893815</v>
      </c>
      <c r="O148" s="684">
        <f t="shared" si="40"/>
        <v>0.99950410728170269</v>
      </c>
      <c r="P148" s="684">
        <f t="shared" si="41"/>
        <v>0.14859888796220769</v>
      </c>
      <c r="Q148" s="684">
        <f t="shared" si="45"/>
        <v>8.3766635525006627E-5</v>
      </c>
      <c r="R148" s="684">
        <f t="shared" si="46"/>
        <v>7.7864537505467624E-5</v>
      </c>
      <c r="S148" s="684">
        <f t="shared" si="42"/>
        <v>0.14872126663544316</v>
      </c>
      <c r="T148" s="684">
        <f t="shared" si="43"/>
        <v>0.15999427385276266</v>
      </c>
      <c r="U148" s="14">
        <f t="shared" si="44"/>
        <v>1910</v>
      </c>
      <c r="V148">
        <v>1500</v>
      </c>
      <c r="W148">
        <v>3500</v>
      </c>
      <c r="X148">
        <v>5000</v>
      </c>
      <c r="Y148">
        <v>1500</v>
      </c>
      <c r="Z148">
        <v>3500</v>
      </c>
      <c r="AA148">
        <v>5000</v>
      </c>
      <c r="AB148">
        <v>0</v>
      </c>
      <c r="AC148">
        <v>0</v>
      </c>
      <c r="AD148">
        <v>0</v>
      </c>
      <c r="AE148" s="143">
        <v>1500</v>
      </c>
      <c r="AF148" s="143">
        <v>0</v>
      </c>
      <c r="AG148" s="143">
        <v>750</v>
      </c>
      <c r="AH148" s="143">
        <v>900</v>
      </c>
      <c r="AI148" s="996">
        <v>900</v>
      </c>
      <c r="AJ148" s="143">
        <v>5000</v>
      </c>
      <c r="AK148" s="143">
        <v>1300</v>
      </c>
      <c r="AL148" s="143">
        <v>2500</v>
      </c>
      <c r="AM148" s="143">
        <v>2500</v>
      </c>
      <c r="AN148" s="143">
        <v>2500</v>
      </c>
      <c r="AO148" s="143">
        <v>2500</v>
      </c>
      <c r="AP148" s="143">
        <v>2000</v>
      </c>
      <c r="AQ148" s="143">
        <v>2000</v>
      </c>
      <c r="AR148" s="143">
        <v>2000</v>
      </c>
      <c r="AS148" s="143">
        <v>2000</v>
      </c>
      <c r="AT148" s="143">
        <v>550</v>
      </c>
      <c r="AU148" s="143">
        <v>750</v>
      </c>
      <c r="AV148" s="143">
        <v>1500</v>
      </c>
      <c r="AW148" s="143">
        <v>1500</v>
      </c>
      <c r="AX148" s="143">
        <v>2500</v>
      </c>
      <c r="AY148" s="143">
        <v>2500</v>
      </c>
      <c r="AZ148" s="143">
        <v>2500</v>
      </c>
      <c r="BA148" s="143">
        <v>800</v>
      </c>
      <c r="BB148" s="143">
        <v>850</v>
      </c>
      <c r="BC148" s="143">
        <v>2000</v>
      </c>
      <c r="BD148" s="143">
        <v>2000</v>
      </c>
      <c r="BE148" s="143">
        <v>0</v>
      </c>
      <c r="BF148" s="143">
        <v>1500</v>
      </c>
      <c r="BG148" s="143">
        <v>1500</v>
      </c>
      <c r="BH148" s="143">
        <v>0</v>
      </c>
      <c r="BI148" s="143">
        <v>2500</v>
      </c>
      <c r="BJ148" s="996">
        <v>1000</v>
      </c>
      <c r="BK148" s="143">
        <v>1000</v>
      </c>
      <c r="BL148" s="143">
        <v>2400</v>
      </c>
      <c r="BM148" s="143">
        <v>2400</v>
      </c>
      <c r="BN148" s="143">
        <v>5000</v>
      </c>
      <c r="BO148" s="143">
        <v>710.77</v>
      </c>
      <c r="BP148" s="143">
        <v>699.71</v>
      </c>
      <c r="BQ148" s="143">
        <v>784.55</v>
      </c>
      <c r="BR148" s="143">
        <v>1500</v>
      </c>
      <c r="BS148" s="143">
        <v>0</v>
      </c>
      <c r="BT148" s="143">
        <v>599.1</v>
      </c>
      <c r="BU148" s="143">
        <v>1292</v>
      </c>
      <c r="BV148" s="143">
        <v>2300</v>
      </c>
      <c r="BW148" s="143">
        <v>2500</v>
      </c>
      <c r="BX148" s="143">
        <v>2500</v>
      </c>
      <c r="BY148" s="143">
        <v>2500</v>
      </c>
      <c r="BZ148" s="996">
        <v>0</v>
      </c>
      <c r="CA148" s="143">
        <v>0</v>
      </c>
      <c r="CB148">
        <v>0</v>
      </c>
      <c r="CC148" s="143">
        <v>2050</v>
      </c>
      <c r="CD148" s="143">
        <v>0</v>
      </c>
      <c r="CE148" s="143">
        <v>3300</v>
      </c>
      <c r="CF148" s="143">
        <v>5000</v>
      </c>
      <c r="CG148" s="143">
        <v>2300</v>
      </c>
      <c r="CH148" s="143">
        <v>3600</v>
      </c>
      <c r="CI148" s="143">
        <v>2300</v>
      </c>
      <c r="CJ148" s="143">
        <v>2300</v>
      </c>
      <c r="CK148" s="143">
        <v>2300</v>
      </c>
      <c r="CL148" s="143">
        <v>2300</v>
      </c>
      <c r="CM148" s="143">
        <v>3600</v>
      </c>
      <c r="CN148" s="143">
        <v>950</v>
      </c>
      <c r="CO148" s="143">
        <v>1250</v>
      </c>
      <c r="CP148" s="143">
        <v>2100</v>
      </c>
      <c r="CQ148" s="143">
        <v>600</v>
      </c>
      <c r="CR148" s="143">
        <v>0</v>
      </c>
      <c r="CS148" s="143">
        <v>627.44000000000005</v>
      </c>
      <c r="CT148" s="143">
        <v>0</v>
      </c>
      <c r="CU148" s="143">
        <v>600</v>
      </c>
      <c r="CV148" s="143">
        <v>0</v>
      </c>
      <c r="CW148" s="14">
        <v>660</v>
      </c>
      <c r="CX148" s="14">
        <v>0</v>
      </c>
      <c r="CY148" s="14">
        <v>1800</v>
      </c>
      <c r="CZ148" s="670">
        <v>2000</v>
      </c>
      <c r="DA148" s="670">
        <v>2000</v>
      </c>
      <c r="DB148" s="670">
        <v>1800</v>
      </c>
      <c r="DC148">
        <v>2000</v>
      </c>
      <c r="DD148">
        <v>1800</v>
      </c>
      <c r="DE148">
        <v>2000</v>
      </c>
      <c r="DF148">
        <v>3000</v>
      </c>
      <c r="DG148">
        <v>1800</v>
      </c>
      <c r="DH148">
        <v>0</v>
      </c>
      <c r="DI148">
        <v>0</v>
      </c>
      <c r="DJ148">
        <v>0</v>
      </c>
      <c r="DK148">
        <v>3000</v>
      </c>
      <c r="DL148">
        <v>3000</v>
      </c>
      <c r="DM148">
        <v>850</v>
      </c>
      <c r="DN148">
        <v>1650</v>
      </c>
      <c r="DO148">
        <v>3000</v>
      </c>
      <c r="DP148">
        <v>7000</v>
      </c>
      <c r="DQ148">
        <v>24.25</v>
      </c>
    </row>
    <row r="149" spans="1:121" x14ac:dyDescent="0.2">
      <c r="A149" s="14">
        <v>24.5</v>
      </c>
      <c r="B149" s="684">
        <f t="shared" si="47"/>
        <v>2.68539991752101E-4</v>
      </c>
      <c r="C149" s="684">
        <f t="shared" si="48"/>
        <v>2.6853999175210133E-4</v>
      </c>
      <c r="D149" s="684">
        <f t="shared" si="36"/>
        <v>6.7134997938025331E-5</v>
      </c>
      <c r="E149" s="684">
        <f t="shared" si="49"/>
        <v>10.035004354236529</v>
      </c>
      <c r="F149" s="684">
        <f t="shared" si="50"/>
        <v>7.1791126873529674</v>
      </c>
      <c r="G149" s="684">
        <f t="shared" si="37"/>
        <v>0.5129113842465135</v>
      </c>
      <c r="H149" s="684">
        <f t="shared" si="38"/>
        <v>0.12822784606162838</v>
      </c>
      <c r="I149" s="1052">
        <f>HLOOKUP('Input &amp; Summary'!$B$6,TurbineProfiles,ROW(I149)-49,0)</f>
        <v>1910</v>
      </c>
      <c r="J149" s="684">
        <f t="shared" si="51"/>
        <v>2117.4921141893815</v>
      </c>
      <c r="K149" s="9">
        <f t="shared" si="52"/>
        <v>0.90201044301465383</v>
      </c>
      <c r="L149" s="14">
        <f t="shared" si="53"/>
        <v>29638.091431093402</v>
      </c>
      <c r="M149" s="684">
        <f t="shared" si="54"/>
        <v>10792.870125229249</v>
      </c>
      <c r="N149" s="684">
        <f t="shared" si="39"/>
        <v>2117.4921141893815</v>
      </c>
      <c r="O149" s="684">
        <f t="shared" si="40"/>
        <v>0.99957645439703002</v>
      </c>
      <c r="P149" s="684">
        <f t="shared" si="41"/>
        <v>0.12822784606162838</v>
      </c>
      <c r="Q149" s="684">
        <f t="shared" si="45"/>
        <v>7.2347115327331402E-5</v>
      </c>
      <c r="R149" s="684">
        <f t="shared" si="46"/>
        <v>6.7191714570702388E-5</v>
      </c>
      <c r="S149" s="684">
        <f t="shared" si="42"/>
        <v>0.12833617483004156</v>
      </c>
      <c r="T149" s="684">
        <f t="shared" si="43"/>
        <v>0.13818299027520298</v>
      </c>
      <c r="U149" s="14">
        <f t="shared" si="44"/>
        <v>1910</v>
      </c>
      <c r="V149">
        <v>1500</v>
      </c>
      <c r="W149">
        <v>3500</v>
      </c>
      <c r="X149">
        <v>5000</v>
      </c>
      <c r="Y149">
        <v>1500</v>
      </c>
      <c r="Z149">
        <v>3500</v>
      </c>
      <c r="AA149">
        <v>5000</v>
      </c>
      <c r="AB149">
        <v>0</v>
      </c>
      <c r="AC149">
        <v>0</v>
      </c>
      <c r="AD149">
        <v>0</v>
      </c>
      <c r="AE149" s="143">
        <v>1500</v>
      </c>
      <c r="AF149" s="143">
        <v>0</v>
      </c>
      <c r="AG149" s="143">
        <v>750</v>
      </c>
      <c r="AH149" s="143">
        <v>900</v>
      </c>
      <c r="AI149" s="996">
        <v>900</v>
      </c>
      <c r="AJ149" s="143">
        <v>5000</v>
      </c>
      <c r="AK149" s="143">
        <v>1300</v>
      </c>
      <c r="AL149" s="143">
        <v>2500</v>
      </c>
      <c r="AM149" s="143">
        <v>2500</v>
      </c>
      <c r="AN149" s="143">
        <v>2500</v>
      </c>
      <c r="AO149" s="143">
        <v>2500</v>
      </c>
      <c r="AP149" s="143">
        <v>2000</v>
      </c>
      <c r="AQ149" s="143">
        <v>2000</v>
      </c>
      <c r="AR149" s="143">
        <v>2000</v>
      </c>
      <c r="AS149" s="143">
        <v>2000</v>
      </c>
      <c r="AT149" s="143">
        <v>550</v>
      </c>
      <c r="AU149" s="143">
        <v>750</v>
      </c>
      <c r="AV149" s="143">
        <v>1500</v>
      </c>
      <c r="AW149" s="143">
        <v>1500</v>
      </c>
      <c r="AX149" s="143">
        <v>2500</v>
      </c>
      <c r="AY149" s="143">
        <v>2500</v>
      </c>
      <c r="AZ149" s="143">
        <v>2500</v>
      </c>
      <c r="BA149" s="143">
        <v>800</v>
      </c>
      <c r="BB149" s="143">
        <v>850</v>
      </c>
      <c r="BC149" s="143">
        <v>2000</v>
      </c>
      <c r="BD149" s="143">
        <v>2000</v>
      </c>
      <c r="BE149" s="143">
        <v>0</v>
      </c>
      <c r="BF149" s="143">
        <v>1500</v>
      </c>
      <c r="BG149" s="143">
        <v>1500</v>
      </c>
      <c r="BH149" s="143">
        <v>0</v>
      </c>
      <c r="BI149" s="143">
        <v>2500</v>
      </c>
      <c r="BJ149" s="996">
        <v>1000</v>
      </c>
      <c r="BK149" s="143">
        <v>1000</v>
      </c>
      <c r="BL149" s="143">
        <v>2400</v>
      </c>
      <c r="BM149" s="143">
        <v>2400</v>
      </c>
      <c r="BN149" s="143">
        <v>5000</v>
      </c>
      <c r="BO149" s="143">
        <v>710.85</v>
      </c>
      <c r="BP149" s="143">
        <v>699.76</v>
      </c>
      <c r="BQ149" s="143">
        <v>782.58</v>
      </c>
      <c r="BR149" s="143">
        <v>1500</v>
      </c>
      <c r="BS149" s="143">
        <v>0</v>
      </c>
      <c r="BT149" s="143">
        <v>599.1</v>
      </c>
      <c r="BU149" s="143">
        <v>1292</v>
      </c>
      <c r="BV149" s="143">
        <v>2300</v>
      </c>
      <c r="BW149" s="143">
        <v>2500</v>
      </c>
      <c r="BX149" s="143">
        <v>2500</v>
      </c>
      <c r="BY149" s="143">
        <v>2500</v>
      </c>
      <c r="BZ149" s="996">
        <v>0</v>
      </c>
      <c r="CA149" s="143">
        <v>0</v>
      </c>
      <c r="CB149">
        <v>0</v>
      </c>
      <c r="CC149" s="143">
        <v>2050</v>
      </c>
      <c r="CD149" s="143">
        <v>0</v>
      </c>
      <c r="CE149" s="143">
        <v>3300</v>
      </c>
      <c r="CF149" s="143">
        <v>5000</v>
      </c>
      <c r="CG149" s="143">
        <v>2300</v>
      </c>
      <c r="CH149" s="143">
        <v>3600</v>
      </c>
      <c r="CI149" s="143">
        <v>2300</v>
      </c>
      <c r="CJ149" s="143">
        <v>2300</v>
      </c>
      <c r="CK149" s="143">
        <v>2300</v>
      </c>
      <c r="CL149" s="143">
        <v>2300</v>
      </c>
      <c r="CM149" s="143">
        <v>3600</v>
      </c>
      <c r="CN149" s="143">
        <v>950</v>
      </c>
      <c r="CO149" s="143">
        <v>1250</v>
      </c>
      <c r="CP149" s="143">
        <v>2100</v>
      </c>
      <c r="CQ149" s="143">
        <v>600</v>
      </c>
      <c r="CR149" s="143">
        <v>0</v>
      </c>
      <c r="CS149" s="143">
        <v>627.44000000000005</v>
      </c>
      <c r="CT149" s="143">
        <v>0</v>
      </c>
      <c r="CU149" s="143">
        <v>600</v>
      </c>
      <c r="CV149" s="143">
        <v>0</v>
      </c>
      <c r="CW149" s="14">
        <v>660</v>
      </c>
      <c r="CX149" s="14">
        <v>0</v>
      </c>
      <c r="CY149" s="14">
        <v>1800</v>
      </c>
      <c r="CZ149" s="670">
        <v>2000</v>
      </c>
      <c r="DA149" s="670">
        <v>2000</v>
      </c>
      <c r="DB149" s="670">
        <v>1800</v>
      </c>
      <c r="DC149">
        <v>2000</v>
      </c>
      <c r="DD149">
        <v>1800</v>
      </c>
      <c r="DE149">
        <v>2000</v>
      </c>
      <c r="DF149">
        <v>3000</v>
      </c>
      <c r="DG149">
        <v>1800</v>
      </c>
      <c r="DH149">
        <v>0</v>
      </c>
      <c r="DI149">
        <v>0</v>
      </c>
      <c r="DJ149">
        <v>0</v>
      </c>
      <c r="DK149">
        <v>3000</v>
      </c>
      <c r="DL149">
        <v>3000</v>
      </c>
      <c r="DM149">
        <v>850</v>
      </c>
      <c r="DN149">
        <v>1650</v>
      </c>
      <c r="DO149">
        <v>3000</v>
      </c>
      <c r="DP149">
        <v>7000</v>
      </c>
      <c r="DQ149">
        <v>24.5</v>
      </c>
    </row>
    <row r="150" spans="1:121" x14ac:dyDescent="0.2">
      <c r="A150" s="14">
        <v>24.75</v>
      </c>
      <c r="B150" s="684">
        <f t="shared" si="47"/>
        <v>2.3132794511984629E-4</v>
      </c>
      <c r="C150" s="684">
        <f t="shared" si="48"/>
        <v>2.3132794511984629E-4</v>
      </c>
      <c r="D150" s="684">
        <f t="shared" si="36"/>
        <v>5.7831986279961573E-5</v>
      </c>
      <c r="E150" s="684">
        <f t="shared" si="49"/>
        <v>8.9117716686435209</v>
      </c>
      <c r="F150" s="684">
        <f t="shared" si="50"/>
        <v>6.3755441248155762</v>
      </c>
      <c r="G150" s="684">
        <f t="shared" si="37"/>
        <v>0.44183637517890639</v>
      </c>
      <c r="H150" s="684">
        <f t="shared" si="38"/>
        <v>0.1104590937947266</v>
      </c>
      <c r="I150" s="1052">
        <f>HLOOKUP('Input &amp; Summary'!$B$6,TurbineProfiles,ROW(I150)-49,0)</f>
        <v>1910</v>
      </c>
      <c r="J150" s="684">
        <f t="shared" si="51"/>
        <v>2117.4921141893815</v>
      </c>
      <c r="K150" s="9">
        <f t="shared" si="52"/>
        <v>0.90201044301465383</v>
      </c>
      <c r="L150" s="14">
        <f t="shared" si="53"/>
        <v>30554.669480295724</v>
      </c>
      <c r="M150" s="684">
        <f t="shared" si="54"/>
        <v>10944.20557482068</v>
      </c>
      <c r="N150" s="684">
        <f t="shared" si="39"/>
        <v>2117.4921141893815</v>
      </c>
      <c r="O150" s="684">
        <f t="shared" si="40"/>
        <v>0.99963883123230257</v>
      </c>
      <c r="P150" s="684">
        <f t="shared" si="41"/>
        <v>0.1104590937947266</v>
      </c>
      <c r="Q150" s="684">
        <f t="shared" si="45"/>
        <v>6.2376835272548448E-5</v>
      </c>
      <c r="R150" s="684">
        <f t="shared" si="46"/>
        <v>5.788208597712341E-5</v>
      </c>
      <c r="S150" s="684">
        <f t="shared" si="42"/>
        <v>0.11055478421630571</v>
      </c>
      <c r="T150" s="684">
        <f t="shared" si="43"/>
        <v>0.11913975537056753</v>
      </c>
      <c r="U150" s="14">
        <f t="shared" si="44"/>
        <v>1910</v>
      </c>
      <c r="V150">
        <v>1500</v>
      </c>
      <c r="W150">
        <v>3500</v>
      </c>
      <c r="X150">
        <v>5000</v>
      </c>
      <c r="Y150">
        <v>1500</v>
      </c>
      <c r="Z150">
        <v>3500</v>
      </c>
      <c r="AA150">
        <v>5000</v>
      </c>
      <c r="AB150">
        <v>0</v>
      </c>
      <c r="AC150">
        <v>0</v>
      </c>
      <c r="AD150">
        <v>0</v>
      </c>
      <c r="AE150" s="143">
        <v>1500</v>
      </c>
      <c r="AF150" s="143">
        <v>0</v>
      </c>
      <c r="AG150" s="143">
        <v>750</v>
      </c>
      <c r="AH150" s="143">
        <v>900</v>
      </c>
      <c r="AI150" s="996">
        <v>900</v>
      </c>
      <c r="AJ150" s="143">
        <v>5000</v>
      </c>
      <c r="AK150" s="143">
        <v>1300</v>
      </c>
      <c r="AL150" s="143">
        <v>2500</v>
      </c>
      <c r="AM150" s="143">
        <v>2500</v>
      </c>
      <c r="AN150" s="143">
        <v>2500</v>
      </c>
      <c r="AO150" s="143">
        <v>2500</v>
      </c>
      <c r="AP150" s="143">
        <v>2000</v>
      </c>
      <c r="AQ150" s="143">
        <v>2000</v>
      </c>
      <c r="AR150" s="143">
        <v>2000</v>
      </c>
      <c r="AS150" s="143">
        <v>2000</v>
      </c>
      <c r="AT150" s="143">
        <v>550</v>
      </c>
      <c r="AU150" s="143">
        <v>750</v>
      </c>
      <c r="AV150" s="143">
        <v>1500</v>
      </c>
      <c r="AW150" s="143">
        <v>1500</v>
      </c>
      <c r="AX150" s="143">
        <v>2500</v>
      </c>
      <c r="AY150" s="143">
        <v>2500</v>
      </c>
      <c r="AZ150" s="143">
        <v>2500</v>
      </c>
      <c r="BA150" s="143">
        <v>800</v>
      </c>
      <c r="BB150" s="143">
        <v>850</v>
      </c>
      <c r="BC150" s="143">
        <v>2000</v>
      </c>
      <c r="BD150" s="143">
        <v>2000</v>
      </c>
      <c r="BE150" s="143">
        <v>0</v>
      </c>
      <c r="BF150" s="143">
        <v>1500</v>
      </c>
      <c r="BG150" s="143">
        <v>1500</v>
      </c>
      <c r="BH150" s="143">
        <v>0</v>
      </c>
      <c r="BI150" s="143">
        <v>2500</v>
      </c>
      <c r="BJ150" s="996">
        <v>1000</v>
      </c>
      <c r="BK150" s="143">
        <v>1000</v>
      </c>
      <c r="BL150" s="143">
        <v>2400</v>
      </c>
      <c r="BM150" s="143">
        <v>2400</v>
      </c>
      <c r="BN150" s="143">
        <v>5000</v>
      </c>
      <c r="BO150" s="143">
        <v>710.95</v>
      </c>
      <c r="BP150" s="143">
        <v>696.95</v>
      </c>
      <c r="BQ150" s="143">
        <v>782.63</v>
      </c>
      <c r="BR150" s="143">
        <v>1500</v>
      </c>
      <c r="BS150" s="143">
        <v>0</v>
      </c>
      <c r="BT150" s="143">
        <v>599.1</v>
      </c>
      <c r="BU150" s="143">
        <v>1292</v>
      </c>
      <c r="BV150" s="143">
        <v>2300</v>
      </c>
      <c r="BW150" s="143">
        <v>2500</v>
      </c>
      <c r="BX150" s="143">
        <v>2500</v>
      </c>
      <c r="BY150" s="143">
        <v>2500</v>
      </c>
      <c r="BZ150" s="996">
        <v>0</v>
      </c>
      <c r="CA150" s="143">
        <v>0</v>
      </c>
      <c r="CB150">
        <v>0</v>
      </c>
      <c r="CC150" s="143">
        <v>2050</v>
      </c>
      <c r="CD150" s="143">
        <v>0</v>
      </c>
      <c r="CE150" s="143">
        <v>3300</v>
      </c>
      <c r="CF150" s="143">
        <v>5000</v>
      </c>
      <c r="CG150" s="143">
        <v>2300</v>
      </c>
      <c r="CH150" s="143">
        <v>3600</v>
      </c>
      <c r="CI150" s="143">
        <v>2300</v>
      </c>
      <c r="CJ150" s="143">
        <v>2300</v>
      </c>
      <c r="CK150" s="143">
        <v>2300</v>
      </c>
      <c r="CL150" s="143">
        <v>2300</v>
      </c>
      <c r="CM150" s="143">
        <v>3600</v>
      </c>
      <c r="CN150" s="143">
        <v>950</v>
      </c>
      <c r="CO150" s="143">
        <v>1250</v>
      </c>
      <c r="CP150" s="143">
        <v>2100</v>
      </c>
      <c r="CQ150" s="143">
        <v>600</v>
      </c>
      <c r="CR150" s="143">
        <v>0</v>
      </c>
      <c r="CS150" s="143">
        <v>627.44000000000005</v>
      </c>
      <c r="CT150" s="143">
        <v>0</v>
      </c>
      <c r="CU150" s="143">
        <v>600</v>
      </c>
      <c r="CV150" s="143">
        <v>0</v>
      </c>
      <c r="CW150" s="14">
        <v>660</v>
      </c>
      <c r="CX150" s="14">
        <v>0</v>
      </c>
      <c r="CY150" s="14">
        <v>1800</v>
      </c>
      <c r="CZ150" s="670">
        <v>2000</v>
      </c>
      <c r="DA150" s="670">
        <v>2000</v>
      </c>
      <c r="DB150" s="670">
        <v>1800</v>
      </c>
      <c r="DC150">
        <v>2000</v>
      </c>
      <c r="DD150">
        <v>1800</v>
      </c>
      <c r="DE150">
        <v>2000</v>
      </c>
      <c r="DF150">
        <v>3000</v>
      </c>
      <c r="DG150">
        <v>1800</v>
      </c>
      <c r="DH150">
        <v>0</v>
      </c>
      <c r="DI150">
        <v>0</v>
      </c>
      <c r="DJ150">
        <v>0</v>
      </c>
      <c r="DK150">
        <v>3000</v>
      </c>
      <c r="DL150">
        <v>3000</v>
      </c>
      <c r="DM150">
        <v>850</v>
      </c>
      <c r="DN150">
        <v>1650</v>
      </c>
      <c r="DO150">
        <v>3000</v>
      </c>
      <c r="DP150">
        <v>7000</v>
      </c>
      <c r="DQ150">
        <v>24.75</v>
      </c>
    </row>
    <row r="151" spans="1:121" x14ac:dyDescent="0.2">
      <c r="A151" s="14">
        <v>25</v>
      </c>
      <c r="B151" s="684">
        <f t="shared" si="47"/>
        <v>1.9893008989109963E-4</v>
      </c>
      <c r="C151" s="684">
        <f t="shared" si="48"/>
        <v>1.9893008989109958E-4</v>
      </c>
      <c r="D151" s="684">
        <f t="shared" si="36"/>
        <v>4.9732522472774894E-5</v>
      </c>
      <c r="E151" s="684">
        <f t="shared" si="49"/>
        <v>7.8982494483085821</v>
      </c>
      <c r="F151" s="684">
        <f t="shared" si="50"/>
        <v>0</v>
      </c>
      <c r="G151" s="684">
        <f t="shared" si="37"/>
        <v>0</v>
      </c>
      <c r="H151" s="684">
        <f t="shared" si="38"/>
        <v>0</v>
      </c>
      <c r="I151" s="1052">
        <f>HLOOKUP('Input &amp; Summary'!$B$6,TurbineProfiles,ROW(I151)-49,0)</f>
        <v>0</v>
      </c>
      <c r="J151" s="684">
        <f t="shared" si="51"/>
        <v>0</v>
      </c>
      <c r="K151" s="9">
        <f t="shared" si="52"/>
        <v>0</v>
      </c>
      <c r="L151" s="14">
        <f t="shared" si="53"/>
        <v>31489.952561319464</v>
      </c>
      <c r="M151" s="684">
        <f t="shared" si="54"/>
        <v>11095.541024412112</v>
      </c>
      <c r="N151" s="684">
        <f t="shared" si="39"/>
        <v>2117.4921141893815</v>
      </c>
      <c r="O151" s="684">
        <f t="shared" si="40"/>
        <v>0.99969251937100456</v>
      </c>
      <c r="P151" s="684">
        <f t="shared" si="41"/>
        <v>0</v>
      </c>
      <c r="Q151" s="684">
        <f t="shared" si="45"/>
        <v>5.3688138701990518E-5</v>
      </c>
      <c r="R151" s="684">
        <f t="shared" si="46"/>
        <v>4.9776684873381605E-5</v>
      </c>
      <c r="S151" s="684">
        <f t="shared" si="42"/>
        <v>0</v>
      </c>
      <c r="T151" s="684">
        <f t="shared" si="43"/>
        <v>0</v>
      </c>
      <c r="U151" s="14">
        <f t="shared" si="44"/>
        <v>0</v>
      </c>
      <c r="V151">
        <v>1500</v>
      </c>
      <c r="W151">
        <v>3500</v>
      </c>
      <c r="X151">
        <v>5000</v>
      </c>
      <c r="Y151">
        <v>1500</v>
      </c>
      <c r="Z151">
        <v>3500</v>
      </c>
      <c r="AA151">
        <v>5000</v>
      </c>
      <c r="AB151">
        <v>0</v>
      </c>
      <c r="AC151">
        <v>0</v>
      </c>
      <c r="AD151">
        <v>0</v>
      </c>
      <c r="AE151" s="143">
        <v>1500</v>
      </c>
      <c r="AF151" s="143">
        <v>0</v>
      </c>
      <c r="AG151" s="143">
        <v>750</v>
      </c>
      <c r="AH151" s="143">
        <v>900</v>
      </c>
      <c r="AI151" s="996">
        <v>900</v>
      </c>
      <c r="AJ151" s="143">
        <v>5000</v>
      </c>
      <c r="AK151" s="143">
        <v>1300</v>
      </c>
      <c r="AL151" s="143">
        <v>2500</v>
      </c>
      <c r="AM151" s="143">
        <v>2500</v>
      </c>
      <c r="AN151" s="143">
        <v>2500</v>
      </c>
      <c r="AO151" s="143">
        <v>2500</v>
      </c>
      <c r="AP151" s="143">
        <v>2000</v>
      </c>
      <c r="AQ151" s="143">
        <v>2000</v>
      </c>
      <c r="AR151" s="143">
        <v>2000</v>
      </c>
      <c r="AS151" s="143">
        <v>2000</v>
      </c>
      <c r="AT151" s="143">
        <v>550</v>
      </c>
      <c r="AU151" s="143">
        <v>750</v>
      </c>
      <c r="AV151" s="143">
        <v>1500</v>
      </c>
      <c r="AW151" s="143">
        <v>1500</v>
      </c>
      <c r="AX151" s="143">
        <v>2500</v>
      </c>
      <c r="AY151" s="143">
        <v>2500</v>
      </c>
      <c r="AZ151" s="143">
        <v>2500</v>
      </c>
      <c r="BA151" s="143">
        <v>800</v>
      </c>
      <c r="BB151" s="143">
        <v>850</v>
      </c>
      <c r="BC151" s="143">
        <v>2000</v>
      </c>
      <c r="BD151" s="143">
        <v>2000</v>
      </c>
      <c r="BE151" s="143">
        <v>0</v>
      </c>
      <c r="BF151" s="143">
        <v>1500</v>
      </c>
      <c r="BG151" s="143">
        <v>1500</v>
      </c>
      <c r="BH151" s="143">
        <v>0</v>
      </c>
      <c r="BI151" s="143">
        <v>2500</v>
      </c>
      <c r="BJ151" s="996">
        <v>1000</v>
      </c>
      <c r="BK151" s="143">
        <v>1000</v>
      </c>
      <c r="BL151" s="143">
        <v>2400</v>
      </c>
      <c r="BM151" s="143">
        <v>2400</v>
      </c>
      <c r="BN151" s="143">
        <v>5000</v>
      </c>
      <c r="BO151" s="143">
        <v>711.03</v>
      </c>
      <c r="BP151" s="143">
        <v>696.95</v>
      </c>
      <c r="BQ151" s="143">
        <v>780.65</v>
      </c>
      <c r="BR151" s="143">
        <v>1500</v>
      </c>
      <c r="BS151" s="143">
        <v>0</v>
      </c>
      <c r="BT151" s="143">
        <v>599.1</v>
      </c>
      <c r="BU151" s="143">
        <v>1292</v>
      </c>
      <c r="BV151" s="143">
        <v>2300</v>
      </c>
      <c r="BW151" s="143">
        <v>2500</v>
      </c>
      <c r="BX151" s="143">
        <v>2500</v>
      </c>
      <c r="BY151" s="143">
        <v>2500</v>
      </c>
      <c r="BZ151" s="996">
        <v>0</v>
      </c>
      <c r="CA151" s="143">
        <v>0</v>
      </c>
      <c r="CB151">
        <v>0</v>
      </c>
      <c r="CC151" s="143">
        <v>2050</v>
      </c>
      <c r="CD151" s="143">
        <v>0</v>
      </c>
      <c r="CE151" s="143">
        <v>3300</v>
      </c>
      <c r="CF151" s="143">
        <v>5000</v>
      </c>
      <c r="CG151" s="143">
        <v>2300</v>
      </c>
      <c r="CH151" s="143">
        <v>3600</v>
      </c>
      <c r="CI151" s="143">
        <v>2300</v>
      </c>
      <c r="CJ151" s="143">
        <v>2300</v>
      </c>
      <c r="CK151" s="143">
        <v>2300</v>
      </c>
      <c r="CL151" s="143">
        <v>2300</v>
      </c>
      <c r="CM151" s="143">
        <v>3600</v>
      </c>
      <c r="CN151" s="143">
        <v>950</v>
      </c>
      <c r="CO151" s="143">
        <v>1250</v>
      </c>
      <c r="CP151" s="143">
        <v>2100</v>
      </c>
      <c r="CQ151" s="143">
        <v>600</v>
      </c>
      <c r="CR151" s="143">
        <v>0</v>
      </c>
      <c r="CS151" s="143">
        <v>627.44000000000005</v>
      </c>
      <c r="CT151" s="143">
        <v>0</v>
      </c>
      <c r="CU151" s="143">
        <v>600</v>
      </c>
      <c r="CV151" s="143">
        <v>0</v>
      </c>
      <c r="CW151" s="14">
        <v>660</v>
      </c>
      <c r="CX151" s="14">
        <v>0</v>
      </c>
      <c r="CY151" s="14">
        <v>1800</v>
      </c>
      <c r="CZ151" s="670">
        <v>2000</v>
      </c>
      <c r="DA151" s="670">
        <v>2000</v>
      </c>
      <c r="DB151" s="670">
        <v>1800</v>
      </c>
      <c r="DC151">
        <v>2000</v>
      </c>
      <c r="DD151">
        <v>1800</v>
      </c>
      <c r="DE151">
        <v>2000</v>
      </c>
      <c r="DF151">
        <v>3000</v>
      </c>
      <c r="DG151">
        <v>1800</v>
      </c>
      <c r="DH151">
        <v>0</v>
      </c>
      <c r="DI151">
        <v>0</v>
      </c>
      <c r="DJ151">
        <v>0</v>
      </c>
      <c r="DK151">
        <v>3000</v>
      </c>
      <c r="DL151">
        <v>3000</v>
      </c>
      <c r="DM151">
        <v>850</v>
      </c>
      <c r="DN151">
        <v>1650</v>
      </c>
      <c r="DO151">
        <v>3000</v>
      </c>
      <c r="DP151">
        <v>7000</v>
      </c>
      <c r="DQ151">
        <v>25</v>
      </c>
    </row>
    <row r="152" spans="1:121" x14ac:dyDescent="0.2">
      <c r="A152" s="14">
        <v>25.25</v>
      </c>
      <c r="B152" s="684">
        <f t="shared" si="47"/>
        <v>1.7077605999577287E-4</v>
      </c>
      <c r="C152" s="684">
        <f t="shared" si="48"/>
        <v>1.7077605999577284E-4</v>
      </c>
      <c r="D152" s="684">
        <f t="shared" si="36"/>
        <v>4.269401499894321E-5</v>
      </c>
      <c r="E152" s="684">
        <f t="shared" si="49"/>
        <v>6.9858857373687684</v>
      </c>
      <c r="F152" s="684">
        <f t="shared" si="50"/>
        <v>0</v>
      </c>
      <c r="G152" s="684">
        <f t="shared" si="37"/>
        <v>0</v>
      </c>
      <c r="H152" s="684">
        <f t="shared" si="38"/>
        <v>0</v>
      </c>
      <c r="I152" s="1052">
        <f>HLOOKUP('Input &amp; Summary'!$B$6,TurbineProfiles,ROW(I152)-49,0)</f>
        <v>0</v>
      </c>
      <c r="J152" s="684">
        <f t="shared" si="51"/>
        <v>0</v>
      </c>
      <c r="K152" s="9">
        <f t="shared" si="52"/>
        <v>0</v>
      </c>
      <c r="L152" s="14">
        <f t="shared" si="53"/>
        <v>32444.12961388001</v>
      </c>
      <c r="M152" s="684">
        <f t="shared" si="54"/>
        <v>11246.876474003544</v>
      </c>
      <c r="N152" s="684">
        <f t="shared" si="39"/>
        <v>2117.4921141893815</v>
      </c>
      <c r="O152" s="684">
        <f t="shared" si="40"/>
        <v>0.99973864976327875</v>
      </c>
      <c r="P152" s="684">
        <f t="shared" si="41"/>
        <v>0</v>
      </c>
      <c r="Q152" s="684">
        <f t="shared" si="45"/>
        <v>4.613039227419069E-5</v>
      </c>
      <c r="R152" s="684">
        <f t="shared" si="46"/>
        <v>4.2732863044903091E-5</v>
      </c>
      <c r="S152" s="684">
        <f t="shared" si="42"/>
        <v>0</v>
      </c>
      <c r="T152" s="684">
        <f t="shared" si="43"/>
        <v>0</v>
      </c>
      <c r="U152" s="14">
        <f t="shared" si="44"/>
        <v>0</v>
      </c>
      <c r="V152">
        <v>0</v>
      </c>
      <c r="W152">
        <v>0</v>
      </c>
      <c r="X152">
        <v>0</v>
      </c>
      <c r="Y152">
        <v>0</v>
      </c>
      <c r="Z152">
        <v>0</v>
      </c>
      <c r="AA152">
        <v>0</v>
      </c>
      <c r="AB152">
        <v>0</v>
      </c>
      <c r="AC152">
        <v>0</v>
      </c>
      <c r="AD152">
        <v>0</v>
      </c>
      <c r="AE152" s="143">
        <v>0</v>
      </c>
      <c r="AF152" s="143">
        <v>0</v>
      </c>
      <c r="AG152" s="143">
        <v>0</v>
      </c>
      <c r="AH152" s="143">
        <v>0</v>
      </c>
      <c r="AI152" s="995">
        <v>0</v>
      </c>
      <c r="AJ152" s="143">
        <v>0</v>
      </c>
      <c r="AK152" s="143">
        <v>0</v>
      </c>
      <c r="AL152" s="143">
        <v>0</v>
      </c>
      <c r="AM152" s="143">
        <v>0</v>
      </c>
      <c r="AN152" s="143">
        <v>0</v>
      </c>
      <c r="AO152" s="143">
        <v>0</v>
      </c>
      <c r="AP152" s="143">
        <v>0</v>
      </c>
      <c r="AQ152" s="143">
        <v>0</v>
      </c>
      <c r="AR152" s="143">
        <v>0</v>
      </c>
      <c r="AS152" s="143">
        <v>0</v>
      </c>
      <c r="AT152" s="143">
        <v>0</v>
      </c>
      <c r="AU152" s="143">
        <v>0</v>
      </c>
      <c r="AV152" s="143">
        <v>0</v>
      </c>
      <c r="AW152" s="143">
        <v>0</v>
      </c>
      <c r="AX152" s="143">
        <v>0</v>
      </c>
      <c r="AY152" s="143">
        <v>0</v>
      </c>
      <c r="AZ152" s="143">
        <v>0</v>
      </c>
      <c r="BA152" s="143">
        <v>0</v>
      </c>
      <c r="BB152" s="143">
        <v>0</v>
      </c>
      <c r="BC152" s="143">
        <v>0</v>
      </c>
      <c r="BD152" s="143">
        <v>0</v>
      </c>
      <c r="BE152" s="143">
        <v>0</v>
      </c>
      <c r="BF152" s="143">
        <v>0</v>
      </c>
      <c r="BG152" s="143">
        <v>0</v>
      </c>
      <c r="BH152" s="143">
        <v>0</v>
      </c>
      <c r="BI152" s="143">
        <v>0</v>
      </c>
      <c r="BJ152" s="995">
        <v>0</v>
      </c>
      <c r="BK152" s="143">
        <v>0</v>
      </c>
      <c r="BL152" s="143">
        <v>0</v>
      </c>
      <c r="BM152" s="143">
        <v>0</v>
      </c>
      <c r="BN152" s="143">
        <v>0</v>
      </c>
      <c r="BO152" s="143">
        <v>0</v>
      </c>
      <c r="BP152" s="143">
        <v>0</v>
      </c>
      <c r="BQ152" s="143">
        <v>0</v>
      </c>
      <c r="BR152" s="143">
        <v>0</v>
      </c>
      <c r="BS152" s="143">
        <v>0</v>
      </c>
      <c r="BT152" s="143">
        <v>0</v>
      </c>
      <c r="BU152" s="143">
        <v>0</v>
      </c>
      <c r="BV152" s="143">
        <v>0</v>
      </c>
      <c r="BW152" s="143">
        <v>0</v>
      </c>
      <c r="BX152" s="143">
        <v>0</v>
      </c>
      <c r="BY152" s="143">
        <v>0</v>
      </c>
      <c r="BZ152" s="995">
        <v>0</v>
      </c>
      <c r="CA152" s="143">
        <v>0</v>
      </c>
      <c r="CB152" s="143">
        <v>0</v>
      </c>
      <c r="CC152" s="143">
        <v>0</v>
      </c>
      <c r="CD152" s="143">
        <v>0</v>
      </c>
      <c r="CE152" s="143">
        <v>0</v>
      </c>
      <c r="CF152" s="143">
        <v>0</v>
      </c>
      <c r="CG152" s="143">
        <v>0</v>
      </c>
      <c r="CH152" s="143">
        <v>0</v>
      </c>
      <c r="CI152" s="143">
        <v>0</v>
      </c>
      <c r="CJ152" s="143">
        <v>0</v>
      </c>
      <c r="CK152" s="143">
        <v>0</v>
      </c>
      <c r="CL152" s="143">
        <v>0</v>
      </c>
      <c r="CM152" s="143">
        <v>0</v>
      </c>
      <c r="CN152" s="143">
        <v>0</v>
      </c>
      <c r="CO152" s="143">
        <v>0</v>
      </c>
      <c r="CP152" s="143">
        <v>0</v>
      </c>
      <c r="CQ152" s="143">
        <v>0</v>
      </c>
      <c r="CR152" s="143">
        <v>0</v>
      </c>
      <c r="CS152" s="143">
        <v>0</v>
      </c>
      <c r="CT152" s="143">
        <v>0</v>
      </c>
      <c r="CU152" s="143">
        <v>0</v>
      </c>
      <c r="CV152" s="143">
        <v>0</v>
      </c>
      <c r="CW152" s="14">
        <v>0</v>
      </c>
      <c r="CX152" s="14">
        <v>0</v>
      </c>
      <c r="CY152" s="14">
        <v>0</v>
      </c>
      <c r="CZ152" s="995">
        <v>0</v>
      </c>
      <c r="DA152" s="995">
        <v>0</v>
      </c>
      <c r="DB152" s="995">
        <v>0</v>
      </c>
      <c r="DC152">
        <v>0</v>
      </c>
      <c r="DD152">
        <v>0</v>
      </c>
      <c r="DE152">
        <v>0</v>
      </c>
      <c r="DF152">
        <v>0</v>
      </c>
      <c r="DG152">
        <v>0</v>
      </c>
      <c r="DH152">
        <v>0</v>
      </c>
      <c r="DI152">
        <v>0</v>
      </c>
      <c r="DJ152">
        <v>0</v>
      </c>
      <c r="DK152">
        <v>0</v>
      </c>
      <c r="DL152">
        <v>0</v>
      </c>
      <c r="DM152">
        <v>0</v>
      </c>
      <c r="DN152">
        <v>0</v>
      </c>
      <c r="DO152">
        <v>0</v>
      </c>
      <c r="DP152">
        <v>0</v>
      </c>
      <c r="DQ152">
        <v>25.25</v>
      </c>
    </row>
    <row r="153" spans="1:121" x14ac:dyDescent="0.2">
      <c r="A153" s="14">
        <v>25.5</v>
      </c>
      <c r="B153" s="684">
        <f t="shared" si="47"/>
        <v>1.4635531142756492E-4</v>
      </c>
      <c r="C153" s="684">
        <f t="shared" si="48"/>
        <v>1.4635531142756489E-4</v>
      </c>
      <c r="D153" s="684">
        <f t="shared" si="36"/>
        <v>3.6588827856891223E-5</v>
      </c>
      <c r="E153" s="684">
        <f t="shared" si="49"/>
        <v>6.1665090102310209</v>
      </c>
      <c r="F153" s="684">
        <f t="shared" si="50"/>
        <v>0</v>
      </c>
      <c r="G153" s="684">
        <f t="shared" si="37"/>
        <v>0</v>
      </c>
      <c r="H153" s="684">
        <f t="shared" si="38"/>
        <v>0</v>
      </c>
      <c r="I153" s="1052">
        <f>HLOOKUP('Input &amp; Summary'!$B$6,TurbineProfiles,ROW(I153)-49,0)</f>
        <v>0</v>
      </c>
      <c r="J153" s="684">
        <f t="shared" si="51"/>
        <v>0</v>
      </c>
      <c r="K153" s="9">
        <f t="shared" si="52"/>
        <v>0</v>
      </c>
      <c r="L153" s="14">
        <f t="shared" si="53"/>
        <v>33417.389577692709</v>
      </c>
      <c r="M153" s="684">
        <f t="shared" si="54"/>
        <v>11398.211923594976</v>
      </c>
      <c r="N153" s="684">
        <f t="shared" si="39"/>
        <v>2117.4921141893815</v>
      </c>
      <c r="O153" s="684">
        <f t="shared" si="40"/>
        <v>0.99977821835604974</v>
      </c>
      <c r="P153" s="684">
        <f t="shared" si="41"/>
        <v>0</v>
      </c>
      <c r="Q153" s="684">
        <f t="shared" si="45"/>
        <v>3.9568592770988786E-5</v>
      </c>
      <c r="R153" s="684">
        <f t="shared" si="46"/>
        <v>3.6622930681295962E-5</v>
      </c>
      <c r="S153" s="684">
        <f t="shared" si="42"/>
        <v>0</v>
      </c>
      <c r="T153" s="684">
        <f t="shared" si="43"/>
        <v>0</v>
      </c>
      <c r="U153" s="14">
        <f t="shared" si="44"/>
        <v>0</v>
      </c>
      <c r="V153">
        <v>0</v>
      </c>
      <c r="W153">
        <v>0</v>
      </c>
      <c r="X153">
        <v>0</v>
      </c>
      <c r="Y153">
        <v>0</v>
      </c>
      <c r="Z153">
        <v>0</v>
      </c>
      <c r="AA153">
        <v>0</v>
      </c>
      <c r="AB153">
        <v>0</v>
      </c>
      <c r="AC153">
        <v>0</v>
      </c>
      <c r="AD153">
        <v>0</v>
      </c>
      <c r="AE153" s="143">
        <v>0</v>
      </c>
      <c r="AF153" s="143">
        <v>0</v>
      </c>
      <c r="AG153" s="143">
        <v>0</v>
      </c>
      <c r="AH153" s="143">
        <v>0</v>
      </c>
      <c r="AI153" s="995">
        <v>0</v>
      </c>
      <c r="AJ153" s="143">
        <v>0</v>
      </c>
      <c r="AK153" s="143">
        <v>0</v>
      </c>
      <c r="AL153" s="143">
        <v>0</v>
      </c>
      <c r="AM153" s="143">
        <v>0</v>
      </c>
      <c r="AN153" s="143">
        <v>0</v>
      </c>
      <c r="AO153" s="143">
        <v>0</v>
      </c>
      <c r="AP153" s="143">
        <v>0</v>
      </c>
      <c r="AQ153" s="143">
        <v>0</v>
      </c>
      <c r="AR153" s="143">
        <v>0</v>
      </c>
      <c r="AS153" s="143">
        <v>0</v>
      </c>
      <c r="AT153" s="143">
        <v>0</v>
      </c>
      <c r="AU153" s="143">
        <v>0</v>
      </c>
      <c r="AV153" s="143">
        <v>0</v>
      </c>
      <c r="AW153" s="143">
        <v>0</v>
      </c>
      <c r="AX153" s="143">
        <v>0</v>
      </c>
      <c r="AY153" s="143">
        <v>0</v>
      </c>
      <c r="AZ153" s="143">
        <v>0</v>
      </c>
      <c r="BA153" s="143">
        <v>0</v>
      </c>
      <c r="BB153" s="143">
        <v>0</v>
      </c>
      <c r="BC153" s="143">
        <v>0</v>
      </c>
      <c r="BD153" s="143">
        <v>0</v>
      </c>
      <c r="BE153" s="143">
        <v>0</v>
      </c>
      <c r="BF153" s="143">
        <v>0</v>
      </c>
      <c r="BG153" s="143">
        <v>0</v>
      </c>
      <c r="BH153" s="143">
        <v>0</v>
      </c>
      <c r="BI153" s="143">
        <v>0</v>
      </c>
      <c r="BJ153" s="995">
        <v>0</v>
      </c>
      <c r="BK153" s="143">
        <v>0</v>
      </c>
      <c r="BL153" s="143">
        <v>0</v>
      </c>
      <c r="BM153" s="143">
        <v>0</v>
      </c>
      <c r="BN153" s="143">
        <v>0</v>
      </c>
      <c r="BO153" s="143">
        <v>0</v>
      </c>
      <c r="BP153" s="143">
        <v>0</v>
      </c>
      <c r="BQ153" s="143">
        <v>0</v>
      </c>
      <c r="BR153" s="143">
        <v>0</v>
      </c>
      <c r="BS153" s="143">
        <v>0</v>
      </c>
      <c r="BT153" s="143">
        <v>0</v>
      </c>
      <c r="BU153" s="143">
        <v>0</v>
      </c>
      <c r="BV153" s="143">
        <v>0</v>
      </c>
      <c r="BW153" s="143">
        <v>0</v>
      </c>
      <c r="BX153" s="143">
        <v>0</v>
      </c>
      <c r="BY153" s="143">
        <v>0</v>
      </c>
      <c r="BZ153" s="995">
        <v>0</v>
      </c>
      <c r="CA153" s="143">
        <v>0</v>
      </c>
      <c r="CB153" s="143">
        <v>0</v>
      </c>
      <c r="CC153" s="143">
        <v>0</v>
      </c>
      <c r="CD153" s="143">
        <v>0</v>
      </c>
      <c r="CE153" s="143">
        <v>0</v>
      </c>
      <c r="CF153" s="143">
        <v>0</v>
      </c>
      <c r="CG153" s="143">
        <v>0</v>
      </c>
      <c r="CH153" s="143">
        <v>0</v>
      </c>
      <c r="CI153" s="143">
        <v>0</v>
      </c>
      <c r="CJ153" s="143">
        <v>0</v>
      </c>
      <c r="CK153" s="143">
        <v>0</v>
      </c>
      <c r="CL153" s="143">
        <v>0</v>
      </c>
      <c r="CM153" s="143">
        <v>0</v>
      </c>
      <c r="CN153" s="143">
        <v>0</v>
      </c>
      <c r="CO153" s="143">
        <v>0</v>
      </c>
      <c r="CP153" s="143">
        <v>0</v>
      </c>
      <c r="CQ153" s="143">
        <v>0</v>
      </c>
      <c r="CR153" s="143">
        <v>0</v>
      </c>
      <c r="CS153" s="143">
        <v>0</v>
      </c>
      <c r="CT153" s="143">
        <v>0</v>
      </c>
      <c r="CU153" s="143">
        <v>0</v>
      </c>
      <c r="CV153" s="143">
        <v>0</v>
      </c>
      <c r="CW153" s="14">
        <v>0</v>
      </c>
      <c r="CX153" s="14">
        <v>0</v>
      </c>
      <c r="CY153" s="14">
        <v>0</v>
      </c>
      <c r="CZ153" s="995">
        <v>0</v>
      </c>
      <c r="DA153" s="995">
        <v>0</v>
      </c>
      <c r="DB153" s="995">
        <v>0</v>
      </c>
      <c r="DC153">
        <v>0</v>
      </c>
      <c r="DD153">
        <v>0</v>
      </c>
      <c r="DE153">
        <v>0</v>
      </c>
      <c r="DF153">
        <v>0</v>
      </c>
      <c r="DG153">
        <v>0</v>
      </c>
      <c r="DH153">
        <v>0</v>
      </c>
      <c r="DI153">
        <v>0</v>
      </c>
      <c r="DJ153">
        <v>0</v>
      </c>
      <c r="DK153">
        <v>0</v>
      </c>
      <c r="DL153">
        <v>0</v>
      </c>
      <c r="DM153">
        <v>0</v>
      </c>
      <c r="DN153">
        <v>0</v>
      </c>
      <c r="DO153">
        <v>0</v>
      </c>
      <c r="DP153">
        <v>0</v>
      </c>
      <c r="DQ153">
        <v>25.5</v>
      </c>
    </row>
    <row r="154" spans="1:121" x14ac:dyDescent="0.2">
      <c r="A154" s="14">
        <v>25.75</v>
      </c>
      <c r="B154" s="684">
        <f t="shared" si="47"/>
        <v>1.2521195752228522E-4</v>
      </c>
      <c r="C154" s="684">
        <f t="shared" si="48"/>
        <v>1.2521195752228519E-4</v>
      </c>
      <c r="D154" s="684">
        <f t="shared" si="36"/>
        <v>3.1302989380571298E-5</v>
      </c>
      <c r="E154" s="684">
        <f t="shared" si="49"/>
        <v>5.4323512885604357</v>
      </c>
      <c r="F154" s="684">
        <f t="shared" si="50"/>
        <v>0</v>
      </c>
      <c r="G154" s="684">
        <f t="shared" si="37"/>
        <v>0</v>
      </c>
      <c r="H154" s="684">
        <f t="shared" si="38"/>
        <v>0</v>
      </c>
      <c r="I154" s="1052">
        <f>HLOOKUP('Input &amp; Summary'!$B$6,TurbineProfiles,ROW(I154)-49,0)</f>
        <v>0</v>
      </c>
      <c r="J154" s="684">
        <f t="shared" si="51"/>
        <v>0</v>
      </c>
      <c r="K154" s="9">
        <f t="shared" si="52"/>
        <v>0</v>
      </c>
      <c r="L154" s="14">
        <f t="shared" si="53"/>
        <v>34409.921392472948</v>
      </c>
      <c r="M154" s="684">
        <f t="shared" si="54"/>
        <v>11549.547373186409</v>
      </c>
      <c r="N154" s="684">
        <f t="shared" si="39"/>
        <v>2117.4921141893815</v>
      </c>
      <c r="O154" s="684">
        <f t="shared" si="40"/>
        <v>0.9998121003970295</v>
      </c>
      <c r="P154" s="684">
        <f t="shared" si="41"/>
        <v>0</v>
      </c>
      <c r="Q154" s="684">
        <f t="shared" si="45"/>
        <v>3.388204097976022E-5</v>
      </c>
      <c r="R154" s="684">
        <f t="shared" si="46"/>
        <v>3.1332865326305637E-5</v>
      </c>
      <c r="S154" s="684">
        <f t="shared" si="42"/>
        <v>0</v>
      </c>
      <c r="T154" s="684">
        <f t="shared" si="43"/>
        <v>0</v>
      </c>
      <c r="U154" s="14">
        <f t="shared" si="44"/>
        <v>0</v>
      </c>
      <c r="V154">
        <v>0</v>
      </c>
      <c r="W154">
        <v>0</v>
      </c>
      <c r="X154">
        <v>0</v>
      </c>
      <c r="Y154">
        <v>0</v>
      </c>
      <c r="Z154">
        <v>0</v>
      </c>
      <c r="AA154">
        <v>0</v>
      </c>
      <c r="AB154">
        <v>0</v>
      </c>
      <c r="AC154">
        <v>0</v>
      </c>
      <c r="AD154">
        <v>0</v>
      </c>
      <c r="AE154" s="143">
        <v>0</v>
      </c>
      <c r="AF154" s="143">
        <v>0</v>
      </c>
      <c r="AG154" s="143">
        <v>0</v>
      </c>
      <c r="AH154" s="143">
        <v>0</v>
      </c>
      <c r="AI154" s="995">
        <v>0</v>
      </c>
      <c r="AJ154" s="143">
        <v>0</v>
      </c>
      <c r="AK154" s="143">
        <v>0</v>
      </c>
      <c r="AL154" s="143">
        <v>0</v>
      </c>
      <c r="AM154" s="143">
        <v>0</v>
      </c>
      <c r="AN154" s="143">
        <v>0</v>
      </c>
      <c r="AO154" s="143">
        <v>0</v>
      </c>
      <c r="AP154" s="143">
        <v>0</v>
      </c>
      <c r="AQ154" s="143">
        <v>0</v>
      </c>
      <c r="AR154" s="143">
        <v>0</v>
      </c>
      <c r="AS154" s="143">
        <v>0</v>
      </c>
      <c r="AT154" s="143">
        <v>0</v>
      </c>
      <c r="AU154" s="143">
        <v>0</v>
      </c>
      <c r="AV154" s="143">
        <v>0</v>
      </c>
      <c r="AW154" s="143">
        <v>0</v>
      </c>
      <c r="AX154" s="143">
        <v>0</v>
      </c>
      <c r="AY154" s="143">
        <v>0</v>
      </c>
      <c r="AZ154" s="143">
        <v>0</v>
      </c>
      <c r="BA154" s="143">
        <v>0</v>
      </c>
      <c r="BB154" s="143">
        <v>0</v>
      </c>
      <c r="BC154" s="143">
        <v>0</v>
      </c>
      <c r="BD154" s="143">
        <v>0</v>
      </c>
      <c r="BE154" s="143">
        <v>0</v>
      </c>
      <c r="BF154" s="143">
        <v>0</v>
      </c>
      <c r="BG154" s="143">
        <v>0</v>
      </c>
      <c r="BH154" s="143">
        <v>0</v>
      </c>
      <c r="BI154" s="143">
        <v>0</v>
      </c>
      <c r="BJ154" s="995">
        <v>0</v>
      </c>
      <c r="BK154" s="143">
        <v>0</v>
      </c>
      <c r="BL154" s="143">
        <v>0</v>
      </c>
      <c r="BM154" s="143">
        <v>0</v>
      </c>
      <c r="BN154" s="143">
        <v>0</v>
      </c>
      <c r="BO154" s="143">
        <v>0</v>
      </c>
      <c r="BP154" s="143">
        <v>0</v>
      </c>
      <c r="BQ154" s="143">
        <v>0</v>
      </c>
      <c r="BR154" s="143">
        <v>0</v>
      </c>
      <c r="BS154" s="143">
        <v>0</v>
      </c>
      <c r="BT154" s="143">
        <v>0</v>
      </c>
      <c r="BU154" s="143">
        <v>0</v>
      </c>
      <c r="BV154" s="143">
        <v>0</v>
      </c>
      <c r="BW154" s="143">
        <v>0</v>
      </c>
      <c r="BX154" s="143">
        <v>0</v>
      </c>
      <c r="BY154" s="143">
        <v>0</v>
      </c>
      <c r="BZ154" s="995">
        <v>0</v>
      </c>
      <c r="CA154" s="143">
        <v>0</v>
      </c>
      <c r="CB154" s="143">
        <v>0</v>
      </c>
      <c r="CC154" s="143">
        <v>0</v>
      </c>
      <c r="CD154" s="143">
        <v>0</v>
      </c>
      <c r="CE154" s="143">
        <v>0</v>
      </c>
      <c r="CF154" s="143">
        <v>0</v>
      </c>
      <c r="CG154" s="143">
        <v>0</v>
      </c>
      <c r="CH154" s="143">
        <v>0</v>
      </c>
      <c r="CI154" s="143">
        <v>0</v>
      </c>
      <c r="CJ154" s="143">
        <v>0</v>
      </c>
      <c r="CK154" s="143">
        <v>0</v>
      </c>
      <c r="CL154" s="143">
        <v>0</v>
      </c>
      <c r="CM154" s="143">
        <v>0</v>
      </c>
      <c r="CN154" s="143">
        <v>0</v>
      </c>
      <c r="CO154" s="143">
        <v>0</v>
      </c>
      <c r="CP154" s="143">
        <v>0</v>
      </c>
      <c r="CQ154" s="143">
        <v>0</v>
      </c>
      <c r="CR154" s="143">
        <v>0</v>
      </c>
      <c r="CS154" s="143">
        <v>0</v>
      </c>
      <c r="CT154" s="143">
        <v>0</v>
      </c>
      <c r="CU154" s="143">
        <v>0</v>
      </c>
      <c r="CV154" s="143">
        <v>0</v>
      </c>
      <c r="CW154" s="14">
        <v>0</v>
      </c>
      <c r="CX154" s="14">
        <v>0</v>
      </c>
      <c r="CY154" s="14">
        <v>0</v>
      </c>
      <c r="CZ154" s="995">
        <v>0</v>
      </c>
      <c r="DA154" s="995">
        <v>0</v>
      </c>
      <c r="DB154" s="995">
        <v>0</v>
      </c>
      <c r="DC154">
        <v>0</v>
      </c>
      <c r="DD154">
        <v>0</v>
      </c>
      <c r="DE154">
        <v>0</v>
      </c>
      <c r="DF154">
        <v>0</v>
      </c>
      <c r="DG154">
        <v>0</v>
      </c>
      <c r="DH154">
        <v>0</v>
      </c>
      <c r="DI154">
        <v>0</v>
      </c>
      <c r="DJ154">
        <v>0</v>
      </c>
      <c r="DK154">
        <v>0</v>
      </c>
      <c r="DL154">
        <v>0</v>
      </c>
      <c r="DM154">
        <v>0</v>
      </c>
      <c r="DN154">
        <v>0</v>
      </c>
      <c r="DO154">
        <v>0</v>
      </c>
      <c r="DP154">
        <v>0</v>
      </c>
      <c r="DQ154">
        <v>25.75</v>
      </c>
    </row>
    <row r="155" spans="1:121" x14ac:dyDescent="0.2">
      <c r="A155" s="14">
        <v>26</v>
      </c>
      <c r="B155" s="684">
        <f t="shared" si="47"/>
        <v>1.0693989354971427E-4</v>
      </c>
      <c r="C155" s="684">
        <f t="shared" si="48"/>
        <v>1.0693989354971427E-4</v>
      </c>
      <c r="D155" s="684">
        <f t="shared" si="36"/>
        <v>2.6734973387428567E-5</v>
      </c>
      <c r="E155" s="684">
        <f t="shared" si="49"/>
        <v>4.7760639398158142</v>
      </c>
      <c r="F155" s="684">
        <f t="shared" si="50"/>
        <v>0</v>
      </c>
      <c r="G155" s="684">
        <f t="shared" si="37"/>
        <v>0</v>
      </c>
      <c r="H155" s="684">
        <f t="shared" si="38"/>
        <v>0</v>
      </c>
      <c r="I155" s="1052">
        <f>HLOOKUP('Input &amp; Summary'!$B$6,TurbineProfiles,ROW(I155)-49,0)</f>
        <v>0</v>
      </c>
      <c r="J155" s="684">
        <f t="shared" si="51"/>
        <v>0</v>
      </c>
      <c r="K155" s="9">
        <f t="shared" si="52"/>
        <v>0</v>
      </c>
      <c r="L155" s="14">
        <f t="shared" si="53"/>
        <v>35421.913997936077</v>
      </c>
      <c r="M155" s="684">
        <f t="shared" si="54"/>
        <v>11700.882822777839</v>
      </c>
      <c r="N155" s="684">
        <f t="shared" si="39"/>
        <v>2117.4921141893815</v>
      </c>
      <c r="O155" s="684">
        <f t="shared" si="40"/>
        <v>0.99984106348350743</v>
      </c>
      <c r="P155" s="684">
        <f t="shared" si="41"/>
        <v>0</v>
      </c>
      <c r="Q155" s="684">
        <f t="shared" si="45"/>
        <v>2.896308647792889E-5</v>
      </c>
      <c r="R155" s="684">
        <f t="shared" si="46"/>
        <v>2.676109309684982E-5</v>
      </c>
      <c r="S155" s="684">
        <f t="shared" si="42"/>
        <v>0</v>
      </c>
      <c r="T155" s="684">
        <f t="shared" si="43"/>
        <v>0</v>
      </c>
      <c r="U155" s="14">
        <f t="shared" si="44"/>
        <v>0</v>
      </c>
      <c r="V155">
        <v>0</v>
      </c>
      <c r="W155">
        <v>0</v>
      </c>
      <c r="X155">
        <v>0</v>
      </c>
      <c r="Y155">
        <v>0</v>
      </c>
      <c r="Z155">
        <v>0</v>
      </c>
      <c r="AA155">
        <v>0</v>
      </c>
      <c r="AB155">
        <v>0</v>
      </c>
      <c r="AC155">
        <v>0</v>
      </c>
      <c r="AD155">
        <v>0</v>
      </c>
      <c r="AE155" s="143">
        <v>0</v>
      </c>
      <c r="AF155" s="143">
        <v>0</v>
      </c>
      <c r="AG155" s="143">
        <v>0</v>
      </c>
      <c r="AH155" s="143">
        <v>0</v>
      </c>
      <c r="AI155" s="995">
        <v>0</v>
      </c>
      <c r="AJ155" s="143">
        <v>0</v>
      </c>
      <c r="AK155" s="143">
        <v>0</v>
      </c>
      <c r="AL155" s="143">
        <v>0</v>
      </c>
      <c r="AM155" s="143">
        <v>0</v>
      </c>
      <c r="AN155" s="143">
        <v>0</v>
      </c>
      <c r="AO155" s="143">
        <v>0</v>
      </c>
      <c r="AP155" s="143">
        <v>0</v>
      </c>
      <c r="AQ155" s="143">
        <v>0</v>
      </c>
      <c r="AR155" s="143">
        <v>0</v>
      </c>
      <c r="AS155" s="143">
        <v>0</v>
      </c>
      <c r="AT155" s="143">
        <v>0</v>
      </c>
      <c r="AU155" s="143">
        <v>0</v>
      </c>
      <c r="AV155" s="143">
        <v>0</v>
      </c>
      <c r="AW155" s="143">
        <v>0</v>
      </c>
      <c r="AX155" s="143">
        <v>0</v>
      </c>
      <c r="AY155" s="143">
        <v>0</v>
      </c>
      <c r="AZ155" s="143">
        <v>0</v>
      </c>
      <c r="BA155" s="143">
        <v>0</v>
      </c>
      <c r="BB155" s="143">
        <v>0</v>
      </c>
      <c r="BC155" s="143">
        <v>0</v>
      </c>
      <c r="BD155" s="143">
        <v>0</v>
      </c>
      <c r="BE155" s="143">
        <v>0</v>
      </c>
      <c r="BF155" s="143">
        <v>0</v>
      </c>
      <c r="BG155" s="143">
        <v>0</v>
      </c>
      <c r="BH155" s="143">
        <v>0</v>
      </c>
      <c r="BI155" s="143">
        <v>0</v>
      </c>
      <c r="BJ155" s="995">
        <v>0</v>
      </c>
      <c r="BK155" s="143">
        <v>0</v>
      </c>
      <c r="BL155" s="143">
        <v>0</v>
      </c>
      <c r="BM155" s="143">
        <v>0</v>
      </c>
      <c r="BN155" s="143">
        <v>0</v>
      </c>
      <c r="BO155" s="143">
        <v>0</v>
      </c>
      <c r="BP155" s="143">
        <v>0</v>
      </c>
      <c r="BQ155" s="143">
        <v>0</v>
      </c>
      <c r="BR155" s="143">
        <v>0</v>
      </c>
      <c r="BS155" s="143">
        <v>0</v>
      </c>
      <c r="BT155" s="143">
        <v>0</v>
      </c>
      <c r="BU155" s="143">
        <v>0</v>
      </c>
      <c r="BV155" s="143">
        <v>0</v>
      </c>
      <c r="BW155" s="143">
        <v>0</v>
      </c>
      <c r="BX155" s="143">
        <v>0</v>
      </c>
      <c r="BY155" s="143">
        <v>0</v>
      </c>
      <c r="BZ155" s="995">
        <v>0</v>
      </c>
      <c r="CA155" s="143">
        <v>0</v>
      </c>
      <c r="CB155" s="143">
        <v>0</v>
      </c>
      <c r="CC155" s="143">
        <v>0</v>
      </c>
      <c r="CD155" s="143">
        <v>0</v>
      </c>
      <c r="CE155" s="143">
        <v>0</v>
      </c>
      <c r="CF155" s="143">
        <v>0</v>
      </c>
      <c r="CG155" s="143">
        <v>0</v>
      </c>
      <c r="CH155" s="143">
        <v>0</v>
      </c>
      <c r="CI155" s="143">
        <v>0</v>
      </c>
      <c r="CJ155" s="143">
        <v>0</v>
      </c>
      <c r="CK155" s="143">
        <v>0</v>
      </c>
      <c r="CL155" s="143">
        <v>0</v>
      </c>
      <c r="CM155" s="143">
        <v>0</v>
      </c>
      <c r="CN155" s="143">
        <v>0</v>
      </c>
      <c r="CO155" s="143">
        <v>0</v>
      </c>
      <c r="CP155" s="143">
        <v>0</v>
      </c>
      <c r="CQ155" s="143">
        <v>0</v>
      </c>
      <c r="CR155" s="143">
        <v>0</v>
      </c>
      <c r="CS155" s="143">
        <v>0</v>
      </c>
      <c r="CT155" s="143">
        <v>0</v>
      </c>
      <c r="CU155" s="143">
        <v>0</v>
      </c>
      <c r="CV155" s="143">
        <v>0</v>
      </c>
      <c r="CW155" s="14">
        <v>0</v>
      </c>
      <c r="CX155" s="14">
        <v>0</v>
      </c>
      <c r="CY155" s="14">
        <v>0</v>
      </c>
      <c r="CZ155" s="995">
        <v>0</v>
      </c>
      <c r="DA155" s="995">
        <v>0</v>
      </c>
      <c r="DB155" s="995">
        <v>0</v>
      </c>
      <c r="DC155">
        <v>0</v>
      </c>
      <c r="DD155">
        <v>0</v>
      </c>
      <c r="DE155">
        <v>0</v>
      </c>
      <c r="DF155">
        <v>0</v>
      </c>
      <c r="DG155">
        <v>0</v>
      </c>
      <c r="DH155">
        <v>0</v>
      </c>
      <c r="DI155">
        <v>0</v>
      </c>
      <c r="DJ155">
        <v>0</v>
      </c>
      <c r="DK155">
        <v>0</v>
      </c>
      <c r="DL155">
        <v>0</v>
      </c>
      <c r="DM155">
        <v>0</v>
      </c>
      <c r="DN155">
        <v>0</v>
      </c>
      <c r="DO155">
        <v>0</v>
      </c>
      <c r="DP155">
        <v>0</v>
      </c>
      <c r="DQ155">
        <v>26</v>
      </c>
    </row>
    <row r="156" spans="1:121" x14ac:dyDescent="0.2">
      <c r="A156" s="14">
        <v>26.25</v>
      </c>
      <c r="B156" s="684">
        <f t="shared" si="47"/>
        <v>9.1178217662916554E-5</v>
      </c>
      <c r="C156" s="684">
        <f t="shared" si="48"/>
        <v>9.1178217662916703E-5</v>
      </c>
      <c r="D156" s="684">
        <f t="shared" si="36"/>
        <v>2.2794554415729176E-5</v>
      </c>
      <c r="E156" s="684">
        <f t="shared" si="49"/>
        <v>4.1907269270170282</v>
      </c>
      <c r="F156" s="684">
        <f t="shared" si="50"/>
        <v>0</v>
      </c>
      <c r="G156" s="684">
        <f t="shared" si="37"/>
        <v>0</v>
      </c>
      <c r="H156" s="684">
        <f t="shared" si="38"/>
        <v>0</v>
      </c>
      <c r="I156" s="1052">
        <f>HLOOKUP('Input &amp; Summary'!$B$6,TurbineProfiles,ROW(I156)-49,0)</f>
        <v>0</v>
      </c>
      <c r="J156" s="684">
        <f t="shared" si="51"/>
        <v>0</v>
      </c>
      <c r="K156" s="9">
        <f t="shared" si="52"/>
        <v>0</v>
      </c>
      <c r="L156" s="14">
        <f t="shared" si="53"/>
        <v>36453.556333797438</v>
      </c>
      <c r="M156" s="684">
        <f t="shared" si="54"/>
        <v>11852.218272369271</v>
      </c>
      <c r="N156" s="684">
        <f t="shared" si="39"/>
        <v>2117.4921141893815</v>
      </c>
      <c r="O156" s="684">
        <f t="shared" si="40"/>
        <v>0.99986577942923605</v>
      </c>
      <c r="P156" s="684">
        <f t="shared" si="41"/>
        <v>0</v>
      </c>
      <c r="Q156" s="684">
        <f t="shared" si="45"/>
        <v>2.4715945728615019E-5</v>
      </c>
      <c r="R156" s="684">
        <f t="shared" si="46"/>
        <v>2.2817343946823776E-5</v>
      </c>
      <c r="S156" s="684">
        <f t="shared" si="42"/>
        <v>0</v>
      </c>
      <c r="T156" s="684">
        <f t="shared" si="43"/>
        <v>0</v>
      </c>
      <c r="U156" s="14">
        <f t="shared" si="44"/>
        <v>0</v>
      </c>
      <c r="V156">
        <v>0</v>
      </c>
      <c r="W156">
        <v>0</v>
      </c>
      <c r="X156">
        <v>0</v>
      </c>
      <c r="Y156">
        <v>0</v>
      </c>
      <c r="Z156">
        <v>0</v>
      </c>
      <c r="AA156">
        <v>0</v>
      </c>
      <c r="AB156">
        <v>0</v>
      </c>
      <c r="AC156">
        <v>0</v>
      </c>
      <c r="AD156">
        <v>0</v>
      </c>
      <c r="AE156" s="143">
        <v>0</v>
      </c>
      <c r="AF156" s="143">
        <v>0</v>
      </c>
      <c r="AG156" s="143">
        <v>0</v>
      </c>
      <c r="AH156" s="143">
        <v>0</v>
      </c>
      <c r="AI156" s="995">
        <v>0</v>
      </c>
      <c r="AJ156" s="143">
        <v>0</v>
      </c>
      <c r="AK156" s="143">
        <v>0</v>
      </c>
      <c r="AL156" s="143">
        <v>0</v>
      </c>
      <c r="AM156" s="143">
        <v>0</v>
      </c>
      <c r="AN156" s="143">
        <v>0</v>
      </c>
      <c r="AO156" s="143">
        <v>0</v>
      </c>
      <c r="AP156" s="143">
        <v>0</v>
      </c>
      <c r="AQ156" s="143">
        <v>0</v>
      </c>
      <c r="AR156" s="143">
        <v>0</v>
      </c>
      <c r="AS156" s="143">
        <v>0</v>
      </c>
      <c r="AT156" s="143">
        <v>0</v>
      </c>
      <c r="AU156" s="143">
        <v>0</v>
      </c>
      <c r="AV156" s="143">
        <v>0</v>
      </c>
      <c r="AW156" s="143">
        <v>0</v>
      </c>
      <c r="AX156" s="143">
        <v>0</v>
      </c>
      <c r="AY156" s="143">
        <v>0</v>
      </c>
      <c r="AZ156" s="143">
        <v>0</v>
      </c>
      <c r="BA156" s="143">
        <v>0</v>
      </c>
      <c r="BB156" s="143">
        <v>0</v>
      </c>
      <c r="BC156" s="143">
        <v>0</v>
      </c>
      <c r="BD156" s="143">
        <v>0</v>
      </c>
      <c r="BE156" s="143">
        <v>0</v>
      </c>
      <c r="BF156" s="143">
        <v>0</v>
      </c>
      <c r="BG156" s="143">
        <v>0</v>
      </c>
      <c r="BH156" s="143">
        <v>0</v>
      </c>
      <c r="BI156" s="143">
        <v>0</v>
      </c>
      <c r="BJ156" s="995">
        <v>0</v>
      </c>
      <c r="BK156" s="143">
        <v>0</v>
      </c>
      <c r="BL156" s="143">
        <v>0</v>
      </c>
      <c r="BM156" s="143">
        <v>0</v>
      </c>
      <c r="BN156" s="143">
        <v>0</v>
      </c>
      <c r="BO156" s="143">
        <v>0</v>
      </c>
      <c r="BP156" s="143">
        <v>0</v>
      </c>
      <c r="BQ156" s="143">
        <v>0</v>
      </c>
      <c r="BR156" s="143">
        <v>0</v>
      </c>
      <c r="BS156" s="143">
        <v>0</v>
      </c>
      <c r="BT156" s="143">
        <v>0</v>
      </c>
      <c r="BU156" s="143">
        <v>0</v>
      </c>
      <c r="BV156" s="143">
        <v>0</v>
      </c>
      <c r="BW156" s="143">
        <v>0</v>
      </c>
      <c r="BX156" s="143">
        <v>0</v>
      </c>
      <c r="BY156" s="143">
        <v>0</v>
      </c>
      <c r="BZ156" s="995">
        <v>0</v>
      </c>
      <c r="CA156" s="143">
        <v>0</v>
      </c>
      <c r="CB156" s="143">
        <v>0</v>
      </c>
      <c r="CC156" s="143">
        <v>0</v>
      </c>
      <c r="CD156" s="143">
        <v>0</v>
      </c>
      <c r="CE156" s="143">
        <v>0</v>
      </c>
      <c r="CF156" s="143">
        <v>0</v>
      </c>
      <c r="CG156" s="143">
        <v>0</v>
      </c>
      <c r="CH156" s="143">
        <v>0</v>
      </c>
      <c r="CI156" s="143">
        <v>0</v>
      </c>
      <c r="CJ156" s="143">
        <v>0</v>
      </c>
      <c r="CK156" s="143">
        <v>0</v>
      </c>
      <c r="CL156" s="143">
        <v>0</v>
      </c>
      <c r="CM156" s="143">
        <v>0</v>
      </c>
      <c r="CN156" s="143">
        <v>0</v>
      </c>
      <c r="CO156" s="143">
        <v>0</v>
      </c>
      <c r="CP156" s="143">
        <v>0</v>
      </c>
      <c r="CQ156" s="143">
        <v>0</v>
      </c>
      <c r="CR156" s="143">
        <v>0</v>
      </c>
      <c r="CS156" s="143">
        <v>0</v>
      </c>
      <c r="CT156" s="143">
        <v>0</v>
      </c>
      <c r="CU156" s="143">
        <v>0</v>
      </c>
      <c r="CV156" s="143">
        <v>0</v>
      </c>
      <c r="CW156" s="14">
        <v>0</v>
      </c>
      <c r="CX156" s="14">
        <v>0</v>
      </c>
      <c r="CY156" s="14">
        <v>0</v>
      </c>
      <c r="CZ156" s="995">
        <v>0</v>
      </c>
      <c r="DA156" s="995">
        <v>0</v>
      </c>
      <c r="DB156" s="995">
        <v>0</v>
      </c>
      <c r="DC156">
        <v>0</v>
      </c>
      <c r="DD156">
        <v>0</v>
      </c>
      <c r="DE156">
        <v>0</v>
      </c>
      <c r="DF156">
        <v>0</v>
      </c>
      <c r="DG156">
        <v>0</v>
      </c>
      <c r="DH156">
        <v>0</v>
      </c>
      <c r="DI156">
        <v>0</v>
      </c>
      <c r="DJ156">
        <v>0</v>
      </c>
      <c r="DK156">
        <v>0</v>
      </c>
      <c r="DL156">
        <v>0</v>
      </c>
      <c r="DM156">
        <v>0</v>
      </c>
      <c r="DN156">
        <v>0</v>
      </c>
      <c r="DO156">
        <v>0</v>
      </c>
      <c r="DP156">
        <v>0</v>
      </c>
      <c r="DQ156">
        <v>26.25</v>
      </c>
    </row>
    <row r="157" spans="1:121" x14ac:dyDescent="0.2">
      <c r="A157" s="14">
        <v>26.5</v>
      </c>
      <c r="B157" s="684">
        <f t="shared" si="47"/>
        <v>7.7606950650848029E-5</v>
      </c>
      <c r="C157" s="684">
        <f t="shared" si="48"/>
        <v>7.7606950650848151E-5</v>
      </c>
      <c r="D157" s="684">
        <f t="shared" si="36"/>
        <v>1.9401737662712038E-5</v>
      </c>
      <c r="E157" s="684">
        <f t="shared" si="49"/>
        <v>3.6698522704314454</v>
      </c>
      <c r="F157" s="684">
        <f t="shared" si="50"/>
        <v>0</v>
      </c>
      <c r="G157" s="684">
        <f t="shared" si="37"/>
        <v>0</v>
      </c>
      <c r="H157" s="684">
        <f t="shared" si="38"/>
        <v>0</v>
      </c>
      <c r="I157" s="1052">
        <f>HLOOKUP('Input &amp; Summary'!$B$6,TurbineProfiles,ROW(I157)-49,0)</f>
        <v>0</v>
      </c>
      <c r="J157" s="684">
        <f t="shared" si="51"/>
        <v>0</v>
      </c>
      <c r="K157" s="9">
        <f t="shared" si="52"/>
        <v>0</v>
      </c>
      <c r="L157" s="14">
        <f t="shared" si="53"/>
        <v>37505.037339772462</v>
      </c>
      <c r="M157" s="684">
        <f t="shared" si="54"/>
        <v>12003.553721960705</v>
      </c>
      <c r="N157" s="684">
        <f t="shared" si="39"/>
        <v>2117.4921141893815</v>
      </c>
      <c r="O157" s="684">
        <f t="shared" si="40"/>
        <v>0.9998868350238983</v>
      </c>
      <c r="P157" s="684">
        <f t="shared" si="41"/>
        <v>0</v>
      </c>
      <c r="Q157" s="684">
        <f t="shared" si="45"/>
        <v>2.1055594662255928E-5</v>
      </c>
      <c r="R157" s="684">
        <f t="shared" si="46"/>
        <v>1.9421581587741876E-5</v>
      </c>
      <c r="S157" s="684">
        <f t="shared" si="42"/>
        <v>0</v>
      </c>
      <c r="T157" s="684">
        <f t="shared" si="43"/>
        <v>0</v>
      </c>
      <c r="U157" s="14">
        <f t="shared" si="44"/>
        <v>0</v>
      </c>
      <c r="V157">
        <v>0</v>
      </c>
      <c r="W157">
        <v>0</v>
      </c>
      <c r="X157">
        <v>0</v>
      </c>
      <c r="Y157">
        <v>0</v>
      </c>
      <c r="Z157">
        <v>0</v>
      </c>
      <c r="AA157">
        <v>0</v>
      </c>
      <c r="AB157">
        <v>0</v>
      </c>
      <c r="AC157">
        <v>0</v>
      </c>
      <c r="AD157">
        <v>0</v>
      </c>
      <c r="AE157" s="143">
        <v>0</v>
      </c>
      <c r="AF157" s="143">
        <v>0</v>
      </c>
      <c r="AG157" s="143">
        <v>0</v>
      </c>
      <c r="AH157" s="143">
        <v>0</v>
      </c>
      <c r="AI157" s="995">
        <v>0</v>
      </c>
      <c r="AJ157" s="143">
        <v>0</v>
      </c>
      <c r="AK157" s="143">
        <v>0</v>
      </c>
      <c r="AL157" s="143">
        <v>0</v>
      </c>
      <c r="AM157" s="143">
        <v>0</v>
      </c>
      <c r="AN157" s="143">
        <v>0</v>
      </c>
      <c r="AO157" s="143">
        <v>0</v>
      </c>
      <c r="AP157" s="143">
        <v>0</v>
      </c>
      <c r="AQ157" s="143">
        <v>0</v>
      </c>
      <c r="AR157" s="143">
        <v>0</v>
      </c>
      <c r="AS157" s="143">
        <v>0</v>
      </c>
      <c r="AT157" s="143">
        <v>0</v>
      </c>
      <c r="AU157" s="143">
        <v>0</v>
      </c>
      <c r="AV157" s="143">
        <v>0</v>
      </c>
      <c r="AW157" s="143">
        <v>0</v>
      </c>
      <c r="AX157" s="143">
        <v>0</v>
      </c>
      <c r="AY157" s="143">
        <v>0</v>
      </c>
      <c r="AZ157" s="143">
        <v>0</v>
      </c>
      <c r="BA157" s="143">
        <v>0</v>
      </c>
      <c r="BB157" s="143">
        <v>0</v>
      </c>
      <c r="BC157" s="143">
        <v>0</v>
      </c>
      <c r="BD157" s="143">
        <v>0</v>
      </c>
      <c r="BE157" s="143">
        <v>0</v>
      </c>
      <c r="BF157" s="143">
        <v>0</v>
      </c>
      <c r="BG157" s="143">
        <v>0</v>
      </c>
      <c r="BH157" s="143">
        <v>0</v>
      </c>
      <c r="BI157" s="143">
        <v>0</v>
      </c>
      <c r="BJ157" s="995">
        <v>0</v>
      </c>
      <c r="BK157" s="143">
        <v>0</v>
      </c>
      <c r="BL157" s="143">
        <v>0</v>
      </c>
      <c r="BM157" s="143">
        <v>0</v>
      </c>
      <c r="BN157" s="143">
        <v>0</v>
      </c>
      <c r="BO157" s="143">
        <v>0</v>
      </c>
      <c r="BP157" s="143">
        <v>0</v>
      </c>
      <c r="BQ157" s="143">
        <v>0</v>
      </c>
      <c r="BR157" s="143">
        <v>0</v>
      </c>
      <c r="BS157" s="143">
        <v>0</v>
      </c>
      <c r="BT157" s="143">
        <v>0</v>
      </c>
      <c r="BU157" s="143">
        <v>0</v>
      </c>
      <c r="BV157" s="143">
        <v>0</v>
      </c>
      <c r="BW157" s="143">
        <v>0</v>
      </c>
      <c r="BX157" s="143">
        <v>0</v>
      </c>
      <c r="BY157" s="143">
        <v>0</v>
      </c>
      <c r="BZ157" s="995">
        <v>0</v>
      </c>
      <c r="CA157" s="143">
        <v>0</v>
      </c>
      <c r="CB157" s="143">
        <v>0</v>
      </c>
      <c r="CC157" s="143">
        <v>0</v>
      </c>
      <c r="CD157" s="143">
        <v>0</v>
      </c>
      <c r="CE157" s="143">
        <v>0</v>
      </c>
      <c r="CF157" s="143">
        <v>0</v>
      </c>
      <c r="CG157" s="143">
        <v>0</v>
      </c>
      <c r="CH157" s="143">
        <v>0</v>
      </c>
      <c r="CI157" s="143">
        <v>0</v>
      </c>
      <c r="CJ157" s="143">
        <v>0</v>
      </c>
      <c r="CK157" s="143">
        <v>0</v>
      </c>
      <c r="CL157" s="143">
        <v>0</v>
      </c>
      <c r="CM157" s="143">
        <v>0</v>
      </c>
      <c r="CN157" s="143">
        <v>0</v>
      </c>
      <c r="CO157" s="143">
        <v>0</v>
      </c>
      <c r="CP157" s="143">
        <v>0</v>
      </c>
      <c r="CQ157" s="143">
        <v>0</v>
      </c>
      <c r="CR157" s="143">
        <v>0</v>
      </c>
      <c r="CS157" s="143">
        <v>0</v>
      </c>
      <c r="CT157" s="143">
        <v>0</v>
      </c>
      <c r="CU157" s="143">
        <v>0</v>
      </c>
      <c r="CV157" s="143">
        <v>0</v>
      </c>
      <c r="CW157" s="14">
        <v>0</v>
      </c>
      <c r="CX157" s="14">
        <v>0</v>
      </c>
      <c r="CY157" s="14">
        <v>0</v>
      </c>
      <c r="CZ157" s="995">
        <v>0</v>
      </c>
      <c r="DA157" s="995">
        <v>0</v>
      </c>
      <c r="DB157" s="995">
        <v>0</v>
      </c>
      <c r="DC157">
        <v>0</v>
      </c>
      <c r="DD157">
        <v>0</v>
      </c>
      <c r="DE157">
        <v>0</v>
      </c>
      <c r="DF157">
        <v>0</v>
      </c>
      <c r="DG157">
        <v>0</v>
      </c>
      <c r="DH157">
        <v>0</v>
      </c>
      <c r="DI157">
        <v>0</v>
      </c>
      <c r="DJ157">
        <v>0</v>
      </c>
      <c r="DK157">
        <v>0</v>
      </c>
      <c r="DL157">
        <v>0</v>
      </c>
      <c r="DM157">
        <v>0</v>
      </c>
      <c r="DN157">
        <v>0</v>
      </c>
      <c r="DO157">
        <v>0</v>
      </c>
      <c r="DP157">
        <v>0</v>
      </c>
      <c r="DQ157">
        <v>26.5</v>
      </c>
    </row>
    <row r="158" spans="1:121" x14ac:dyDescent="0.2">
      <c r="A158" s="14">
        <v>26.75</v>
      </c>
      <c r="B158" s="684">
        <f t="shared" si="47"/>
        <v>6.594305301105231E-5</v>
      </c>
      <c r="C158" s="684">
        <f t="shared" si="48"/>
        <v>6.5943053011052283E-5</v>
      </c>
      <c r="D158" s="684">
        <f t="shared" si="36"/>
        <v>1.6485763252763071E-5</v>
      </c>
      <c r="E158" s="684">
        <f t="shared" si="49"/>
        <v>3.2073824616950359</v>
      </c>
      <c r="F158" s="684">
        <f t="shared" si="50"/>
        <v>0</v>
      </c>
      <c r="G158" s="684">
        <f t="shared" si="37"/>
        <v>0</v>
      </c>
      <c r="H158" s="684">
        <f t="shared" si="38"/>
        <v>0</v>
      </c>
      <c r="I158" s="1052">
        <f>HLOOKUP('Input &amp; Summary'!$B$6,TurbineProfiles,ROW(I158)-49,0)</f>
        <v>0</v>
      </c>
      <c r="J158" s="684">
        <f t="shared" si="51"/>
        <v>0</v>
      </c>
      <c r="K158" s="9">
        <f t="shared" si="52"/>
        <v>0</v>
      </c>
      <c r="L158" s="14">
        <f t="shared" si="53"/>
        <v>38576.54595557649</v>
      </c>
      <c r="M158" s="684">
        <f t="shared" si="54"/>
        <v>12154.889171552137</v>
      </c>
      <c r="N158" s="684">
        <f t="shared" si="39"/>
        <v>2117.4921141893815</v>
      </c>
      <c r="O158" s="684">
        <f t="shared" si="40"/>
        <v>0.99990474175974431</v>
      </c>
      <c r="P158" s="684">
        <f t="shared" si="41"/>
        <v>0</v>
      </c>
      <c r="Q158" s="684">
        <f t="shared" si="45"/>
        <v>1.7906735846007216E-5</v>
      </c>
      <c r="R158" s="684">
        <f t="shared" si="46"/>
        <v>1.6503007708501549E-5</v>
      </c>
      <c r="S158" s="684">
        <f t="shared" si="42"/>
        <v>0</v>
      </c>
      <c r="T158" s="684">
        <f t="shared" si="43"/>
        <v>0</v>
      </c>
      <c r="U158" s="14">
        <f t="shared" si="44"/>
        <v>0</v>
      </c>
      <c r="V158">
        <v>0</v>
      </c>
      <c r="W158">
        <v>0</v>
      </c>
      <c r="X158">
        <v>0</v>
      </c>
      <c r="Y158">
        <v>0</v>
      </c>
      <c r="Z158">
        <v>0</v>
      </c>
      <c r="AA158">
        <v>0</v>
      </c>
      <c r="AB158">
        <v>0</v>
      </c>
      <c r="AC158">
        <v>0</v>
      </c>
      <c r="AD158">
        <v>0</v>
      </c>
      <c r="AE158" s="143">
        <v>0</v>
      </c>
      <c r="AF158" s="143">
        <v>0</v>
      </c>
      <c r="AG158" s="143">
        <v>0</v>
      </c>
      <c r="AH158" s="143">
        <v>0</v>
      </c>
      <c r="AI158" s="995">
        <v>0</v>
      </c>
      <c r="AJ158" s="143">
        <v>0</v>
      </c>
      <c r="AK158" s="143">
        <v>0</v>
      </c>
      <c r="AL158" s="143">
        <v>0</v>
      </c>
      <c r="AM158" s="143">
        <v>0</v>
      </c>
      <c r="AN158" s="143">
        <v>0</v>
      </c>
      <c r="AO158" s="143">
        <v>0</v>
      </c>
      <c r="AP158" s="143">
        <v>0</v>
      </c>
      <c r="AQ158" s="143">
        <v>0</v>
      </c>
      <c r="AR158" s="143">
        <v>0</v>
      </c>
      <c r="AS158" s="143">
        <v>0</v>
      </c>
      <c r="AT158" s="143">
        <v>0</v>
      </c>
      <c r="AU158" s="143">
        <v>0</v>
      </c>
      <c r="AV158" s="143">
        <v>0</v>
      </c>
      <c r="AW158" s="143">
        <v>0</v>
      </c>
      <c r="AX158" s="143">
        <v>0</v>
      </c>
      <c r="AY158" s="143">
        <v>0</v>
      </c>
      <c r="AZ158" s="143">
        <v>0</v>
      </c>
      <c r="BA158" s="143">
        <v>0</v>
      </c>
      <c r="BB158" s="143">
        <v>0</v>
      </c>
      <c r="BC158" s="143">
        <v>0</v>
      </c>
      <c r="BD158" s="143">
        <v>0</v>
      </c>
      <c r="BE158" s="143">
        <v>0</v>
      </c>
      <c r="BF158" s="143">
        <v>0</v>
      </c>
      <c r="BG158" s="143">
        <v>0</v>
      </c>
      <c r="BH158" s="143">
        <v>0</v>
      </c>
      <c r="BI158" s="143">
        <v>0</v>
      </c>
      <c r="BJ158" s="995">
        <v>0</v>
      </c>
      <c r="BK158" s="143">
        <v>0</v>
      </c>
      <c r="BL158" s="143">
        <v>0</v>
      </c>
      <c r="BM158" s="143">
        <v>0</v>
      </c>
      <c r="BN158" s="143">
        <v>0</v>
      </c>
      <c r="BO158" s="143">
        <v>0</v>
      </c>
      <c r="BP158" s="143">
        <v>0</v>
      </c>
      <c r="BQ158" s="143">
        <v>0</v>
      </c>
      <c r="BR158" s="143">
        <v>0</v>
      </c>
      <c r="BS158" s="143">
        <v>0</v>
      </c>
      <c r="BT158" s="143">
        <v>0</v>
      </c>
      <c r="BU158" s="143">
        <v>0</v>
      </c>
      <c r="BV158" s="143">
        <v>0</v>
      </c>
      <c r="BW158" s="143">
        <v>0</v>
      </c>
      <c r="BX158" s="143">
        <v>0</v>
      </c>
      <c r="BY158" s="143">
        <v>0</v>
      </c>
      <c r="BZ158" s="995">
        <v>0</v>
      </c>
      <c r="CA158" s="143">
        <v>0</v>
      </c>
      <c r="CB158" s="143">
        <v>0</v>
      </c>
      <c r="CC158" s="143">
        <v>0</v>
      </c>
      <c r="CD158" s="143">
        <v>0</v>
      </c>
      <c r="CE158" s="143">
        <v>0</v>
      </c>
      <c r="CF158" s="143">
        <v>0</v>
      </c>
      <c r="CG158" s="143">
        <v>0</v>
      </c>
      <c r="CH158" s="143">
        <v>0</v>
      </c>
      <c r="CI158" s="143">
        <v>0</v>
      </c>
      <c r="CJ158" s="143">
        <v>0</v>
      </c>
      <c r="CK158" s="143">
        <v>0</v>
      </c>
      <c r="CL158" s="143">
        <v>0</v>
      </c>
      <c r="CM158" s="143">
        <v>0</v>
      </c>
      <c r="CN158" s="143">
        <v>0</v>
      </c>
      <c r="CO158" s="143">
        <v>0</v>
      </c>
      <c r="CP158" s="143">
        <v>0</v>
      </c>
      <c r="CQ158" s="143">
        <v>0</v>
      </c>
      <c r="CR158" s="143">
        <v>0</v>
      </c>
      <c r="CS158" s="143">
        <v>0</v>
      </c>
      <c r="CT158" s="143">
        <v>0</v>
      </c>
      <c r="CU158" s="143">
        <v>0</v>
      </c>
      <c r="CV158" s="143">
        <v>0</v>
      </c>
      <c r="CW158" s="14">
        <v>0</v>
      </c>
      <c r="CX158" s="14">
        <v>0</v>
      </c>
      <c r="CY158" s="14">
        <v>0</v>
      </c>
      <c r="CZ158" s="995">
        <v>0</v>
      </c>
      <c r="DA158" s="995">
        <v>0</v>
      </c>
      <c r="DB158" s="995">
        <v>0</v>
      </c>
      <c r="DC158">
        <v>0</v>
      </c>
      <c r="DD158">
        <v>0</v>
      </c>
      <c r="DE158">
        <v>0</v>
      </c>
      <c r="DF158">
        <v>0</v>
      </c>
      <c r="DG158">
        <v>0</v>
      </c>
      <c r="DH158">
        <v>0</v>
      </c>
      <c r="DI158">
        <v>0</v>
      </c>
      <c r="DJ158">
        <v>0</v>
      </c>
      <c r="DK158">
        <v>0</v>
      </c>
      <c r="DL158">
        <v>0</v>
      </c>
      <c r="DM158">
        <v>0</v>
      </c>
      <c r="DN158">
        <v>0</v>
      </c>
      <c r="DO158">
        <v>0</v>
      </c>
      <c r="DP158">
        <v>0</v>
      </c>
      <c r="DQ158">
        <v>26.75</v>
      </c>
    </row>
    <row r="159" spans="1:121" x14ac:dyDescent="0.2">
      <c r="A159" s="14">
        <v>27</v>
      </c>
      <c r="B159" s="684">
        <f t="shared" si="47"/>
        <v>5.5936734555058551E-5</v>
      </c>
      <c r="C159" s="684">
        <f t="shared" si="48"/>
        <v>5.5936734555058551E-5</v>
      </c>
      <c r="D159" s="684">
        <f t="shared" si="36"/>
        <v>1.3984183638764638E-5</v>
      </c>
      <c r="E159" s="684">
        <f t="shared" si="49"/>
        <v>2.7976845414648004</v>
      </c>
      <c r="F159" s="684">
        <f t="shared" si="50"/>
        <v>0</v>
      </c>
      <c r="G159" s="684">
        <f t="shared" si="37"/>
        <v>0</v>
      </c>
      <c r="H159" s="684">
        <f t="shared" si="38"/>
        <v>0</v>
      </c>
      <c r="I159" s="1052">
        <f>HLOOKUP('Input &amp; Summary'!$B$6,TurbineProfiles,ROW(I159)-49,0)</f>
        <v>0</v>
      </c>
      <c r="J159" s="684">
        <f t="shared" si="51"/>
        <v>0</v>
      </c>
      <c r="K159" s="9">
        <f t="shared" si="52"/>
        <v>0</v>
      </c>
      <c r="L159" s="14">
        <f t="shared" si="53"/>
        <v>39668.271120924874</v>
      </c>
      <c r="M159" s="684">
        <f t="shared" si="54"/>
        <v>12306.224621143569</v>
      </c>
      <c r="N159" s="684">
        <f t="shared" si="39"/>
        <v>2117.4921141893815</v>
      </c>
      <c r="O159" s="684">
        <f t="shared" si="40"/>
        <v>0.99991994459919376</v>
      </c>
      <c r="P159" s="684">
        <f t="shared" si="41"/>
        <v>0</v>
      </c>
      <c r="Q159" s="684">
        <f t="shared" si="45"/>
        <v>1.5202839449446337E-5</v>
      </c>
      <c r="R159" s="684">
        <f t="shared" si="46"/>
        <v>1.3999139296116958E-5</v>
      </c>
      <c r="S159" s="684">
        <f t="shared" si="42"/>
        <v>0</v>
      </c>
      <c r="T159" s="684">
        <f t="shared" si="43"/>
        <v>0</v>
      </c>
      <c r="U159" s="14">
        <f t="shared" si="44"/>
        <v>0</v>
      </c>
      <c r="V159">
        <v>0</v>
      </c>
      <c r="W159">
        <v>0</v>
      </c>
      <c r="X159">
        <v>0</v>
      </c>
      <c r="Y159">
        <v>0</v>
      </c>
      <c r="Z159">
        <v>0</v>
      </c>
      <c r="AA159">
        <v>0</v>
      </c>
      <c r="AB159">
        <v>0</v>
      </c>
      <c r="AC159">
        <v>0</v>
      </c>
      <c r="AD159">
        <v>0</v>
      </c>
      <c r="AE159" s="143">
        <v>0</v>
      </c>
      <c r="AF159" s="143">
        <v>0</v>
      </c>
      <c r="AG159" s="143">
        <v>0</v>
      </c>
      <c r="AH159" s="143">
        <v>0</v>
      </c>
      <c r="AI159" s="995">
        <v>0</v>
      </c>
      <c r="AJ159" s="143">
        <v>0</v>
      </c>
      <c r="AK159" s="143">
        <v>0</v>
      </c>
      <c r="AL159" s="143">
        <v>0</v>
      </c>
      <c r="AM159" s="143">
        <v>0</v>
      </c>
      <c r="AN159" s="143">
        <v>0</v>
      </c>
      <c r="AO159" s="143">
        <v>0</v>
      </c>
      <c r="AP159" s="143">
        <v>0</v>
      </c>
      <c r="AQ159" s="143">
        <v>0</v>
      </c>
      <c r="AR159" s="143">
        <v>0</v>
      </c>
      <c r="AS159" s="143">
        <v>0</v>
      </c>
      <c r="AT159" s="143">
        <v>0</v>
      </c>
      <c r="AU159" s="143">
        <v>0</v>
      </c>
      <c r="AV159" s="143">
        <v>0</v>
      </c>
      <c r="AW159" s="143">
        <v>0</v>
      </c>
      <c r="AX159" s="143">
        <v>0</v>
      </c>
      <c r="AY159" s="143">
        <v>0</v>
      </c>
      <c r="AZ159" s="143">
        <v>0</v>
      </c>
      <c r="BA159" s="143">
        <v>0</v>
      </c>
      <c r="BB159" s="143">
        <v>0</v>
      </c>
      <c r="BC159" s="143">
        <v>0</v>
      </c>
      <c r="BD159" s="143">
        <v>0</v>
      </c>
      <c r="BE159" s="143">
        <v>0</v>
      </c>
      <c r="BF159" s="143">
        <v>0</v>
      </c>
      <c r="BG159" s="143">
        <v>0</v>
      </c>
      <c r="BH159" s="143">
        <v>0</v>
      </c>
      <c r="BI159" s="143">
        <v>0</v>
      </c>
      <c r="BJ159" s="995">
        <v>0</v>
      </c>
      <c r="BK159" s="143">
        <v>0</v>
      </c>
      <c r="BL159" s="143">
        <v>0</v>
      </c>
      <c r="BM159" s="143">
        <v>0</v>
      </c>
      <c r="BN159" s="143">
        <v>0</v>
      </c>
      <c r="BO159" s="143">
        <v>0</v>
      </c>
      <c r="BP159" s="143">
        <v>0</v>
      </c>
      <c r="BQ159" s="143">
        <v>0</v>
      </c>
      <c r="BR159" s="143">
        <v>0</v>
      </c>
      <c r="BS159" s="143">
        <v>0</v>
      </c>
      <c r="BT159" s="143">
        <v>0</v>
      </c>
      <c r="BU159" s="143">
        <v>0</v>
      </c>
      <c r="BV159" s="143">
        <v>0</v>
      </c>
      <c r="BW159" s="143">
        <v>0</v>
      </c>
      <c r="BX159" s="143">
        <v>0</v>
      </c>
      <c r="BY159" s="143">
        <v>0</v>
      </c>
      <c r="BZ159" s="995">
        <v>0</v>
      </c>
      <c r="CA159" s="143">
        <v>0</v>
      </c>
      <c r="CB159" s="143">
        <v>0</v>
      </c>
      <c r="CC159" s="143">
        <v>0</v>
      </c>
      <c r="CD159" s="143">
        <v>0</v>
      </c>
      <c r="CE159" s="143">
        <v>0</v>
      </c>
      <c r="CF159" s="143">
        <v>0</v>
      </c>
      <c r="CG159" s="143">
        <v>0</v>
      </c>
      <c r="CH159" s="143">
        <v>0</v>
      </c>
      <c r="CI159" s="143">
        <v>0</v>
      </c>
      <c r="CJ159" s="143">
        <v>0</v>
      </c>
      <c r="CK159" s="143">
        <v>0</v>
      </c>
      <c r="CL159" s="143">
        <v>0</v>
      </c>
      <c r="CM159" s="143">
        <v>0</v>
      </c>
      <c r="CN159" s="143">
        <v>0</v>
      </c>
      <c r="CO159" s="143">
        <v>0</v>
      </c>
      <c r="CP159" s="143">
        <v>0</v>
      </c>
      <c r="CQ159" s="143">
        <v>0</v>
      </c>
      <c r="CR159" s="143">
        <v>0</v>
      </c>
      <c r="CS159" s="143">
        <v>0</v>
      </c>
      <c r="CT159" s="143">
        <v>0</v>
      </c>
      <c r="CU159" s="143">
        <v>0</v>
      </c>
      <c r="CV159" s="143">
        <v>0</v>
      </c>
      <c r="CW159" s="14">
        <v>0</v>
      </c>
      <c r="CX159" s="14">
        <v>0</v>
      </c>
      <c r="CY159" s="14">
        <v>0</v>
      </c>
      <c r="CZ159" s="995">
        <v>0</v>
      </c>
      <c r="DA159" s="995">
        <v>0</v>
      </c>
      <c r="DB159" s="995">
        <v>0</v>
      </c>
      <c r="DC159">
        <v>0</v>
      </c>
      <c r="DD159">
        <v>0</v>
      </c>
      <c r="DE159">
        <v>0</v>
      </c>
      <c r="DF159">
        <v>0</v>
      </c>
      <c r="DG159">
        <v>0</v>
      </c>
      <c r="DH159">
        <v>0</v>
      </c>
      <c r="DI159">
        <v>0</v>
      </c>
      <c r="DJ159">
        <v>0</v>
      </c>
      <c r="DK159">
        <v>0</v>
      </c>
      <c r="DL159">
        <v>0</v>
      </c>
      <c r="DM159">
        <v>0</v>
      </c>
      <c r="DN159">
        <v>0</v>
      </c>
      <c r="DO159">
        <v>0</v>
      </c>
      <c r="DP159">
        <v>0</v>
      </c>
      <c r="DQ159">
        <v>27</v>
      </c>
    </row>
    <row r="160" spans="1:121" x14ac:dyDescent="0.2">
      <c r="A160" s="14">
        <v>27.25</v>
      </c>
      <c r="B160" s="684">
        <f t="shared" si="47"/>
        <v>4.7368049032199536E-5</v>
      </c>
      <c r="C160" s="684">
        <f t="shared" si="48"/>
        <v>4.7368049032199529E-5</v>
      </c>
      <c r="D160" s="684">
        <f t="shared" si="36"/>
        <v>1.1842012258049882E-5</v>
      </c>
      <c r="E160" s="684">
        <f t="shared" si="49"/>
        <v>2.4355405148699694</v>
      </c>
      <c r="F160" s="684">
        <f t="shared" si="50"/>
        <v>0</v>
      </c>
      <c r="G160" s="684">
        <f t="shared" si="37"/>
        <v>0</v>
      </c>
      <c r="H160" s="684">
        <f t="shared" si="38"/>
        <v>0</v>
      </c>
      <c r="I160" s="1052">
        <f>HLOOKUP('Input &amp; Summary'!$B$6,TurbineProfiles,ROW(I160)-49,0)</f>
        <v>0</v>
      </c>
      <c r="J160" s="684">
        <f t="shared" si="51"/>
        <v>0</v>
      </c>
      <c r="K160" s="9">
        <f t="shared" si="52"/>
        <v>0</v>
      </c>
      <c r="L160" s="14">
        <f t="shared" si="53"/>
        <v>40780.401775533006</v>
      </c>
      <c r="M160" s="684">
        <f t="shared" si="54"/>
        <v>12457.560070735</v>
      </c>
      <c r="N160" s="684">
        <f t="shared" si="39"/>
        <v>2117.4921141893815</v>
      </c>
      <c r="O160" s="684">
        <f t="shared" si="40"/>
        <v>0.99993282985564846</v>
      </c>
      <c r="P160" s="684">
        <f t="shared" si="41"/>
        <v>0</v>
      </c>
      <c r="Q160" s="684">
        <f t="shared" si="45"/>
        <v>1.2885256454708838E-5</v>
      </c>
      <c r="R160" s="684">
        <f t="shared" si="46"/>
        <v>1.1854957191692606E-5</v>
      </c>
      <c r="S160" s="684">
        <f t="shared" si="42"/>
        <v>0</v>
      </c>
      <c r="T160" s="684">
        <f t="shared" si="43"/>
        <v>0</v>
      </c>
      <c r="U160" s="14">
        <f t="shared" si="44"/>
        <v>0</v>
      </c>
      <c r="V160">
        <v>0</v>
      </c>
      <c r="W160">
        <v>0</v>
      </c>
      <c r="X160">
        <v>0</v>
      </c>
      <c r="Y160">
        <v>0</v>
      </c>
      <c r="Z160">
        <v>0</v>
      </c>
      <c r="AA160">
        <v>0</v>
      </c>
      <c r="AB160">
        <v>0</v>
      </c>
      <c r="AC160">
        <v>0</v>
      </c>
      <c r="AD160">
        <v>0</v>
      </c>
      <c r="AE160" s="143">
        <v>0</v>
      </c>
      <c r="AF160" s="143">
        <v>0</v>
      </c>
      <c r="AG160" s="143">
        <v>0</v>
      </c>
      <c r="AH160" s="143">
        <v>0</v>
      </c>
      <c r="AI160" s="995">
        <v>0</v>
      </c>
      <c r="AJ160" s="143">
        <v>0</v>
      </c>
      <c r="AK160" s="143">
        <v>0</v>
      </c>
      <c r="AL160" s="143">
        <v>0</v>
      </c>
      <c r="AM160" s="143">
        <v>0</v>
      </c>
      <c r="AN160" s="143">
        <v>0</v>
      </c>
      <c r="AO160" s="143">
        <v>0</v>
      </c>
      <c r="AP160" s="143">
        <v>0</v>
      </c>
      <c r="AQ160" s="143">
        <v>0</v>
      </c>
      <c r="AR160" s="143">
        <v>0</v>
      </c>
      <c r="AS160" s="143">
        <v>0</v>
      </c>
      <c r="AT160" s="143">
        <v>0</v>
      </c>
      <c r="AU160" s="143">
        <v>0</v>
      </c>
      <c r="AV160" s="143">
        <v>0</v>
      </c>
      <c r="AW160" s="143">
        <v>0</v>
      </c>
      <c r="AX160" s="143">
        <v>0</v>
      </c>
      <c r="AY160" s="143">
        <v>0</v>
      </c>
      <c r="AZ160" s="143">
        <v>0</v>
      </c>
      <c r="BA160" s="143">
        <v>0</v>
      </c>
      <c r="BB160" s="143">
        <v>0</v>
      </c>
      <c r="BC160" s="143">
        <v>0</v>
      </c>
      <c r="BD160" s="143">
        <v>0</v>
      </c>
      <c r="BE160" s="143">
        <v>0</v>
      </c>
      <c r="BF160" s="143">
        <v>0</v>
      </c>
      <c r="BG160" s="143">
        <v>0</v>
      </c>
      <c r="BH160" s="143">
        <v>0</v>
      </c>
      <c r="BI160" s="143">
        <v>0</v>
      </c>
      <c r="BJ160" s="995">
        <v>0</v>
      </c>
      <c r="BK160" s="143">
        <v>0</v>
      </c>
      <c r="BL160" s="143">
        <v>0</v>
      </c>
      <c r="BM160" s="143">
        <v>0</v>
      </c>
      <c r="BN160" s="143">
        <v>0</v>
      </c>
      <c r="BO160" s="143">
        <v>0</v>
      </c>
      <c r="BP160" s="143">
        <v>0</v>
      </c>
      <c r="BQ160" s="143">
        <v>0</v>
      </c>
      <c r="BR160" s="143">
        <v>0</v>
      </c>
      <c r="BS160" s="143">
        <v>0</v>
      </c>
      <c r="BT160" s="143">
        <v>0</v>
      </c>
      <c r="BU160" s="143">
        <v>0</v>
      </c>
      <c r="BV160" s="143">
        <v>0</v>
      </c>
      <c r="BW160" s="143">
        <v>0</v>
      </c>
      <c r="BX160" s="143">
        <v>0</v>
      </c>
      <c r="BY160" s="143">
        <v>0</v>
      </c>
      <c r="BZ160" s="995">
        <v>0</v>
      </c>
      <c r="CA160" s="143">
        <v>0</v>
      </c>
      <c r="CB160" s="143">
        <v>0</v>
      </c>
      <c r="CC160" s="143">
        <v>0</v>
      </c>
      <c r="CD160" s="143">
        <v>0</v>
      </c>
      <c r="CE160" s="143">
        <v>0</v>
      </c>
      <c r="CF160" s="143">
        <v>0</v>
      </c>
      <c r="CG160" s="143">
        <v>0</v>
      </c>
      <c r="CH160" s="143">
        <v>0</v>
      </c>
      <c r="CI160" s="143">
        <v>0</v>
      </c>
      <c r="CJ160" s="143">
        <v>0</v>
      </c>
      <c r="CK160" s="143">
        <v>0</v>
      </c>
      <c r="CL160" s="143">
        <v>0</v>
      </c>
      <c r="CM160" s="143">
        <v>0</v>
      </c>
      <c r="CN160" s="143">
        <v>0</v>
      </c>
      <c r="CO160" s="143">
        <v>0</v>
      </c>
      <c r="CP160" s="143">
        <v>0</v>
      </c>
      <c r="CQ160" s="143">
        <v>0</v>
      </c>
      <c r="CR160" s="143">
        <v>0</v>
      </c>
      <c r="CS160" s="143">
        <v>0</v>
      </c>
      <c r="CT160" s="143">
        <v>0</v>
      </c>
      <c r="CU160" s="143">
        <v>0</v>
      </c>
      <c r="CV160" s="143">
        <v>0</v>
      </c>
      <c r="CW160" s="14">
        <v>0</v>
      </c>
      <c r="CX160" s="14">
        <v>0</v>
      </c>
      <c r="CY160" s="14">
        <v>0</v>
      </c>
      <c r="CZ160" s="995">
        <v>0</v>
      </c>
      <c r="DA160" s="995">
        <v>0</v>
      </c>
      <c r="DB160" s="995">
        <v>0</v>
      </c>
      <c r="DC160">
        <v>0</v>
      </c>
      <c r="DD160">
        <v>0</v>
      </c>
      <c r="DE160">
        <v>0</v>
      </c>
      <c r="DF160">
        <v>0</v>
      </c>
      <c r="DG160">
        <v>0</v>
      </c>
      <c r="DH160">
        <v>0</v>
      </c>
      <c r="DI160">
        <v>0</v>
      </c>
      <c r="DJ160">
        <v>0</v>
      </c>
      <c r="DK160">
        <v>0</v>
      </c>
      <c r="DL160">
        <v>0</v>
      </c>
      <c r="DM160">
        <v>0</v>
      </c>
      <c r="DN160">
        <v>0</v>
      </c>
      <c r="DO160">
        <v>0</v>
      </c>
      <c r="DP160">
        <v>0</v>
      </c>
      <c r="DQ160">
        <v>27.25</v>
      </c>
    </row>
    <row r="161" spans="1:121" x14ac:dyDescent="0.2">
      <c r="A161" s="14">
        <v>27.5</v>
      </c>
      <c r="B161" s="684">
        <f t="shared" si="47"/>
        <v>4.0043764058352275E-5</v>
      </c>
      <c r="C161" s="684">
        <f t="shared" si="48"/>
        <v>4.0043764058352411E-5</v>
      </c>
      <c r="D161" s="684">
        <f t="shared" si="36"/>
        <v>1.0010941014588103E-5</v>
      </c>
      <c r="E161" s="684">
        <f t="shared" si="49"/>
        <v>2.1161347365096841</v>
      </c>
      <c r="F161" s="684">
        <f t="shared" si="50"/>
        <v>0</v>
      </c>
      <c r="G161" s="684">
        <f t="shared" si="37"/>
        <v>0</v>
      </c>
      <c r="H161" s="684">
        <f t="shared" si="38"/>
        <v>0</v>
      </c>
      <c r="I161" s="1052">
        <f>HLOOKUP('Input &amp; Summary'!$B$6,TurbineProfiles,ROW(I161)-49,0)</f>
        <v>0</v>
      </c>
      <c r="J161" s="684">
        <f t="shared" si="51"/>
        <v>0</v>
      </c>
      <c r="K161" s="9">
        <f t="shared" si="52"/>
        <v>0</v>
      </c>
      <c r="L161" s="14">
        <f t="shared" si="53"/>
        <v>41913.126859116208</v>
      </c>
      <c r="M161" s="684">
        <f t="shared" si="54"/>
        <v>12608.895520326432</v>
      </c>
      <c r="N161" s="684">
        <f t="shared" si="39"/>
        <v>2117.4921141893815</v>
      </c>
      <c r="O161" s="684">
        <f t="shared" si="40"/>
        <v>0.99994373225759525</v>
      </c>
      <c r="P161" s="684">
        <f t="shared" si="41"/>
        <v>0</v>
      </c>
      <c r="Q161" s="684">
        <f t="shared" si="45"/>
        <v>1.0902401946788487E-5</v>
      </c>
      <c r="R161" s="684">
        <f t="shared" si="46"/>
        <v>1.0022123452246845E-5</v>
      </c>
      <c r="S161" s="684">
        <f t="shared" si="42"/>
        <v>0</v>
      </c>
      <c r="T161" s="684">
        <f t="shared" si="43"/>
        <v>0</v>
      </c>
      <c r="U161" s="14">
        <f t="shared" si="44"/>
        <v>0</v>
      </c>
      <c r="V161">
        <v>0</v>
      </c>
      <c r="W161">
        <v>0</v>
      </c>
      <c r="X161">
        <v>0</v>
      </c>
      <c r="Y161">
        <v>0</v>
      </c>
      <c r="Z161">
        <v>0</v>
      </c>
      <c r="AA161">
        <v>0</v>
      </c>
      <c r="AB161">
        <v>0</v>
      </c>
      <c r="AC161">
        <v>0</v>
      </c>
      <c r="AD161">
        <v>0</v>
      </c>
      <c r="AE161" s="143">
        <v>0</v>
      </c>
      <c r="AF161" s="143">
        <v>0</v>
      </c>
      <c r="AG161" s="143">
        <v>0</v>
      </c>
      <c r="AH161" s="143">
        <v>0</v>
      </c>
      <c r="AI161" s="995">
        <v>0</v>
      </c>
      <c r="AJ161" s="143">
        <v>0</v>
      </c>
      <c r="AK161" s="143">
        <v>0</v>
      </c>
      <c r="AL161" s="143">
        <v>0</v>
      </c>
      <c r="AM161" s="143">
        <v>0</v>
      </c>
      <c r="AN161" s="143">
        <v>0</v>
      </c>
      <c r="AO161" s="143">
        <v>0</v>
      </c>
      <c r="AP161" s="143">
        <v>0</v>
      </c>
      <c r="AQ161" s="143">
        <v>0</v>
      </c>
      <c r="AR161" s="143">
        <v>0</v>
      </c>
      <c r="AS161" s="143">
        <v>0</v>
      </c>
      <c r="AT161" s="143">
        <v>0</v>
      </c>
      <c r="AU161" s="143">
        <v>0</v>
      </c>
      <c r="AV161" s="143">
        <v>0</v>
      </c>
      <c r="AW161" s="143">
        <v>0</v>
      </c>
      <c r="AX161" s="143">
        <v>0</v>
      </c>
      <c r="AY161" s="143">
        <v>0</v>
      </c>
      <c r="AZ161" s="143">
        <v>0</v>
      </c>
      <c r="BA161" s="143">
        <v>0</v>
      </c>
      <c r="BB161" s="143">
        <v>0</v>
      </c>
      <c r="BC161" s="143">
        <v>0</v>
      </c>
      <c r="BD161" s="143">
        <v>0</v>
      </c>
      <c r="BE161" s="143">
        <v>0</v>
      </c>
      <c r="BF161" s="143">
        <v>0</v>
      </c>
      <c r="BG161" s="143">
        <v>0</v>
      </c>
      <c r="BH161" s="143">
        <v>0</v>
      </c>
      <c r="BI161" s="143">
        <v>0</v>
      </c>
      <c r="BJ161" s="995">
        <v>0</v>
      </c>
      <c r="BK161" s="143">
        <v>0</v>
      </c>
      <c r="BL161" s="143">
        <v>0</v>
      </c>
      <c r="BM161" s="143">
        <v>0</v>
      </c>
      <c r="BN161" s="143">
        <v>0</v>
      </c>
      <c r="BO161" s="143">
        <v>0</v>
      </c>
      <c r="BP161" s="143">
        <v>0</v>
      </c>
      <c r="BQ161" s="143">
        <v>0</v>
      </c>
      <c r="BR161" s="143">
        <v>0</v>
      </c>
      <c r="BS161" s="143">
        <v>0</v>
      </c>
      <c r="BT161" s="143">
        <v>0</v>
      </c>
      <c r="BU161" s="143">
        <v>0</v>
      </c>
      <c r="BV161" s="143">
        <v>0</v>
      </c>
      <c r="BW161" s="143">
        <v>0</v>
      </c>
      <c r="BX161" s="143">
        <v>0</v>
      </c>
      <c r="BY161" s="143">
        <v>0</v>
      </c>
      <c r="BZ161" s="995">
        <v>0</v>
      </c>
      <c r="CA161" s="143">
        <v>0</v>
      </c>
      <c r="CB161" s="143">
        <v>0</v>
      </c>
      <c r="CC161" s="143">
        <v>0</v>
      </c>
      <c r="CD161" s="143">
        <v>0</v>
      </c>
      <c r="CE161" s="143">
        <v>0</v>
      </c>
      <c r="CF161" s="143">
        <v>0</v>
      </c>
      <c r="CG161" s="143">
        <v>0</v>
      </c>
      <c r="CH161" s="143">
        <v>0</v>
      </c>
      <c r="CI161" s="143">
        <v>0</v>
      </c>
      <c r="CJ161" s="143">
        <v>0</v>
      </c>
      <c r="CK161" s="143">
        <v>0</v>
      </c>
      <c r="CL161" s="143">
        <v>0</v>
      </c>
      <c r="CM161" s="143">
        <v>0</v>
      </c>
      <c r="CN161" s="143">
        <v>0</v>
      </c>
      <c r="CO161" s="143">
        <v>0</v>
      </c>
      <c r="CP161" s="143">
        <v>0</v>
      </c>
      <c r="CQ161" s="143">
        <v>0</v>
      </c>
      <c r="CR161" s="143">
        <v>0</v>
      </c>
      <c r="CS161" s="143">
        <v>0</v>
      </c>
      <c r="CT161" s="143">
        <v>0</v>
      </c>
      <c r="CU161" s="143">
        <v>0</v>
      </c>
      <c r="CV161" s="143">
        <v>0</v>
      </c>
      <c r="CW161" s="14">
        <v>0</v>
      </c>
      <c r="CX161" s="14">
        <v>0</v>
      </c>
      <c r="CY161" s="14">
        <v>0</v>
      </c>
      <c r="CZ161" s="995">
        <v>0</v>
      </c>
      <c r="DA161" s="995">
        <v>0</v>
      </c>
      <c r="DB161" s="995">
        <v>0</v>
      </c>
      <c r="DC161">
        <v>0</v>
      </c>
      <c r="DD161">
        <v>0</v>
      </c>
      <c r="DE161">
        <v>0</v>
      </c>
      <c r="DF161">
        <v>0</v>
      </c>
      <c r="DG161">
        <v>0</v>
      </c>
      <c r="DH161">
        <v>0</v>
      </c>
      <c r="DI161">
        <v>0</v>
      </c>
      <c r="DJ161">
        <v>0</v>
      </c>
      <c r="DK161">
        <v>0</v>
      </c>
      <c r="DL161">
        <v>0</v>
      </c>
      <c r="DM161">
        <v>0</v>
      </c>
      <c r="DN161">
        <v>0</v>
      </c>
      <c r="DO161">
        <v>0</v>
      </c>
      <c r="DP161">
        <v>0</v>
      </c>
      <c r="DQ161">
        <v>27.5</v>
      </c>
    </row>
    <row r="162" spans="1:121" x14ac:dyDescent="0.2">
      <c r="A162" s="14">
        <v>27.75</v>
      </c>
      <c r="B162" s="684">
        <f t="shared" si="47"/>
        <v>3.3794494914123845E-5</v>
      </c>
      <c r="C162" s="684">
        <f t="shared" si="48"/>
        <v>3.3794494914123845E-5</v>
      </c>
      <c r="D162" s="684">
        <f t="shared" si="36"/>
        <v>8.4486237285309613E-6</v>
      </c>
      <c r="E162" s="684">
        <f t="shared" si="49"/>
        <v>1.8350388501171859</v>
      </c>
      <c r="F162" s="684">
        <f t="shared" si="50"/>
        <v>0</v>
      </c>
      <c r="G162" s="684">
        <f t="shared" si="37"/>
        <v>0</v>
      </c>
      <c r="H162" s="684">
        <f t="shared" si="38"/>
        <v>0</v>
      </c>
      <c r="I162" s="1052">
        <f>HLOOKUP('Input &amp; Summary'!$B$6,TurbineProfiles,ROW(I162)-49,0)</f>
        <v>0</v>
      </c>
      <c r="J162" s="684">
        <f t="shared" si="51"/>
        <v>0</v>
      </c>
      <c r="K162" s="9">
        <f t="shared" si="52"/>
        <v>0</v>
      </c>
      <c r="L162" s="14">
        <f t="shared" si="53"/>
        <v>43066.635311389902</v>
      </c>
      <c r="M162" s="684">
        <f t="shared" si="54"/>
        <v>12760.230969917866</v>
      </c>
      <c r="N162" s="684">
        <f t="shared" si="39"/>
        <v>2117.4921141893815</v>
      </c>
      <c r="O162" s="684">
        <f t="shared" si="40"/>
        <v>0.99995294126342915</v>
      </c>
      <c r="P162" s="684">
        <f t="shared" si="41"/>
        <v>0</v>
      </c>
      <c r="Q162" s="684">
        <f t="shared" si="45"/>
        <v>9.2090058338989422E-6</v>
      </c>
      <c r="R162" s="684">
        <f t="shared" si="46"/>
        <v>8.4582646678876827E-6</v>
      </c>
      <c r="S162" s="684">
        <f t="shared" si="42"/>
        <v>0</v>
      </c>
      <c r="T162" s="684">
        <f t="shared" si="43"/>
        <v>0</v>
      </c>
      <c r="U162" s="14">
        <f t="shared" si="44"/>
        <v>0</v>
      </c>
      <c r="V162">
        <v>0</v>
      </c>
      <c r="W162">
        <v>0</v>
      </c>
      <c r="X162">
        <v>0</v>
      </c>
      <c r="Y162">
        <v>0</v>
      </c>
      <c r="Z162">
        <v>0</v>
      </c>
      <c r="AA162">
        <v>0</v>
      </c>
      <c r="AB162">
        <v>0</v>
      </c>
      <c r="AC162">
        <v>0</v>
      </c>
      <c r="AD162">
        <v>0</v>
      </c>
      <c r="AE162" s="143">
        <v>0</v>
      </c>
      <c r="AF162" s="143">
        <v>0</v>
      </c>
      <c r="AG162" s="143">
        <v>0</v>
      </c>
      <c r="AH162" s="143">
        <v>0</v>
      </c>
      <c r="AI162" s="995">
        <v>0</v>
      </c>
      <c r="AJ162" s="143">
        <v>0</v>
      </c>
      <c r="AK162" s="143">
        <v>0</v>
      </c>
      <c r="AL162" s="143">
        <v>0</v>
      </c>
      <c r="AM162" s="143">
        <v>0</v>
      </c>
      <c r="AN162" s="143">
        <v>0</v>
      </c>
      <c r="AO162" s="143">
        <v>0</v>
      </c>
      <c r="AP162" s="143">
        <v>0</v>
      </c>
      <c r="AQ162" s="143">
        <v>0</v>
      </c>
      <c r="AR162" s="143">
        <v>0</v>
      </c>
      <c r="AS162" s="143">
        <v>0</v>
      </c>
      <c r="AT162" s="143">
        <v>0</v>
      </c>
      <c r="AU162" s="143">
        <v>0</v>
      </c>
      <c r="AV162" s="143">
        <v>0</v>
      </c>
      <c r="AW162" s="143">
        <v>0</v>
      </c>
      <c r="AX162" s="143">
        <v>0</v>
      </c>
      <c r="AY162" s="143">
        <v>0</v>
      </c>
      <c r="AZ162" s="143">
        <v>0</v>
      </c>
      <c r="BA162" s="143">
        <v>0</v>
      </c>
      <c r="BB162" s="143">
        <v>0</v>
      </c>
      <c r="BC162" s="143">
        <v>0</v>
      </c>
      <c r="BD162" s="143">
        <v>0</v>
      </c>
      <c r="BE162" s="143">
        <v>0</v>
      </c>
      <c r="BF162" s="143">
        <v>0</v>
      </c>
      <c r="BG162" s="143">
        <v>0</v>
      </c>
      <c r="BH162" s="143">
        <v>0</v>
      </c>
      <c r="BI162" s="143">
        <v>0</v>
      </c>
      <c r="BJ162" s="995">
        <v>0</v>
      </c>
      <c r="BK162" s="143">
        <v>0</v>
      </c>
      <c r="BL162" s="143">
        <v>0</v>
      </c>
      <c r="BM162" s="143">
        <v>0</v>
      </c>
      <c r="BN162" s="143">
        <v>0</v>
      </c>
      <c r="BO162" s="143">
        <v>0</v>
      </c>
      <c r="BP162" s="143">
        <v>0</v>
      </c>
      <c r="BQ162" s="143">
        <v>0</v>
      </c>
      <c r="BR162" s="143">
        <v>0</v>
      </c>
      <c r="BS162" s="143">
        <v>0</v>
      </c>
      <c r="BT162" s="143">
        <v>0</v>
      </c>
      <c r="BU162" s="143">
        <v>0</v>
      </c>
      <c r="BV162" s="143">
        <v>0</v>
      </c>
      <c r="BW162" s="143">
        <v>0</v>
      </c>
      <c r="BX162" s="143">
        <v>0</v>
      </c>
      <c r="BY162" s="143">
        <v>0</v>
      </c>
      <c r="BZ162" s="995">
        <v>0</v>
      </c>
      <c r="CA162" s="143">
        <v>0</v>
      </c>
      <c r="CB162" s="143">
        <v>0</v>
      </c>
      <c r="CC162" s="143">
        <v>0</v>
      </c>
      <c r="CD162" s="143">
        <v>0</v>
      </c>
      <c r="CE162" s="143">
        <v>0</v>
      </c>
      <c r="CF162" s="143">
        <v>0</v>
      </c>
      <c r="CG162" s="143">
        <v>0</v>
      </c>
      <c r="CH162" s="143">
        <v>0</v>
      </c>
      <c r="CI162" s="143">
        <v>0</v>
      </c>
      <c r="CJ162" s="143">
        <v>0</v>
      </c>
      <c r="CK162" s="143">
        <v>0</v>
      </c>
      <c r="CL162" s="143">
        <v>0</v>
      </c>
      <c r="CM162" s="143">
        <v>0</v>
      </c>
      <c r="CN162" s="143">
        <v>0</v>
      </c>
      <c r="CO162" s="143">
        <v>0</v>
      </c>
      <c r="CP162" s="143">
        <v>0</v>
      </c>
      <c r="CQ162" s="143">
        <v>0</v>
      </c>
      <c r="CR162" s="143">
        <v>0</v>
      </c>
      <c r="CS162" s="143">
        <v>0</v>
      </c>
      <c r="CT162" s="143">
        <v>0</v>
      </c>
      <c r="CU162" s="143">
        <v>0</v>
      </c>
      <c r="CV162" s="143">
        <v>0</v>
      </c>
      <c r="CW162" s="14">
        <v>0</v>
      </c>
      <c r="CX162" s="14">
        <v>0</v>
      </c>
      <c r="CY162" s="14">
        <v>0</v>
      </c>
      <c r="CZ162" s="995">
        <v>0</v>
      </c>
      <c r="DA162" s="995">
        <v>0</v>
      </c>
      <c r="DB162" s="995">
        <v>0</v>
      </c>
      <c r="DC162">
        <v>0</v>
      </c>
      <c r="DD162">
        <v>0</v>
      </c>
      <c r="DE162">
        <v>0</v>
      </c>
      <c r="DF162">
        <v>0</v>
      </c>
      <c r="DG162">
        <v>0</v>
      </c>
      <c r="DH162">
        <v>0</v>
      </c>
      <c r="DI162">
        <v>0</v>
      </c>
      <c r="DJ162">
        <v>0</v>
      </c>
      <c r="DK162">
        <v>0</v>
      </c>
      <c r="DL162">
        <v>0</v>
      </c>
      <c r="DM162">
        <v>0</v>
      </c>
      <c r="DN162">
        <v>0</v>
      </c>
      <c r="DO162">
        <v>0</v>
      </c>
      <c r="DP162">
        <v>0</v>
      </c>
      <c r="DQ162">
        <v>27.75</v>
      </c>
    </row>
    <row r="163" spans="1:121" x14ac:dyDescent="0.2">
      <c r="A163" s="14">
        <v>28</v>
      </c>
      <c r="B163" s="684">
        <f t="shared" si="47"/>
        <v>2.8472089482018845E-5</v>
      </c>
      <c r="C163" s="684">
        <f t="shared" si="48"/>
        <v>2.8472089482018791E-5</v>
      </c>
      <c r="D163" s="684">
        <f t="shared" si="36"/>
        <v>7.1180223705046977E-6</v>
      </c>
      <c r="E163" s="684">
        <f t="shared" si="49"/>
        <v>1.5881948187087043</v>
      </c>
      <c r="F163" s="684">
        <f t="shared" si="50"/>
        <v>0</v>
      </c>
      <c r="G163" s="684">
        <f t="shared" si="37"/>
        <v>0</v>
      </c>
      <c r="H163" s="684">
        <f t="shared" si="38"/>
        <v>0</v>
      </c>
      <c r="I163" s="1052">
        <f>HLOOKUP('Input &amp; Summary'!$B$6,TurbineProfiles,ROW(I163)-49,0)</f>
        <v>0</v>
      </c>
      <c r="J163" s="684">
        <f t="shared" si="51"/>
        <v>0</v>
      </c>
      <c r="K163" s="9">
        <f t="shared" si="52"/>
        <v>0</v>
      </c>
      <c r="L163" s="14">
        <f t="shared" si="53"/>
        <v>44241.116072069439</v>
      </c>
      <c r="M163" s="684">
        <f t="shared" si="54"/>
        <v>12911.566419509298</v>
      </c>
      <c r="N163" s="684">
        <f t="shared" si="39"/>
        <v>2117.4921141893815</v>
      </c>
      <c r="O163" s="684">
        <f t="shared" si="40"/>
        <v>0.9999607066913937</v>
      </c>
      <c r="P163" s="684">
        <f t="shared" si="41"/>
        <v>0</v>
      </c>
      <c r="Q163" s="684">
        <f t="shared" si="45"/>
        <v>7.7654279645456015E-6</v>
      </c>
      <c r="R163" s="684">
        <f t="shared" si="46"/>
        <v>7.1263180533298609E-6</v>
      </c>
      <c r="S163" s="684">
        <f t="shared" si="42"/>
        <v>0</v>
      </c>
      <c r="T163" s="684">
        <f t="shared" si="43"/>
        <v>0</v>
      </c>
      <c r="U163" s="14">
        <f t="shared" si="44"/>
        <v>0</v>
      </c>
      <c r="V163">
        <v>0</v>
      </c>
      <c r="W163">
        <v>0</v>
      </c>
      <c r="X163">
        <v>0</v>
      </c>
      <c r="Y163">
        <v>0</v>
      </c>
      <c r="Z163">
        <v>0</v>
      </c>
      <c r="AA163">
        <v>0</v>
      </c>
      <c r="AB163">
        <v>0</v>
      </c>
      <c r="AC163">
        <v>0</v>
      </c>
      <c r="AD163">
        <v>0</v>
      </c>
      <c r="AE163" s="143">
        <v>0</v>
      </c>
      <c r="AF163" s="143">
        <v>0</v>
      </c>
      <c r="AG163" s="143">
        <v>0</v>
      </c>
      <c r="AH163" s="143">
        <v>0</v>
      </c>
      <c r="AI163" s="995">
        <v>0</v>
      </c>
      <c r="AJ163" s="143">
        <v>0</v>
      </c>
      <c r="AK163" s="143">
        <v>0</v>
      </c>
      <c r="AL163" s="143">
        <v>0</v>
      </c>
      <c r="AM163" s="143">
        <v>0</v>
      </c>
      <c r="AN163" s="143">
        <v>0</v>
      </c>
      <c r="AO163" s="143">
        <v>0</v>
      </c>
      <c r="AP163" s="143">
        <v>0</v>
      </c>
      <c r="AQ163" s="143">
        <v>0</v>
      </c>
      <c r="AR163" s="143">
        <v>0</v>
      </c>
      <c r="AS163" s="143">
        <v>0</v>
      </c>
      <c r="AT163" s="143">
        <v>0</v>
      </c>
      <c r="AU163" s="143">
        <v>0</v>
      </c>
      <c r="AV163" s="143">
        <v>0</v>
      </c>
      <c r="AW163" s="143">
        <v>0</v>
      </c>
      <c r="AX163" s="143">
        <v>0</v>
      </c>
      <c r="AY163" s="143">
        <v>0</v>
      </c>
      <c r="AZ163" s="143">
        <v>0</v>
      </c>
      <c r="BA163" s="143">
        <v>0</v>
      </c>
      <c r="BB163" s="143">
        <v>0</v>
      </c>
      <c r="BC163" s="143">
        <v>0</v>
      </c>
      <c r="BD163" s="143">
        <v>0</v>
      </c>
      <c r="BE163" s="143">
        <v>0</v>
      </c>
      <c r="BF163" s="143">
        <v>0</v>
      </c>
      <c r="BG163" s="143">
        <v>0</v>
      </c>
      <c r="BH163" s="143">
        <v>0</v>
      </c>
      <c r="BI163" s="143">
        <v>0</v>
      </c>
      <c r="BJ163" s="995">
        <v>0</v>
      </c>
      <c r="BK163" s="143">
        <v>0</v>
      </c>
      <c r="BL163" s="143">
        <v>0</v>
      </c>
      <c r="BM163" s="143">
        <v>0</v>
      </c>
      <c r="BN163" s="143">
        <v>0</v>
      </c>
      <c r="BO163" s="143">
        <v>0</v>
      </c>
      <c r="BP163" s="143">
        <v>0</v>
      </c>
      <c r="BQ163" s="143">
        <v>0</v>
      </c>
      <c r="BR163" s="143">
        <v>0</v>
      </c>
      <c r="BS163" s="143">
        <v>0</v>
      </c>
      <c r="BT163" s="143">
        <v>0</v>
      </c>
      <c r="BU163" s="143">
        <v>0</v>
      </c>
      <c r="BV163" s="143">
        <v>0</v>
      </c>
      <c r="BW163" s="143">
        <v>0</v>
      </c>
      <c r="BX163" s="143">
        <v>0</v>
      </c>
      <c r="BY163" s="143">
        <v>0</v>
      </c>
      <c r="BZ163" s="995">
        <v>0</v>
      </c>
      <c r="CA163" s="143">
        <v>0</v>
      </c>
      <c r="CB163" s="143">
        <v>0</v>
      </c>
      <c r="CC163" s="143">
        <v>0</v>
      </c>
      <c r="CD163" s="143">
        <v>0</v>
      </c>
      <c r="CE163" s="143">
        <v>0</v>
      </c>
      <c r="CF163" s="143">
        <v>0</v>
      </c>
      <c r="CG163" s="143">
        <v>0</v>
      </c>
      <c r="CH163" s="143">
        <v>0</v>
      </c>
      <c r="CI163" s="143">
        <v>0</v>
      </c>
      <c r="CJ163" s="143">
        <v>0</v>
      </c>
      <c r="CK163" s="143">
        <v>0</v>
      </c>
      <c r="CL163" s="143">
        <v>0</v>
      </c>
      <c r="CM163" s="143">
        <v>0</v>
      </c>
      <c r="CN163" s="143">
        <v>0</v>
      </c>
      <c r="CO163" s="143">
        <v>0</v>
      </c>
      <c r="CP163" s="143">
        <v>0</v>
      </c>
      <c r="CQ163" s="143">
        <v>0</v>
      </c>
      <c r="CR163" s="143">
        <v>0</v>
      </c>
      <c r="CS163" s="143">
        <v>0</v>
      </c>
      <c r="CT163" s="143">
        <v>0</v>
      </c>
      <c r="CU163" s="143">
        <v>0</v>
      </c>
      <c r="CV163" s="143">
        <v>0</v>
      </c>
      <c r="CW163" s="14">
        <v>0</v>
      </c>
      <c r="CX163" s="14">
        <v>0</v>
      </c>
      <c r="CY163" s="14">
        <v>0</v>
      </c>
      <c r="CZ163" s="995">
        <v>0</v>
      </c>
      <c r="DA163" s="995">
        <v>0</v>
      </c>
      <c r="DB163" s="995">
        <v>0</v>
      </c>
      <c r="DC163">
        <v>0</v>
      </c>
      <c r="DD163">
        <v>0</v>
      </c>
      <c r="DE163">
        <v>0</v>
      </c>
      <c r="DF163">
        <v>0</v>
      </c>
      <c r="DG163">
        <v>0</v>
      </c>
      <c r="DH163">
        <v>0</v>
      </c>
      <c r="DI163">
        <v>0</v>
      </c>
      <c r="DJ163">
        <v>0</v>
      </c>
      <c r="DK163">
        <v>0</v>
      </c>
      <c r="DL163">
        <v>0</v>
      </c>
      <c r="DM163">
        <v>0</v>
      </c>
      <c r="DN163">
        <v>0</v>
      </c>
      <c r="DO163">
        <v>0</v>
      </c>
      <c r="DP163">
        <v>0</v>
      </c>
      <c r="DQ163">
        <v>28</v>
      </c>
    </row>
    <row r="164" spans="1:121" x14ac:dyDescent="0.2">
      <c r="A164" s="14">
        <v>28.25</v>
      </c>
      <c r="B164" s="684">
        <f t="shared" si="47"/>
        <v>2.3947250674932041E-5</v>
      </c>
      <c r="C164" s="684">
        <f t="shared" si="48"/>
        <v>2.3947250674932041E-5</v>
      </c>
      <c r="D164" s="684">
        <f t="shared" si="36"/>
        <v>5.9868126687330103E-6</v>
      </c>
      <c r="E164" s="684">
        <f t="shared" si="49"/>
        <v>1.3718965303310862</v>
      </c>
      <c r="F164" s="684">
        <f t="shared" si="50"/>
        <v>0</v>
      </c>
      <c r="G164" s="684">
        <f t="shared" si="37"/>
        <v>0</v>
      </c>
      <c r="H164" s="684">
        <f t="shared" si="38"/>
        <v>0</v>
      </c>
      <c r="I164" s="1052">
        <f>HLOOKUP('Input &amp; Summary'!$B$6,TurbineProfiles,ROW(I164)-49,0)</f>
        <v>0</v>
      </c>
      <c r="J164" s="684">
        <f t="shared" si="51"/>
        <v>0</v>
      </c>
      <c r="K164" s="9">
        <f t="shared" si="52"/>
        <v>0</v>
      </c>
      <c r="L164" s="14">
        <f t="shared" si="53"/>
        <v>45436.75808087019</v>
      </c>
      <c r="M164" s="684">
        <f t="shared" si="54"/>
        <v>13062.90186910073</v>
      </c>
      <c r="N164" s="684">
        <f t="shared" si="39"/>
        <v>2117.4921141893815</v>
      </c>
      <c r="O164" s="684">
        <f t="shared" si="40"/>
        <v>0.99996724372573376</v>
      </c>
      <c r="P164" s="684">
        <f t="shared" si="41"/>
        <v>0</v>
      </c>
      <c r="Q164" s="684">
        <f t="shared" si="45"/>
        <v>6.5370343400594777E-6</v>
      </c>
      <c r="R164" s="684">
        <f t="shared" si="46"/>
        <v>5.9939369069228476E-6</v>
      </c>
      <c r="S164" s="684">
        <f t="shared" si="42"/>
        <v>0</v>
      </c>
      <c r="T164" s="684">
        <f t="shared" si="43"/>
        <v>0</v>
      </c>
      <c r="U164" s="14">
        <f t="shared" si="44"/>
        <v>0</v>
      </c>
      <c r="V164">
        <v>0</v>
      </c>
      <c r="W164">
        <v>0</v>
      </c>
      <c r="X164">
        <v>0</v>
      </c>
      <c r="Y164">
        <v>0</v>
      </c>
      <c r="Z164">
        <v>0</v>
      </c>
      <c r="AA164">
        <v>0</v>
      </c>
      <c r="AB164">
        <v>0</v>
      </c>
      <c r="AC164">
        <v>0</v>
      </c>
      <c r="AD164">
        <v>0</v>
      </c>
      <c r="AE164" s="143">
        <v>0</v>
      </c>
      <c r="AF164" s="143">
        <v>0</v>
      </c>
      <c r="AG164" s="143">
        <v>0</v>
      </c>
      <c r="AH164" s="143">
        <v>0</v>
      </c>
      <c r="AI164" s="995">
        <v>0</v>
      </c>
      <c r="AJ164" s="143">
        <v>0</v>
      </c>
      <c r="AK164" s="143">
        <v>0</v>
      </c>
      <c r="AL164" s="143">
        <v>0</v>
      </c>
      <c r="AM164" s="143">
        <v>0</v>
      </c>
      <c r="AN164" s="143">
        <v>0</v>
      </c>
      <c r="AO164" s="143">
        <v>0</v>
      </c>
      <c r="AP164" s="143">
        <v>0</v>
      </c>
      <c r="AQ164" s="143">
        <v>0</v>
      </c>
      <c r="AR164" s="143">
        <v>0</v>
      </c>
      <c r="AS164" s="143">
        <v>0</v>
      </c>
      <c r="AT164" s="143">
        <v>0</v>
      </c>
      <c r="AU164" s="143">
        <v>0</v>
      </c>
      <c r="AV164" s="143">
        <v>0</v>
      </c>
      <c r="AW164" s="143">
        <v>0</v>
      </c>
      <c r="AX164" s="143">
        <v>0</v>
      </c>
      <c r="AY164" s="143">
        <v>0</v>
      </c>
      <c r="AZ164" s="143">
        <v>0</v>
      </c>
      <c r="BA164" s="143">
        <v>0</v>
      </c>
      <c r="BB164" s="143">
        <v>0</v>
      </c>
      <c r="BC164" s="143">
        <v>0</v>
      </c>
      <c r="BD164" s="143">
        <v>0</v>
      </c>
      <c r="BE164" s="143">
        <v>0</v>
      </c>
      <c r="BF164" s="143">
        <v>0</v>
      </c>
      <c r="BG164" s="143">
        <v>0</v>
      </c>
      <c r="BH164" s="143">
        <v>0</v>
      </c>
      <c r="BI164" s="143">
        <v>0</v>
      </c>
      <c r="BJ164" s="995">
        <v>0</v>
      </c>
      <c r="BK164" s="143">
        <v>0</v>
      </c>
      <c r="BL164" s="143">
        <v>0</v>
      </c>
      <c r="BM164" s="143">
        <v>0</v>
      </c>
      <c r="BN164" s="143">
        <v>0</v>
      </c>
      <c r="BO164" s="143">
        <v>0</v>
      </c>
      <c r="BP164" s="143">
        <v>0</v>
      </c>
      <c r="BQ164" s="143">
        <v>0</v>
      </c>
      <c r="BR164" s="143">
        <v>0</v>
      </c>
      <c r="BS164" s="143">
        <v>0</v>
      </c>
      <c r="BT164" s="143">
        <v>0</v>
      </c>
      <c r="BU164" s="143">
        <v>0</v>
      </c>
      <c r="BV164" s="143">
        <v>0</v>
      </c>
      <c r="BW164" s="143">
        <v>0</v>
      </c>
      <c r="BX164" s="143">
        <v>0</v>
      </c>
      <c r="BY164" s="143">
        <v>0</v>
      </c>
      <c r="BZ164" s="995">
        <v>0</v>
      </c>
      <c r="CA164" s="143">
        <v>0</v>
      </c>
      <c r="CB164" s="143">
        <v>0</v>
      </c>
      <c r="CC164" s="143">
        <v>0</v>
      </c>
      <c r="CD164" s="143">
        <v>0</v>
      </c>
      <c r="CE164" s="143">
        <v>0</v>
      </c>
      <c r="CF164" s="143">
        <v>0</v>
      </c>
      <c r="CG164" s="143">
        <v>0</v>
      </c>
      <c r="CH164" s="143">
        <v>0</v>
      </c>
      <c r="CI164" s="143">
        <v>0</v>
      </c>
      <c r="CJ164" s="143">
        <v>0</v>
      </c>
      <c r="CK164" s="143">
        <v>0</v>
      </c>
      <c r="CL164" s="143">
        <v>0</v>
      </c>
      <c r="CM164" s="143">
        <v>0</v>
      </c>
      <c r="CN164" s="143">
        <v>0</v>
      </c>
      <c r="CO164" s="143">
        <v>0</v>
      </c>
      <c r="CP164" s="143">
        <v>0</v>
      </c>
      <c r="CQ164" s="143">
        <v>0</v>
      </c>
      <c r="CR164" s="143">
        <v>0</v>
      </c>
      <c r="CS164" s="143">
        <v>0</v>
      </c>
      <c r="CT164" s="143">
        <v>0</v>
      </c>
      <c r="CU164" s="143">
        <v>0</v>
      </c>
      <c r="CV164" s="143">
        <v>0</v>
      </c>
      <c r="CW164" s="14">
        <v>0</v>
      </c>
      <c r="CX164" s="14">
        <v>0</v>
      </c>
      <c r="CY164" s="14">
        <v>0</v>
      </c>
      <c r="CZ164" s="995">
        <v>0</v>
      </c>
      <c r="DA164" s="995">
        <v>0</v>
      </c>
      <c r="DB164" s="995">
        <v>0</v>
      </c>
      <c r="DC164">
        <v>0</v>
      </c>
      <c r="DD164">
        <v>0</v>
      </c>
      <c r="DE164">
        <v>0</v>
      </c>
      <c r="DF164">
        <v>0</v>
      </c>
      <c r="DG164">
        <v>0</v>
      </c>
      <c r="DH164">
        <v>0</v>
      </c>
      <c r="DI164">
        <v>0</v>
      </c>
      <c r="DJ164">
        <v>0</v>
      </c>
      <c r="DK164">
        <v>0</v>
      </c>
      <c r="DL164">
        <v>0</v>
      </c>
      <c r="DM164">
        <v>0</v>
      </c>
      <c r="DN164">
        <v>0</v>
      </c>
      <c r="DO164">
        <v>0</v>
      </c>
      <c r="DP164">
        <v>0</v>
      </c>
      <c r="DQ164">
        <v>28.25</v>
      </c>
    </row>
    <row r="165" spans="1:121" x14ac:dyDescent="0.2">
      <c r="A165" s="14">
        <v>28.5</v>
      </c>
      <c r="B165" s="684">
        <f t="shared" si="47"/>
        <v>2.0107382121485545E-5</v>
      </c>
      <c r="C165" s="684">
        <f t="shared" si="48"/>
        <v>2.0107382121485579E-5</v>
      </c>
      <c r="D165" s="684">
        <f t="shared" si="36"/>
        <v>5.0268455303713948E-6</v>
      </c>
      <c r="E165" s="684">
        <f t="shared" si="49"/>
        <v>1.1827704135290242</v>
      </c>
      <c r="F165" s="684">
        <f t="shared" si="50"/>
        <v>0</v>
      </c>
      <c r="G165" s="684">
        <f t="shared" si="37"/>
        <v>0</v>
      </c>
      <c r="H165" s="684">
        <f t="shared" si="38"/>
        <v>0</v>
      </c>
      <c r="I165" s="1052">
        <f>HLOOKUP('Input &amp; Summary'!$B$6,TurbineProfiles,ROW(I165)-49,0)</f>
        <v>0</v>
      </c>
      <c r="J165" s="684">
        <f t="shared" si="51"/>
        <v>0</v>
      </c>
      <c r="K165" s="9">
        <f t="shared" si="52"/>
        <v>0</v>
      </c>
      <c r="L165" s="14">
        <f t="shared" si="53"/>
        <v>46653.750277507505</v>
      </c>
      <c r="M165" s="684">
        <f t="shared" si="54"/>
        <v>13214.237318692161</v>
      </c>
      <c r="N165" s="684">
        <f t="shared" si="39"/>
        <v>2117.4921141893815</v>
      </c>
      <c r="O165" s="684">
        <f t="shared" si="40"/>
        <v>0.99997273735666337</v>
      </c>
      <c r="P165" s="684">
        <f t="shared" si="41"/>
        <v>0</v>
      </c>
      <c r="Q165" s="684">
        <f t="shared" si="45"/>
        <v>5.4936309296094166E-6</v>
      </c>
      <c r="R165" s="684">
        <f t="shared" si="46"/>
        <v>5.0329518799241413E-6</v>
      </c>
      <c r="S165" s="684">
        <f t="shared" si="42"/>
        <v>0</v>
      </c>
      <c r="T165" s="684">
        <f t="shared" si="43"/>
        <v>0</v>
      </c>
      <c r="U165" s="14">
        <f t="shared" si="44"/>
        <v>0</v>
      </c>
      <c r="V165">
        <v>0</v>
      </c>
      <c r="W165">
        <v>0</v>
      </c>
      <c r="X165">
        <v>0</v>
      </c>
      <c r="Y165">
        <v>0</v>
      </c>
      <c r="Z165">
        <v>0</v>
      </c>
      <c r="AA165">
        <v>0</v>
      </c>
      <c r="AB165">
        <v>0</v>
      </c>
      <c r="AC165">
        <v>0</v>
      </c>
      <c r="AD165">
        <v>0</v>
      </c>
      <c r="AE165" s="143">
        <v>0</v>
      </c>
      <c r="AF165" s="143">
        <v>0</v>
      </c>
      <c r="AG165" s="143">
        <v>0</v>
      </c>
      <c r="AH165" s="143">
        <v>0</v>
      </c>
      <c r="AI165" s="995">
        <v>0</v>
      </c>
      <c r="AJ165" s="143">
        <v>0</v>
      </c>
      <c r="AK165" s="143">
        <v>0</v>
      </c>
      <c r="AL165" s="143">
        <v>0</v>
      </c>
      <c r="AM165" s="143">
        <v>0</v>
      </c>
      <c r="AN165" s="143">
        <v>0</v>
      </c>
      <c r="AO165" s="143">
        <v>0</v>
      </c>
      <c r="AP165" s="143">
        <v>0</v>
      </c>
      <c r="AQ165" s="143">
        <v>0</v>
      </c>
      <c r="AR165" s="143">
        <v>0</v>
      </c>
      <c r="AS165" s="143">
        <v>0</v>
      </c>
      <c r="AT165" s="143">
        <v>0</v>
      </c>
      <c r="AU165" s="143">
        <v>0</v>
      </c>
      <c r="AV165" s="143">
        <v>0</v>
      </c>
      <c r="AW165" s="143">
        <v>0</v>
      </c>
      <c r="AX165" s="143">
        <v>0</v>
      </c>
      <c r="AY165" s="143">
        <v>0</v>
      </c>
      <c r="AZ165" s="143">
        <v>0</v>
      </c>
      <c r="BA165" s="143">
        <v>0</v>
      </c>
      <c r="BB165" s="143">
        <v>0</v>
      </c>
      <c r="BC165" s="143">
        <v>0</v>
      </c>
      <c r="BD165" s="143">
        <v>0</v>
      </c>
      <c r="BE165" s="143">
        <v>0</v>
      </c>
      <c r="BF165" s="143">
        <v>0</v>
      </c>
      <c r="BG165" s="143">
        <v>0</v>
      </c>
      <c r="BH165" s="143">
        <v>0</v>
      </c>
      <c r="BI165" s="143">
        <v>0</v>
      </c>
      <c r="BJ165" s="995">
        <v>0</v>
      </c>
      <c r="BK165" s="143">
        <v>0</v>
      </c>
      <c r="BL165" s="143">
        <v>0</v>
      </c>
      <c r="BM165" s="143">
        <v>0</v>
      </c>
      <c r="BN165" s="143">
        <v>0</v>
      </c>
      <c r="BO165" s="143">
        <v>0</v>
      </c>
      <c r="BP165" s="143">
        <v>0</v>
      </c>
      <c r="BQ165" s="143">
        <v>0</v>
      </c>
      <c r="BR165" s="143">
        <v>0</v>
      </c>
      <c r="BS165" s="143">
        <v>0</v>
      </c>
      <c r="BT165" s="143">
        <v>0</v>
      </c>
      <c r="BU165" s="143">
        <v>0</v>
      </c>
      <c r="BV165" s="143">
        <v>0</v>
      </c>
      <c r="BW165" s="143">
        <v>0</v>
      </c>
      <c r="BX165" s="143">
        <v>0</v>
      </c>
      <c r="BY165" s="143">
        <v>0</v>
      </c>
      <c r="BZ165" s="995">
        <v>0</v>
      </c>
      <c r="CA165" s="143">
        <v>0</v>
      </c>
      <c r="CB165" s="143">
        <v>0</v>
      </c>
      <c r="CC165" s="143">
        <v>0</v>
      </c>
      <c r="CD165" s="143">
        <v>0</v>
      </c>
      <c r="CE165" s="143">
        <v>0</v>
      </c>
      <c r="CF165" s="143">
        <v>0</v>
      </c>
      <c r="CG165" s="143">
        <v>0</v>
      </c>
      <c r="CH165" s="143">
        <v>0</v>
      </c>
      <c r="CI165" s="143">
        <v>0</v>
      </c>
      <c r="CJ165" s="143">
        <v>0</v>
      </c>
      <c r="CK165" s="143">
        <v>0</v>
      </c>
      <c r="CL165" s="143">
        <v>0</v>
      </c>
      <c r="CM165" s="143">
        <v>0</v>
      </c>
      <c r="CN165" s="143">
        <v>0</v>
      </c>
      <c r="CO165" s="143">
        <v>0</v>
      </c>
      <c r="CP165" s="143">
        <v>0</v>
      </c>
      <c r="CQ165" s="143">
        <v>0</v>
      </c>
      <c r="CR165" s="143">
        <v>0</v>
      </c>
      <c r="CS165" s="143">
        <v>0</v>
      </c>
      <c r="CT165" s="143">
        <v>0</v>
      </c>
      <c r="CU165" s="143">
        <v>0</v>
      </c>
      <c r="CV165" s="143">
        <v>0</v>
      </c>
      <c r="CW165" s="14">
        <v>0</v>
      </c>
      <c r="CX165" s="14">
        <v>0</v>
      </c>
      <c r="CY165" s="14">
        <v>0</v>
      </c>
      <c r="CZ165" s="995">
        <v>0</v>
      </c>
      <c r="DA165" s="995">
        <v>0</v>
      </c>
      <c r="DB165" s="995">
        <v>0</v>
      </c>
      <c r="DC165">
        <v>0</v>
      </c>
      <c r="DD165">
        <v>0</v>
      </c>
      <c r="DE165">
        <v>0</v>
      </c>
      <c r="DF165">
        <v>0</v>
      </c>
      <c r="DG165">
        <v>0</v>
      </c>
      <c r="DH165">
        <v>0</v>
      </c>
      <c r="DI165">
        <v>0</v>
      </c>
      <c r="DJ165">
        <v>0</v>
      </c>
      <c r="DK165">
        <v>0</v>
      </c>
      <c r="DL165">
        <v>0</v>
      </c>
      <c r="DM165">
        <v>0</v>
      </c>
      <c r="DN165">
        <v>0</v>
      </c>
      <c r="DO165">
        <v>0</v>
      </c>
      <c r="DP165">
        <v>0</v>
      </c>
      <c r="DQ165">
        <v>28.5</v>
      </c>
    </row>
    <row r="166" spans="1:121" x14ac:dyDescent="0.2">
      <c r="A166" s="14">
        <v>28.75</v>
      </c>
      <c r="B166" s="684">
        <f t="shared" si="47"/>
        <v>1.6854642572157581E-5</v>
      </c>
      <c r="C166" s="684">
        <f t="shared" si="48"/>
        <v>1.6854642572157635E-5</v>
      </c>
      <c r="D166" s="684">
        <f t="shared" si="36"/>
        <v>4.2136606430394087E-6</v>
      </c>
      <c r="E166" s="684">
        <f t="shared" si="49"/>
        <v>1.0177554463189535</v>
      </c>
      <c r="F166" s="684">
        <f t="shared" si="50"/>
        <v>0</v>
      </c>
      <c r="G166" s="684">
        <f t="shared" si="37"/>
        <v>0</v>
      </c>
      <c r="H166" s="684">
        <f t="shared" si="38"/>
        <v>0</v>
      </c>
      <c r="I166" s="1052">
        <f>HLOOKUP('Input &amp; Summary'!$B$6,TurbineProfiles,ROW(I166)-49,0)</f>
        <v>0</v>
      </c>
      <c r="J166" s="684">
        <f t="shared" si="51"/>
        <v>0</v>
      </c>
      <c r="K166" s="9">
        <f t="shared" si="52"/>
        <v>0</v>
      </c>
      <c r="L166" s="14">
        <f t="shared" si="53"/>
        <v>47892.281601696734</v>
      </c>
      <c r="M166" s="684">
        <f t="shared" si="54"/>
        <v>13365.572768283593</v>
      </c>
      <c r="N166" s="684">
        <f t="shared" si="39"/>
        <v>2117.4921141893815</v>
      </c>
      <c r="O166" s="684">
        <f t="shared" si="40"/>
        <v>0.99997734630814961</v>
      </c>
      <c r="P166" s="684">
        <f t="shared" si="41"/>
        <v>0</v>
      </c>
      <c r="Q166" s="684">
        <f t="shared" si="45"/>
        <v>4.608951486240187E-6</v>
      </c>
      <c r="R166" s="684">
        <f t="shared" si="46"/>
        <v>4.2188844259216651E-6</v>
      </c>
      <c r="S166" s="684">
        <f t="shared" si="42"/>
        <v>0</v>
      </c>
      <c r="T166" s="684">
        <f t="shared" si="43"/>
        <v>0</v>
      </c>
      <c r="U166" s="14">
        <f t="shared" si="44"/>
        <v>0</v>
      </c>
      <c r="V166">
        <v>0</v>
      </c>
      <c r="W166">
        <v>0</v>
      </c>
      <c r="X166">
        <v>0</v>
      </c>
      <c r="Y166">
        <v>0</v>
      </c>
      <c r="Z166">
        <v>0</v>
      </c>
      <c r="AA166">
        <v>0</v>
      </c>
      <c r="AB166">
        <v>0</v>
      </c>
      <c r="AC166">
        <v>0</v>
      </c>
      <c r="AD166">
        <v>0</v>
      </c>
      <c r="AE166" s="143">
        <v>0</v>
      </c>
      <c r="AF166" s="143">
        <v>0</v>
      </c>
      <c r="AG166" s="143">
        <v>0</v>
      </c>
      <c r="AH166" s="143">
        <v>0</v>
      </c>
      <c r="AI166" s="995">
        <v>0</v>
      </c>
      <c r="AJ166" s="143">
        <v>0</v>
      </c>
      <c r="AK166" s="143">
        <v>0</v>
      </c>
      <c r="AL166" s="143">
        <v>0</v>
      </c>
      <c r="AM166" s="143">
        <v>0</v>
      </c>
      <c r="AN166" s="143">
        <v>0</v>
      </c>
      <c r="AO166" s="143">
        <v>0</v>
      </c>
      <c r="AP166" s="143">
        <v>0</v>
      </c>
      <c r="AQ166" s="143">
        <v>0</v>
      </c>
      <c r="AR166" s="143">
        <v>0</v>
      </c>
      <c r="AS166" s="143">
        <v>0</v>
      </c>
      <c r="AT166" s="143">
        <v>0</v>
      </c>
      <c r="AU166" s="143">
        <v>0</v>
      </c>
      <c r="AV166" s="143">
        <v>0</v>
      </c>
      <c r="AW166" s="143">
        <v>0</v>
      </c>
      <c r="AX166" s="143">
        <v>0</v>
      </c>
      <c r="AY166" s="143">
        <v>0</v>
      </c>
      <c r="AZ166" s="143">
        <v>0</v>
      </c>
      <c r="BA166" s="143">
        <v>0</v>
      </c>
      <c r="BB166" s="143">
        <v>0</v>
      </c>
      <c r="BC166" s="143">
        <v>0</v>
      </c>
      <c r="BD166" s="143">
        <v>0</v>
      </c>
      <c r="BE166" s="143">
        <v>0</v>
      </c>
      <c r="BF166" s="143">
        <v>0</v>
      </c>
      <c r="BG166" s="143">
        <v>0</v>
      </c>
      <c r="BH166" s="143">
        <v>0</v>
      </c>
      <c r="BI166" s="143">
        <v>0</v>
      </c>
      <c r="BJ166" s="995">
        <v>0</v>
      </c>
      <c r="BK166" s="143">
        <v>0</v>
      </c>
      <c r="BL166" s="143">
        <v>0</v>
      </c>
      <c r="BM166" s="143">
        <v>0</v>
      </c>
      <c r="BN166" s="143">
        <v>0</v>
      </c>
      <c r="BO166" s="143">
        <v>0</v>
      </c>
      <c r="BP166" s="143">
        <v>0</v>
      </c>
      <c r="BQ166" s="143">
        <v>0</v>
      </c>
      <c r="BR166" s="143">
        <v>0</v>
      </c>
      <c r="BS166" s="143">
        <v>0</v>
      </c>
      <c r="BT166" s="143">
        <v>0</v>
      </c>
      <c r="BU166" s="143">
        <v>0</v>
      </c>
      <c r="BV166" s="143">
        <v>0</v>
      </c>
      <c r="BW166" s="143">
        <v>0</v>
      </c>
      <c r="BX166" s="143">
        <v>0</v>
      </c>
      <c r="BY166" s="143">
        <v>0</v>
      </c>
      <c r="BZ166" s="995">
        <v>0</v>
      </c>
      <c r="CA166" s="143">
        <v>0</v>
      </c>
      <c r="CB166" s="143">
        <v>0</v>
      </c>
      <c r="CC166" s="143">
        <v>0</v>
      </c>
      <c r="CD166" s="143">
        <v>0</v>
      </c>
      <c r="CE166" s="143">
        <v>0</v>
      </c>
      <c r="CF166" s="143">
        <v>0</v>
      </c>
      <c r="CG166" s="143">
        <v>0</v>
      </c>
      <c r="CH166" s="143">
        <v>0</v>
      </c>
      <c r="CI166" s="143">
        <v>0</v>
      </c>
      <c r="CJ166" s="143">
        <v>0</v>
      </c>
      <c r="CK166" s="143">
        <v>0</v>
      </c>
      <c r="CL166" s="143">
        <v>0</v>
      </c>
      <c r="CM166" s="143">
        <v>0</v>
      </c>
      <c r="CN166" s="143">
        <v>0</v>
      </c>
      <c r="CO166" s="143">
        <v>0</v>
      </c>
      <c r="CP166" s="143">
        <v>0</v>
      </c>
      <c r="CQ166" s="143">
        <v>0</v>
      </c>
      <c r="CR166" s="143">
        <v>0</v>
      </c>
      <c r="CS166" s="143">
        <v>0</v>
      </c>
      <c r="CT166" s="143">
        <v>0</v>
      </c>
      <c r="CU166" s="143">
        <v>0</v>
      </c>
      <c r="CV166" s="143">
        <v>0</v>
      </c>
      <c r="CW166" s="14">
        <v>0</v>
      </c>
      <c r="CX166" s="14">
        <v>0</v>
      </c>
      <c r="CY166" s="14">
        <v>0</v>
      </c>
      <c r="CZ166" s="995">
        <v>0</v>
      </c>
      <c r="DA166" s="995">
        <v>0</v>
      </c>
      <c r="DB166" s="995">
        <v>0</v>
      </c>
      <c r="DC166">
        <v>0</v>
      </c>
      <c r="DD166">
        <v>0</v>
      </c>
      <c r="DE166">
        <v>0</v>
      </c>
      <c r="DF166">
        <v>0</v>
      </c>
      <c r="DG166">
        <v>0</v>
      </c>
      <c r="DH166">
        <v>0</v>
      </c>
      <c r="DI166">
        <v>0</v>
      </c>
      <c r="DJ166">
        <v>0</v>
      </c>
      <c r="DK166">
        <v>0</v>
      </c>
      <c r="DL166">
        <v>0</v>
      </c>
      <c r="DM166">
        <v>0</v>
      </c>
      <c r="DN166">
        <v>0</v>
      </c>
      <c r="DO166">
        <v>0</v>
      </c>
      <c r="DP166">
        <v>0</v>
      </c>
      <c r="DQ166">
        <v>28.75</v>
      </c>
    </row>
    <row r="167" spans="1:121" x14ac:dyDescent="0.2">
      <c r="A167" s="14">
        <v>29</v>
      </c>
      <c r="B167" s="684">
        <f t="shared" si="47"/>
        <v>1.4104194431459147E-5</v>
      </c>
      <c r="C167" s="684">
        <f t="shared" si="48"/>
        <v>1.4104194431459125E-5</v>
      </c>
      <c r="D167" s="684">
        <f t="shared" si="36"/>
        <v>3.5260486078647813E-6</v>
      </c>
      <c r="E167" s="684">
        <f t="shared" si="49"/>
        <v>0.87408289357629565</v>
      </c>
      <c r="F167" s="684">
        <f t="shared" si="50"/>
        <v>0</v>
      </c>
      <c r="G167" s="684">
        <f t="shared" si="37"/>
        <v>0</v>
      </c>
      <c r="H167" s="684">
        <f t="shared" si="38"/>
        <v>0</v>
      </c>
      <c r="I167" s="1052">
        <f>HLOOKUP('Input &amp; Summary'!$B$6,TurbineProfiles,ROW(I167)-49,0)</f>
        <v>0</v>
      </c>
      <c r="J167" s="684">
        <f t="shared" si="51"/>
        <v>0</v>
      </c>
      <c r="K167" s="9">
        <f t="shared" si="52"/>
        <v>0</v>
      </c>
      <c r="L167" s="14">
        <f t="shared" si="53"/>
        <v>49152.540993153314</v>
      </c>
      <c r="M167" s="684">
        <f t="shared" si="54"/>
        <v>13516.908217875027</v>
      </c>
      <c r="N167" s="684">
        <f t="shared" si="39"/>
        <v>2117.4921141893815</v>
      </c>
      <c r="O167" s="684">
        <f t="shared" si="40"/>
        <v>0.99998120650386646</v>
      </c>
      <c r="P167" s="684">
        <f t="shared" si="41"/>
        <v>0</v>
      </c>
      <c r="Q167" s="684">
        <f t="shared" si="45"/>
        <v>3.8601957168538092E-6</v>
      </c>
      <c r="R167" s="684">
        <f t="shared" si="46"/>
        <v>3.5305087839887506E-6</v>
      </c>
      <c r="S167" s="684">
        <f t="shared" si="42"/>
        <v>0</v>
      </c>
      <c r="T167" s="684">
        <f t="shared" si="43"/>
        <v>0</v>
      </c>
      <c r="U167" s="14">
        <f t="shared" si="44"/>
        <v>0</v>
      </c>
      <c r="V167">
        <v>0</v>
      </c>
      <c r="W167">
        <v>0</v>
      </c>
      <c r="X167">
        <v>0</v>
      </c>
      <c r="Y167">
        <v>0</v>
      </c>
      <c r="Z167">
        <v>0</v>
      </c>
      <c r="AA167">
        <v>0</v>
      </c>
      <c r="AB167">
        <v>0</v>
      </c>
      <c r="AC167">
        <v>0</v>
      </c>
      <c r="AD167">
        <v>0</v>
      </c>
      <c r="AE167" s="143">
        <v>0</v>
      </c>
      <c r="AF167" s="143">
        <v>0</v>
      </c>
      <c r="AG167" s="143">
        <v>0</v>
      </c>
      <c r="AH167" s="143">
        <v>0</v>
      </c>
      <c r="AI167" s="995">
        <v>0</v>
      </c>
      <c r="AJ167" s="143">
        <v>0</v>
      </c>
      <c r="AK167" s="143">
        <v>0</v>
      </c>
      <c r="AL167" s="143">
        <v>0</v>
      </c>
      <c r="AM167" s="143">
        <v>0</v>
      </c>
      <c r="AN167" s="143">
        <v>0</v>
      </c>
      <c r="AO167" s="143">
        <v>0</v>
      </c>
      <c r="AP167" s="143">
        <v>0</v>
      </c>
      <c r="AQ167" s="143">
        <v>0</v>
      </c>
      <c r="AR167" s="143">
        <v>0</v>
      </c>
      <c r="AS167" s="143">
        <v>0</v>
      </c>
      <c r="AT167" s="143">
        <v>0</v>
      </c>
      <c r="AU167" s="143">
        <v>0</v>
      </c>
      <c r="AV167" s="143">
        <v>0</v>
      </c>
      <c r="AW167" s="143">
        <v>0</v>
      </c>
      <c r="AX167" s="143">
        <v>0</v>
      </c>
      <c r="AY167" s="143">
        <v>0</v>
      </c>
      <c r="AZ167" s="143">
        <v>0</v>
      </c>
      <c r="BA167" s="143">
        <v>0</v>
      </c>
      <c r="BB167" s="143">
        <v>0</v>
      </c>
      <c r="BC167" s="143">
        <v>0</v>
      </c>
      <c r="BD167" s="143">
        <v>0</v>
      </c>
      <c r="BE167" s="143">
        <v>0</v>
      </c>
      <c r="BF167" s="143">
        <v>0</v>
      </c>
      <c r="BG167" s="143">
        <v>0</v>
      </c>
      <c r="BH167" s="143">
        <v>0</v>
      </c>
      <c r="BI167" s="143">
        <v>0</v>
      </c>
      <c r="BJ167" s="995">
        <v>0</v>
      </c>
      <c r="BK167" s="143">
        <v>0</v>
      </c>
      <c r="BL167" s="143">
        <v>0</v>
      </c>
      <c r="BM167" s="143">
        <v>0</v>
      </c>
      <c r="BN167" s="143">
        <v>0</v>
      </c>
      <c r="BO167" s="143">
        <v>0</v>
      </c>
      <c r="BP167" s="143">
        <v>0</v>
      </c>
      <c r="BQ167" s="143">
        <v>0</v>
      </c>
      <c r="BR167" s="143">
        <v>0</v>
      </c>
      <c r="BS167" s="143">
        <v>0</v>
      </c>
      <c r="BT167" s="143">
        <v>0</v>
      </c>
      <c r="BU167" s="143">
        <v>0</v>
      </c>
      <c r="BV167" s="143">
        <v>0</v>
      </c>
      <c r="BW167" s="143">
        <v>0</v>
      </c>
      <c r="BX167" s="143">
        <v>0</v>
      </c>
      <c r="BY167" s="143">
        <v>0</v>
      </c>
      <c r="BZ167" s="995">
        <v>0</v>
      </c>
      <c r="CA167" s="143">
        <v>0</v>
      </c>
      <c r="CB167" s="143">
        <v>0</v>
      </c>
      <c r="CC167" s="143">
        <v>0</v>
      </c>
      <c r="CD167" s="143">
        <v>0</v>
      </c>
      <c r="CE167" s="143">
        <v>0</v>
      </c>
      <c r="CF167" s="143">
        <v>0</v>
      </c>
      <c r="CG167" s="143">
        <v>0</v>
      </c>
      <c r="CH167" s="143">
        <v>0</v>
      </c>
      <c r="CI167" s="143">
        <v>0</v>
      </c>
      <c r="CJ167" s="143">
        <v>0</v>
      </c>
      <c r="CK167" s="143">
        <v>0</v>
      </c>
      <c r="CL167" s="143">
        <v>0</v>
      </c>
      <c r="CM167" s="143">
        <v>0</v>
      </c>
      <c r="CN167" s="143">
        <v>0</v>
      </c>
      <c r="CO167" s="143">
        <v>0</v>
      </c>
      <c r="CP167" s="143">
        <v>0</v>
      </c>
      <c r="CQ167" s="143">
        <v>0</v>
      </c>
      <c r="CR167" s="143">
        <v>0</v>
      </c>
      <c r="CS167" s="143">
        <v>0</v>
      </c>
      <c r="CT167" s="143">
        <v>0</v>
      </c>
      <c r="CU167" s="143">
        <v>0</v>
      </c>
      <c r="CV167" s="143">
        <v>0</v>
      </c>
      <c r="CW167" s="14">
        <v>0</v>
      </c>
      <c r="CX167" s="14">
        <v>0</v>
      </c>
      <c r="CY167" s="14">
        <v>0</v>
      </c>
      <c r="CZ167" s="995">
        <v>0</v>
      </c>
      <c r="DA167" s="995">
        <v>0</v>
      </c>
      <c r="DB167" s="995">
        <v>0</v>
      </c>
      <c r="DC167">
        <v>0</v>
      </c>
      <c r="DD167">
        <v>0</v>
      </c>
      <c r="DE167">
        <v>0</v>
      </c>
      <c r="DF167">
        <v>0</v>
      </c>
      <c r="DG167">
        <v>0</v>
      </c>
      <c r="DH167">
        <v>0</v>
      </c>
      <c r="DI167">
        <v>0</v>
      </c>
      <c r="DJ167">
        <v>0</v>
      </c>
      <c r="DK167">
        <v>0</v>
      </c>
      <c r="DL167">
        <v>0</v>
      </c>
      <c r="DM167">
        <v>0</v>
      </c>
      <c r="DN167">
        <v>0</v>
      </c>
      <c r="DO167">
        <v>0</v>
      </c>
      <c r="DP167">
        <v>0</v>
      </c>
      <c r="DQ167">
        <v>29</v>
      </c>
    </row>
    <row r="168" spans="1:121" x14ac:dyDescent="0.2">
      <c r="A168" s="14">
        <v>29.25</v>
      </c>
      <c r="B168" s="684">
        <f t="shared" si="47"/>
        <v>1.1782631966270008E-5</v>
      </c>
      <c r="C168" s="684">
        <f t="shared" si="48"/>
        <v>1.1782631966270007E-5</v>
      </c>
      <c r="D168" s="684">
        <f t="shared" si="36"/>
        <v>2.9456579915675017E-6</v>
      </c>
      <c r="E168" s="684">
        <f t="shared" si="49"/>
        <v>0.74925606095883046</v>
      </c>
      <c r="F168" s="684">
        <f t="shared" si="50"/>
        <v>0</v>
      </c>
      <c r="G168" s="684">
        <f t="shared" si="37"/>
        <v>0</v>
      </c>
      <c r="H168" s="684">
        <f t="shared" si="38"/>
        <v>0</v>
      </c>
      <c r="I168" s="1052">
        <f>HLOOKUP('Input &amp; Summary'!$B$6,TurbineProfiles,ROW(I168)-49,0)</f>
        <v>0</v>
      </c>
      <c r="J168" s="684">
        <f t="shared" si="51"/>
        <v>0</v>
      </c>
      <c r="K168" s="9">
        <f t="shared" si="52"/>
        <v>0</v>
      </c>
      <c r="L168" s="14">
        <f t="shared" si="53"/>
        <v>50434.717391592552</v>
      </c>
      <c r="M168" s="684">
        <f t="shared" si="54"/>
        <v>13668.243667466459</v>
      </c>
      <c r="N168" s="684">
        <f t="shared" si="39"/>
        <v>2117.4921141893815</v>
      </c>
      <c r="O168" s="684">
        <f t="shared" si="40"/>
        <v>0.99998443411803961</v>
      </c>
      <c r="P168" s="684">
        <f t="shared" si="41"/>
        <v>0</v>
      </c>
      <c r="Q168" s="684">
        <f t="shared" si="45"/>
        <v>3.2276141731513164E-6</v>
      </c>
      <c r="R168" s="684">
        <f t="shared" si="46"/>
        <v>2.9494588823508749E-6</v>
      </c>
      <c r="S168" s="684">
        <f t="shared" si="42"/>
        <v>0</v>
      </c>
      <c r="T168" s="684">
        <f t="shared" si="43"/>
        <v>0</v>
      </c>
      <c r="U168" s="14">
        <f t="shared" si="44"/>
        <v>0</v>
      </c>
      <c r="V168">
        <v>0</v>
      </c>
      <c r="W168">
        <v>0</v>
      </c>
      <c r="X168">
        <v>0</v>
      </c>
      <c r="Y168">
        <v>0</v>
      </c>
      <c r="Z168">
        <v>0</v>
      </c>
      <c r="AA168">
        <v>0</v>
      </c>
      <c r="AB168">
        <v>0</v>
      </c>
      <c r="AC168">
        <v>0</v>
      </c>
      <c r="AD168">
        <v>0</v>
      </c>
      <c r="AE168" s="143">
        <v>0</v>
      </c>
      <c r="AF168" s="143">
        <v>0</v>
      </c>
      <c r="AG168" s="143">
        <v>0</v>
      </c>
      <c r="AH168" s="143">
        <v>0</v>
      </c>
      <c r="AI168" s="995">
        <v>0</v>
      </c>
      <c r="AJ168" s="143">
        <v>0</v>
      </c>
      <c r="AK168" s="143">
        <v>0</v>
      </c>
      <c r="AL168" s="143">
        <v>0</v>
      </c>
      <c r="AM168" s="143">
        <v>0</v>
      </c>
      <c r="AN168" s="143">
        <v>0</v>
      </c>
      <c r="AO168" s="143">
        <v>0</v>
      </c>
      <c r="AP168" s="143">
        <v>0</v>
      </c>
      <c r="AQ168" s="143">
        <v>0</v>
      </c>
      <c r="AR168" s="143">
        <v>0</v>
      </c>
      <c r="AS168" s="143">
        <v>0</v>
      </c>
      <c r="AT168" s="143">
        <v>0</v>
      </c>
      <c r="AU168" s="143">
        <v>0</v>
      </c>
      <c r="AV168" s="143">
        <v>0</v>
      </c>
      <c r="AW168" s="143">
        <v>0</v>
      </c>
      <c r="AX168" s="143">
        <v>0</v>
      </c>
      <c r="AY168" s="143">
        <v>0</v>
      </c>
      <c r="AZ168" s="143">
        <v>0</v>
      </c>
      <c r="BA168" s="143">
        <v>0</v>
      </c>
      <c r="BB168" s="143">
        <v>0</v>
      </c>
      <c r="BC168" s="143">
        <v>0</v>
      </c>
      <c r="BD168" s="143">
        <v>0</v>
      </c>
      <c r="BE168" s="143">
        <v>0</v>
      </c>
      <c r="BF168" s="143">
        <v>0</v>
      </c>
      <c r="BG168" s="143">
        <v>0</v>
      </c>
      <c r="BH168" s="143">
        <v>0</v>
      </c>
      <c r="BI168" s="143">
        <v>0</v>
      </c>
      <c r="BJ168" s="995">
        <v>0</v>
      </c>
      <c r="BK168" s="143">
        <v>0</v>
      </c>
      <c r="BL168" s="143">
        <v>0</v>
      </c>
      <c r="BM168" s="143">
        <v>0</v>
      </c>
      <c r="BN168" s="143">
        <v>0</v>
      </c>
      <c r="BO168" s="143">
        <v>0</v>
      </c>
      <c r="BP168" s="143">
        <v>0</v>
      </c>
      <c r="BQ168" s="143">
        <v>0</v>
      </c>
      <c r="BR168" s="143">
        <v>0</v>
      </c>
      <c r="BS168" s="143">
        <v>0</v>
      </c>
      <c r="BT168" s="143">
        <v>0</v>
      </c>
      <c r="BU168" s="143">
        <v>0</v>
      </c>
      <c r="BV168" s="143">
        <v>0</v>
      </c>
      <c r="BW168" s="143">
        <v>0</v>
      </c>
      <c r="BX168" s="143">
        <v>0</v>
      </c>
      <c r="BY168" s="143">
        <v>0</v>
      </c>
      <c r="BZ168" s="995">
        <v>0</v>
      </c>
      <c r="CA168" s="143">
        <v>0</v>
      </c>
      <c r="CB168" s="143">
        <v>0</v>
      </c>
      <c r="CC168" s="143">
        <v>0</v>
      </c>
      <c r="CD168" s="143">
        <v>0</v>
      </c>
      <c r="CE168" s="143">
        <v>0</v>
      </c>
      <c r="CF168" s="143">
        <v>0</v>
      </c>
      <c r="CG168" s="143">
        <v>0</v>
      </c>
      <c r="CH168" s="143">
        <v>0</v>
      </c>
      <c r="CI168" s="143">
        <v>0</v>
      </c>
      <c r="CJ168" s="143">
        <v>0</v>
      </c>
      <c r="CK168" s="143">
        <v>0</v>
      </c>
      <c r="CL168" s="143">
        <v>0</v>
      </c>
      <c r="CM168" s="143">
        <v>0</v>
      </c>
      <c r="CN168" s="143">
        <v>0</v>
      </c>
      <c r="CO168" s="143">
        <v>0</v>
      </c>
      <c r="CP168" s="143">
        <v>0</v>
      </c>
      <c r="CQ168" s="143">
        <v>0</v>
      </c>
      <c r="CR168" s="143">
        <v>0</v>
      </c>
      <c r="CS168" s="143">
        <v>0</v>
      </c>
      <c r="CT168" s="143">
        <v>0</v>
      </c>
      <c r="CU168" s="143">
        <v>0</v>
      </c>
      <c r="CV168" s="143">
        <v>0</v>
      </c>
      <c r="CW168" s="14">
        <v>0</v>
      </c>
      <c r="CX168" s="14">
        <v>0</v>
      </c>
      <c r="CY168" s="14">
        <v>0</v>
      </c>
      <c r="CZ168" s="995">
        <v>0</v>
      </c>
      <c r="DA168" s="995">
        <v>0</v>
      </c>
      <c r="DB168" s="995">
        <v>0</v>
      </c>
      <c r="DC168">
        <v>0</v>
      </c>
      <c r="DD168">
        <v>0</v>
      </c>
      <c r="DE168">
        <v>0</v>
      </c>
      <c r="DF168">
        <v>0</v>
      </c>
      <c r="DG168">
        <v>0</v>
      </c>
      <c r="DH168">
        <v>0</v>
      </c>
      <c r="DI168">
        <v>0</v>
      </c>
      <c r="DJ168">
        <v>0</v>
      </c>
      <c r="DK168">
        <v>0</v>
      </c>
      <c r="DL168">
        <v>0</v>
      </c>
      <c r="DM168">
        <v>0</v>
      </c>
      <c r="DN168">
        <v>0</v>
      </c>
      <c r="DO168">
        <v>0</v>
      </c>
      <c r="DP168">
        <v>0</v>
      </c>
      <c r="DQ168">
        <v>29.25</v>
      </c>
    </row>
    <row r="169" spans="1:121" x14ac:dyDescent="0.2">
      <c r="A169" s="14">
        <v>29.5</v>
      </c>
      <c r="B169" s="684">
        <f t="shared" si="47"/>
        <v>9.8265750527497493E-6</v>
      </c>
      <c r="C169" s="684">
        <f t="shared" si="48"/>
        <v>9.8265750527497307E-6</v>
      </c>
      <c r="D169" s="684">
        <f t="shared" si="36"/>
        <v>2.4566437631874327E-6</v>
      </c>
      <c r="E169" s="684">
        <f t="shared" si="49"/>
        <v>0.64103030930455418</v>
      </c>
      <c r="F169" s="684">
        <f t="shared" si="50"/>
        <v>0</v>
      </c>
      <c r="G169" s="684">
        <f t="shared" si="37"/>
        <v>0</v>
      </c>
      <c r="H169" s="684">
        <f t="shared" si="38"/>
        <v>0</v>
      </c>
      <c r="I169" s="1052">
        <f>HLOOKUP('Input &amp; Summary'!$B$6,TurbineProfiles,ROW(I169)-49,0)</f>
        <v>0</v>
      </c>
      <c r="J169" s="684">
        <f t="shared" si="51"/>
        <v>0</v>
      </c>
      <c r="K169" s="9">
        <f t="shared" si="52"/>
        <v>0</v>
      </c>
      <c r="L169" s="14">
        <f t="shared" si="53"/>
        <v>51738.999736729864</v>
      </c>
      <c r="M169" s="684">
        <f t="shared" si="54"/>
        <v>13819.57911705789</v>
      </c>
      <c r="N169" s="684">
        <f t="shared" si="39"/>
        <v>2117.4921141893815</v>
      </c>
      <c r="O169" s="684">
        <f t="shared" si="40"/>
        <v>0.9999871282543269</v>
      </c>
      <c r="P169" s="684">
        <f t="shared" si="41"/>
        <v>0</v>
      </c>
      <c r="Q169" s="684">
        <f t="shared" si="45"/>
        <v>2.6941362872845431E-6</v>
      </c>
      <c r="R169" s="684">
        <f t="shared" si="46"/>
        <v>2.4598766331651589E-6</v>
      </c>
      <c r="S169" s="684">
        <f t="shared" si="42"/>
        <v>0</v>
      </c>
      <c r="T169" s="684">
        <f t="shared" si="43"/>
        <v>0</v>
      </c>
      <c r="U169" s="14">
        <f t="shared" si="44"/>
        <v>0</v>
      </c>
      <c r="V169">
        <v>0</v>
      </c>
      <c r="W169">
        <v>0</v>
      </c>
      <c r="X169">
        <v>0</v>
      </c>
      <c r="Y169">
        <v>0</v>
      </c>
      <c r="Z169">
        <v>0</v>
      </c>
      <c r="AA169">
        <v>0</v>
      </c>
      <c r="AB169">
        <v>0</v>
      </c>
      <c r="AC169">
        <v>0</v>
      </c>
      <c r="AD169">
        <v>0</v>
      </c>
      <c r="AE169" s="143">
        <v>0</v>
      </c>
      <c r="AF169" s="143">
        <v>0</v>
      </c>
      <c r="AG169" s="143">
        <v>0</v>
      </c>
      <c r="AH169" s="143">
        <v>0</v>
      </c>
      <c r="AI169" s="995">
        <v>0</v>
      </c>
      <c r="AJ169" s="143">
        <v>0</v>
      </c>
      <c r="AK169" s="143">
        <v>0</v>
      </c>
      <c r="AL169" s="143">
        <v>0</v>
      </c>
      <c r="AM169" s="143">
        <v>0</v>
      </c>
      <c r="AN169" s="143">
        <v>0</v>
      </c>
      <c r="AO169" s="143">
        <v>0</v>
      </c>
      <c r="AP169" s="143">
        <v>0</v>
      </c>
      <c r="AQ169" s="143">
        <v>0</v>
      </c>
      <c r="AR169" s="143">
        <v>0</v>
      </c>
      <c r="AS169" s="143">
        <v>0</v>
      </c>
      <c r="AT169" s="143">
        <v>0</v>
      </c>
      <c r="AU169" s="143">
        <v>0</v>
      </c>
      <c r="AV169" s="143">
        <v>0</v>
      </c>
      <c r="AW169" s="143">
        <v>0</v>
      </c>
      <c r="AX169" s="143">
        <v>0</v>
      </c>
      <c r="AY169" s="143">
        <v>0</v>
      </c>
      <c r="AZ169" s="143">
        <v>0</v>
      </c>
      <c r="BA169" s="143">
        <v>0</v>
      </c>
      <c r="BB169" s="143">
        <v>0</v>
      </c>
      <c r="BC169" s="143">
        <v>0</v>
      </c>
      <c r="BD169" s="143">
        <v>0</v>
      </c>
      <c r="BE169" s="143">
        <v>0</v>
      </c>
      <c r="BF169" s="143">
        <v>0</v>
      </c>
      <c r="BG169" s="143">
        <v>0</v>
      </c>
      <c r="BH169" s="143">
        <v>0</v>
      </c>
      <c r="BI169" s="143">
        <v>0</v>
      </c>
      <c r="BJ169" s="995">
        <v>0</v>
      </c>
      <c r="BK169" s="143">
        <v>0</v>
      </c>
      <c r="BL169" s="143">
        <v>0</v>
      </c>
      <c r="BM169" s="143">
        <v>0</v>
      </c>
      <c r="BN169" s="143">
        <v>0</v>
      </c>
      <c r="BO169" s="143">
        <v>0</v>
      </c>
      <c r="BP169" s="143">
        <v>0</v>
      </c>
      <c r="BQ169" s="143">
        <v>0</v>
      </c>
      <c r="BR169" s="143">
        <v>0</v>
      </c>
      <c r="BS169" s="143">
        <v>0</v>
      </c>
      <c r="BT169" s="143">
        <v>0</v>
      </c>
      <c r="BU169" s="143">
        <v>0</v>
      </c>
      <c r="BV169" s="143">
        <v>0</v>
      </c>
      <c r="BW169" s="143">
        <v>0</v>
      </c>
      <c r="BX169" s="143">
        <v>0</v>
      </c>
      <c r="BY169" s="143">
        <v>0</v>
      </c>
      <c r="BZ169" s="995">
        <v>0</v>
      </c>
      <c r="CA169" s="143">
        <v>0</v>
      </c>
      <c r="CB169" s="143">
        <v>0</v>
      </c>
      <c r="CC169" s="143">
        <v>0</v>
      </c>
      <c r="CD169" s="143">
        <v>0</v>
      </c>
      <c r="CE169" s="143">
        <v>0</v>
      </c>
      <c r="CF169" s="143">
        <v>0</v>
      </c>
      <c r="CG169" s="143">
        <v>0</v>
      </c>
      <c r="CH169" s="143">
        <v>0</v>
      </c>
      <c r="CI169" s="143">
        <v>0</v>
      </c>
      <c r="CJ169" s="143">
        <v>0</v>
      </c>
      <c r="CK169" s="143">
        <v>0</v>
      </c>
      <c r="CL169" s="143">
        <v>0</v>
      </c>
      <c r="CM169" s="143">
        <v>0</v>
      </c>
      <c r="CN169" s="143">
        <v>0</v>
      </c>
      <c r="CO169" s="143">
        <v>0</v>
      </c>
      <c r="CP169" s="143">
        <v>0</v>
      </c>
      <c r="CQ169" s="143">
        <v>0</v>
      </c>
      <c r="CR169" s="143">
        <v>0</v>
      </c>
      <c r="CS169" s="143">
        <v>0</v>
      </c>
      <c r="CT169" s="143">
        <v>0</v>
      </c>
      <c r="CU169" s="143">
        <v>0</v>
      </c>
      <c r="CV169" s="143">
        <v>0</v>
      </c>
      <c r="CW169" s="14">
        <v>0</v>
      </c>
      <c r="CX169" s="14">
        <v>0</v>
      </c>
      <c r="CY169" s="14">
        <v>0</v>
      </c>
      <c r="CZ169" s="995">
        <v>0</v>
      </c>
      <c r="DA169" s="995">
        <v>0</v>
      </c>
      <c r="DB169" s="995">
        <v>0</v>
      </c>
      <c r="DC169">
        <v>0</v>
      </c>
      <c r="DD169">
        <v>0</v>
      </c>
      <c r="DE169">
        <v>0</v>
      </c>
      <c r="DF169">
        <v>0</v>
      </c>
      <c r="DG169">
        <v>0</v>
      </c>
      <c r="DH169">
        <v>0</v>
      </c>
      <c r="DI169">
        <v>0</v>
      </c>
      <c r="DJ169">
        <v>0</v>
      </c>
      <c r="DK169">
        <v>0</v>
      </c>
      <c r="DL169">
        <v>0</v>
      </c>
      <c r="DM169">
        <v>0</v>
      </c>
      <c r="DN169">
        <v>0</v>
      </c>
      <c r="DO169">
        <v>0</v>
      </c>
      <c r="DP169">
        <v>0</v>
      </c>
      <c r="DQ169">
        <v>29.5</v>
      </c>
    </row>
    <row r="170" spans="1:121" x14ac:dyDescent="0.2">
      <c r="A170" s="14">
        <v>29.75</v>
      </c>
      <c r="B170" s="684">
        <f t="shared" si="47"/>
        <v>8.1814147712274839E-6</v>
      </c>
      <c r="C170" s="684">
        <f t="shared" si="48"/>
        <v>8.1814147712274669E-6</v>
      </c>
      <c r="D170" s="684">
        <f t="shared" si="36"/>
        <v>2.0453536928068667E-6</v>
      </c>
      <c r="E170" s="684">
        <f t="shared" si="49"/>
        <v>0.54739353223262244</v>
      </c>
      <c r="F170" s="684">
        <f t="shared" si="50"/>
        <v>0</v>
      </c>
      <c r="G170" s="684">
        <f t="shared" si="37"/>
        <v>0</v>
      </c>
      <c r="H170" s="684">
        <f t="shared" si="38"/>
        <v>0</v>
      </c>
      <c r="I170" s="1052">
        <f>HLOOKUP('Input &amp; Summary'!$B$6,TurbineProfiles,ROW(I170)-49,0)</f>
        <v>0</v>
      </c>
      <c r="J170" s="684">
        <f t="shared" si="51"/>
        <v>0</v>
      </c>
      <c r="K170" s="9">
        <f t="shared" si="52"/>
        <v>0</v>
      </c>
      <c r="L170" s="14">
        <f t="shared" si="53"/>
        <v>53065.576968280548</v>
      </c>
      <c r="M170" s="684">
        <f t="shared" si="54"/>
        <v>13970.914566649322</v>
      </c>
      <c r="N170" s="684">
        <f t="shared" si="39"/>
        <v>2117.4921141893815</v>
      </c>
      <c r="O170" s="684">
        <f t="shared" si="40"/>
        <v>0.99998937329239501</v>
      </c>
      <c r="P170" s="684">
        <f t="shared" si="41"/>
        <v>0</v>
      </c>
      <c r="Q170" s="684">
        <f t="shared" si="45"/>
        <v>2.2450380681160453E-6</v>
      </c>
      <c r="R170" s="684">
        <f t="shared" si="46"/>
        <v>2.0480981937076592E-6</v>
      </c>
      <c r="S170" s="684">
        <f t="shared" si="42"/>
        <v>0</v>
      </c>
      <c r="T170" s="684">
        <f t="shared" si="43"/>
        <v>0</v>
      </c>
      <c r="U170" s="14">
        <f t="shared" si="44"/>
        <v>0</v>
      </c>
      <c r="V170">
        <v>0</v>
      </c>
      <c r="W170">
        <v>0</v>
      </c>
      <c r="X170">
        <v>0</v>
      </c>
      <c r="Y170">
        <v>0</v>
      </c>
      <c r="Z170">
        <v>0</v>
      </c>
      <c r="AA170">
        <v>0</v>
      </c>
      <c r="AB170">
        <v>0</v>
      </c>
      <c r="AC170">
        <v>0</v>
      </c>
      <c r="AD170">
        <v>0</v>
      </c>
      <c r="AE170" s="143">
        <v>0</v>
      </c>
      <c r="AF170" s="143">
        <v>0</v>
      </c>
      <c r="AG170" s="143">
        <v>0</v>
      </c>
      <c r="AH170" s="143">
        <v>0</v>
      </c>
      <c r="AI170" s="995">
        <v>0</v>
      </c>
      <c r="AJ170" s="143">
        <v>0</v>
      </c>
      <c r="AK170" s="143">
        <v>0</v>
      </c>
      <c r="AL170" s="143">
        <v>0</v>
      </c>
      <c r="AM170" s="143">
        <v>0</v>
      </c>
      <c r="AN170" s="143">
        <v>0</v>
      </c>
      <c r="AO170" s="143">
        <v>0</v>
      </c>
      <c r="AP170" s="143">
        <v>0</v>
      </c>
      <c r="AQ170" s="143">
        <v>0</v>
      </c>
      <c r="AR170" s="143">
        <v>0</v>
      </c>
      <c r="AS170" s="143">
        <v>0</v>
      </c>
      <c r="AT170" s="143">
        <v>0</v>
      </c>
      <c r="AU170" s="143">
        <v>0</v>
      </c>
      <c r="AV170" s="143">
        <v>0</v>
      </c>
      <c r="AW170" s="143">
        <v>0</v>
      </c>
      <c r="AX170" s="143">
        <v>0</v>
      </c>
      <c r="AY170" s="143">
        <v>0</v>
      </c>
      <c r="AZ170" s="143">
        <v>0</v>
      </c>
      <c r="BA170" s="143">
        <v>0</v>
      </c>
      <c r="BB170" s="143">
        <v>0</v>
      </c>
      <c r="BC170" s="143">
        <v>0</v>
      </c>
      <c r="BD170" s="143">
        <v>0</v>
      </c>
      <c r="BE170" s="143">
        <v>0</v>
      </c>
      <c r="BF170" s="143">
        <v>0</v>
      </c>
      <c r="BG170" s="143">
        <v>0</v>
      </c>
      <c r="BH170" s="143">
        <v>0</v>
      </c>
      <c r="BI170" s="143">
        <v>0</v>
      </c>
      <c r="BJ170" s="995">
        <v>0</v>
      </c>
      <c r="BK170" s="143">
        <v>0</v>
      </c>
      <c r="BL170" s="143">
        <v>0</v>
      </c>
      <c r="BM170" s="143">
        <v>0</v>
      </c>
      <c r="BN170" s="143">
        <v>0</v>
      </c>
      <c r="BO170" s="143">
        <v>0</v>
      </c>
      <c r="BP170" s="143">
        <v>0</v>
      </c>
      <c r="BQ170" s="143">
        <v>0</v>
      </c>
      <c r="BR170" s="143">
        <v>0</v>
      </c>
      <c r="BS170" s="143">
        <v>0</v>
      </c>
      <c r="BT170" s="143">
        <v>0</v>
      </c>
      <c r="BU170" s="143">
        <v>0</v>
      </c>
      <c r="BV170" s="143">
        <v>0</v>
      </c>
      <c r="BW170" s="143">
        <v>0</v>
      </c>
      <c r="BX170" s="143">
        <v>0</v>
      </c>
      <c r="BY170" s="143">
        <v>0</v>
      </c>
      <c r="BZ170" s="995">
        <v>0</v>
      </c>
      <c r="CA170" s="143">
        <v>0</v>
      </c>
      <c r="CB170" s="143">
        <v>0</v>
      </c>
      <c r="CC170" s="143">
        <v>0</v>
      </c>
      <c r="CD170" s="143">
        <v>0</v>
      </c>
      <c r="CE170" s="143">
        <v>0</v>
      </c>
      <c r="CF170" s="143">
        <v>0</v>
      </c>
      <c r="CG170" s="143">
        <v>0</v>
      </c>
      <c r="CH170" s="143">
        <v>0</v>
      </c>
      <c r="CI170" s="143">
        <v>0</v>
      </c>
      <c r="CJ170" s="143">
        <v>0</v>
      </c>
      <c r="CK170" s="143">
        <v>0</v>
      </c>
      <c r="CL170" s="143">
        <v>0</v>
      </c>
      <c r="CM170" s="143">
        <v>0</v>
      </c>
      <c r="CN170" s="143">
        <v>0</v>
      </c>
      <c r="CO170" s="143">
        <v>0</v>
      </c>
      <c r="CP170" s="143">
        <v>0</v>
      </c>
      <c r="CQ170" s="143">
        <v>0</v>
      </c>
      <c r="CR170" s="143">
        <v>0</v>
      </c>
      <c r="CS170" s="143">
        <v>0</v>
      </c>
      <c r="CT170" s="143">
        <v>0</v>
      </c>
      <c r="CU170" s="143">
        <v>0</v>
      </c>
      <c r="CV170" s="143">
        <v>0</v>
      </c>
      <c r="CW170" s="14">
        <v>0</v>
      </c>
      <c r="CX170" s="14">
        <v>0</v>
      </c>
      <c r="CY170" s="14">
        <v>0</v>
      </c>
      <c r="CZ170" s="995">
        <v>0</v>
      </c>
      <c r="DA170" s="995">
        <v>0</v>
      </c>
      <c r="DB170" s="995">
        <v>0</v>
      </c>
      <c r="DC170">
        <v>0</v>
      </c>
      <c r="DD170">
        <v>0</v>
      </c>
      <c r="DE170">
        <v>0</v>
      </c>
      <c r="DF170">
        <v>0</v>
      </c>
      <c r="DG170">
        <v>0</v>
      </c>
      <c r="DH170">
        <v>0</v>
      </c>
      <c r="DI170">
        <v>0</v>
      </c>
      <c r="DJ170">
        <v>0</v>
      </c>
      <c r="DK170">
        <v>0</v>
      </c>
      <c r="DL170">
        <v>0</v>
      </c>
      <c r="DM170">
        <v>0</v>
      </c>
      <c r="DN170">
        <v>0</v>
      </c>
      <c r="DO170">
        <v>0</v>
      </c>
      <c r="DP170">
        <v>0</v>
      </c>
      <c r="DQ170">
        <v>29.75</v>
      </c>
    </row>
    <row r="171" spans="1:121" x14ac:dyDescent="0.2">
      <c r="A171" s="14">
        <v>30</v>
      </c>
      <c r="B171" s="684">
        <f t="shared" si="47"/>
        <v>6.8001977107292336E-6</v>
      </c>
      <c r="C171" s="684">
        <f t="shared" si="48"/>
        <v>6.8001977107292226E-6</v>
      </c>
      <c r="D171" s="684">
        <f t="shared" si="36"/>
        <v>1.7000494276823057E-6</v>
      </c>
      <c r="E171" s="684">
        <f t="shared" si="49"/>
        <v>0.46654726169808397</v>
      </c>
      <c r="F171" s="684">
        <f t="shared" si="50"/>
        <v>0</v>
      </c>
      <c r="G171" s="684">
        <f t="shared" si="37"/>
        <v>0</v>
      </c>
      <c r="H171" s="684">
        <f t="shared" si="38"/>
        <v>0</v>
      </c>
      <c r="I171" s="1052">
        <f>HLOOKUP('Input &amp; Summary'!$B$6,TurbineProfiles,ROW(I171)-49,0)</f>
        <v>0</v>
      </c>
      <c r="J171" s="684">
        <f t="shared" si="51"/>
        <v>0</v>
      </c>
      <c r="K171" s="9">
        <f t="shared" si="52"/>
        <v>0</v>
      </c>
      <c r="L171" s="14">
        <f t="shared" si="53"/>
        <v>54414.638025960034</v>
      </c>
      <c r="M171" s="684">
        <f t="shared" si="54"/>
        <v>14122.250016240754</v>
      </c>
      <c r="N171" s="684">
        <f t="shared" si="39"/>
        <v>2117.4921141893815</v>
      </c>
      <c r="O171" s="684">
        <f t="shared" si="40"/>
        <v>0.999991240938502</v>
      </c>
      <c r="P171" s="684">
        <f t="shared" si="41"/>
        <v>0</v>
      </c>
      <c r="Q171" s="684">
        <f t="shared" si="45"/>
        <v>1.867646106989973E-6</v>
      </c>
      <c r="R171" s="684">
        <f t="shared" si="46"/>
        <v>1.7023749128153298E-6</v>
      </c>
      <c r="S171" s="684">
        <f t="shared" si="42"/>
        <v>0</v>
      </c>
      <c r="T171" s="684">
        <f t="shared" si="43"/>
        <v>0</v>
      </c>
      <c r="U171" s="14">
        <f t="shared" si="44"/>
        <v>0</v>
      </c>
      <c r="V171">
        <v>0</v>
      </c>
      <c r="W171">
        <v>0</v>
      </c>
      <c r="X171">
        <v>0</v>
      </c>
      <c r="Y171">
        <v>0</v>
      </c>
      <c r="Z171">
        <v>0</v>
      </c>
      <c r="AA171">
        <v>0</v>
      </c>
      <c r="AB171">
        <v>0</v>
      </c>
      <c r="AC171">
        <v>0</v>
      </c>
      <c r="AD171">
        <v>0</v>
      </c>
      <c r="AE171" s="143">
        <v>0</v>
      </c>
      <c r="AF171" s="143">
        <v>0</v>
      </c>
      <c r="AG171" s="143">
        <v>0</v>
      </c>
      <c r="AH171" s="143">
        <v>0</v>
      </c>
      <c r="AI171" s="995">
        <v>0</v>
      </c>
      <c r="AJ171" s="143">
        <v>0</v>
      </c>
      <c r="AK171" s="143">
        <v>0</v>
      </c>
      <c r="AL171" s="143">
        <v>0</v>
      </c>
      <c r="AM171" s="143">
        <v>0</v>
      </c>
      <c r="AN171" s="143">
        <v>0</v>
      </c>
      <c r="AO171" s="143">
        <v>0</v>
      </c>
      <c r="AP171" s="143">
        <v>0</v>
      </c>
      <c r="AQ171" s="143">
        <v>0</v>
      </c>
      <c r="AR171" s="143">
        <v>0</v>
      </c>
      <c r="AS171" s="143">
        <v>0</v>
      </c>
      <c r="AT171" s="143">
        <v>0</v>
      </c>
      <c r="AU171" s="143">
        <v>0</v>
      </c>
      <c r="AV171" s="143">
        <v>0</v>
      </c>
      <c r="AW171" s="143">
        <v>0</v>
      </c>
      <c r="AX171" s="143">
        <v>0</v>
      </c>
      <c r="AY171" s="143">
        <v>0</v>
      </c>
      <c r="AZ171" s="143">
        <v>0</v>
      </c>
      <c r="BA171" s="143">
        <v>0</v>
      </c>
      <c r="BB171" s="143">
        <v>0</v>
      </c>
      <c r="BC171" s="143">
        <v>0</v>
      </c>
      <c r="BD171" s="143">
        <v>0</v>
      </c>
      <c r="BE171" s="143">
        <v>0</v>
      </c>
      <c r="BF171" s="143">
        <v>0</v>
      </c>
      <c r="BG171" s="143">
        <v>0</v>
      </c>
      <c r="BH171" s="143">
        <v>0</v>
      </c>
      <c r="BI171" s="143">
        <v>0</v>
      </c>
      <c r="BJ171" s="995">
        <v>0</v>
      </c>
      <c r="BK171" s="143">
        <v>0</v>
      </c>
      <c r="BL171" s="143">
        <v>0</v>
      </c>
      <c r="BM171" s="143">
        <v>0</v>
      </c>
      <c r="BN171" s="143">
        <v>0</v>
      </c>
      <c r="BO171" s="143">
        <v>0</v>
      </c>
      <c r="BP171" s="143">
        <v>0</v>
      </c>
      <c r="BQ171" s="143">
        <v>0</v>
      </c>
      <c r="BR171" s="143">
        <v>0</v>
      </c>
      <c r="BS171" s="143">
        <v>0</v>
      </c>
      <c r="BT171" s="143">
        <v>0</v>
      </c>
      <c r="BU171" s="143">
        <v>0</v>
      </c>
      <c r="BV171" s="143">
        <v>0</v>
      </c>
      <c r="BW171" s="143">
        <v>0</v>
      </c>
      <c r="BX171" s="143">
        <v>0</v>
      </c>
      <c r="BY171" s="143">
        <v>0</v>
      </c>
      <c r="BZ171" s="995">
        <v>0</v>
      </c>
      <c r="CA171" s="143">
        <v>0</v>
      </c>
      <c r="CB171" s="143">
        <v>0</v>
      </c>
      <c r="CC171" s="143">
        <v>0</v>
      </c>
      <c r="CD171" s="143">
        <v>0</v>
      </c>
      <c r="CE171" s="143">
        <v>0</v>
      </c>
      <c r="CF171" s="143">
        <v>0</v>
      </c>
      <c r="CG171" s="143">
        <v>0</v>
      </c>
      <c r="CH171" s="143">
        <v>0</v>
      </c>
      <c r="CI171" s="143">
        <v>0</v>
      </c>
      <c r="CJ171" s="143">
        <v>0</v>
      </c>
      <c r="CK171" s="143">
        <v>0</v>
      </c>
      <c r="CL171" s="143">
        <v>0</v>
      </c>
      <c r="CM171" s="143">
        <v>0</v>
      </c>
      <c r="CN171" s="143">
        <v>0</v>
      </c>
      <c r="CO171" s="143">
        <v>0</v>
      </c>
      <c r="CP171" s="143">
        <v>0</v>
      </c>
      <c r="CQ171" s="143">
        <v>0</v>
      </c>
      <c r="CR171" s="143">
        <v>0</v>
      </c>
      <c r="CS171" s="143">
        <v>0</v>
      </c>
      <c r="CT171" s="143">
        <v>0</v>
      </c>
      <c r="CU171" s="143">
        <v>0</v>
      </c>
      <c r="CV171" s="143">
        <v>0</v>
      </c>
      <c r="CW171" s="14">
        <v>0</v>
      </c>
      <c r="CX171" s="14">
        <v>0</v>
      </c>
      <c r="CY171" s="14">
        <v>0</v>
      </c>
      <c r="CZ171" s="995">
        <v>0</v>
      </c>
      <c r="DA171" s="995">
        <v>0</v>
      </c>
      <c r="DB171" s="995">
        <v>0</v>
      </c>
      <c r="DC171">
        <v>0</v>
      </c>
      <c r="DD171">
        <v>0</v>
      </c>
      <c r="DE171">
        <v>0</v>
      </c>
      <c r="DF171">
        <v>0</v>
      </c>
      <c r="DG171">
        <v>0</v>
      </c>
      <c r="DH171">
        <v>0</v>
      </c>
      <c r="DI171">
        <v>0</v>
      </c>
      <c r="DJ171">
        <v>0</v>
      </c>
      <c r="DK171">
        <v>0</v>
      </c>
      <c r="DL171">
        <v>0</v>
      </c>
      <c r="DM171">
        <v>0</v>
      </c>
      <c r="DN171">
        <v>0</v>
      </c>
      <c r="DO171">
        <v>0</v>
      </c>
      <c r="DP171">
        <v>0</v>
      </c>
      <c r="DQ171">
        <v>30</v>
      </c>
    </row>
    <row r="172" spans="1:121" x14ac:dyDescent="0.2">
      <c r="A172" s="14">
        <v>30.25</v>
      </c>
      <c r="B172" s="684">
        <f t="shared" si="47"/>
        <v>5.6426364762159389E-6</v>
      </c>
      <c r="C172" s="684">
        <f t="shared" si="48"/>
        <v>5.6426364762159381E-6</v>
      </c>
      <c r="D172" s="684">
        <f t="shared" si="36"/>
        <v>1.4106591190539845E-6</v>
      </c>
      <c r="E172" s="684">
        <f t="shared" si="49"/>
        <v>0.39688853166101518</v>
      </c>
      <c r="F172" s="684">
        <f t="shared" si="50"/>
        <v>0</v>
      </c>
      <c r="G172" s="684">
        <f t="shared" si="37"/>
        <v>0</v>
      </c>
      <c r="H172" s="684">
        <f t="shared" si="38"/>
        <v>0</v>
      </c>
      <c r="I172" s="1052">
        <f>HLOOKUP('Input &amp; Summary'!$B$6,TurbineProfiles,ROW(I172)-49,0)</f>
        <v>0</v>
      </c>
      <c r="J172" s="684">
        <f t="shared" si="51"/>
        <v>0</v>
      </c>
      <c r="K172" s="9">
        <f t="shared" si="52"/>
        <v>0</v>
      </c>
      <c r="L172" s="14">
        <f t="shared" si="53"/>
        <v>55786.371849483679</v>
      </c>
      <c r="M172" s="684">
        <f t="shared" si="54"/>
        <v>14273.585465832188</v>
      </c>
      <c r="N172" s="684">
        <f t="shared" si="39"/>
        <v>2117.4921141893815</v>
      </c>
      <c r="O172" s="684">
        <f t="shared" si="40"/>
        <v>0.99999279201318414</v>
      </c>
      <c r="P172" s="684">
        <f t="shared" si="41"/>
        <v>0</v>
      </c>
      <c r="Q172" s="684">
        <f t="shared" si="45"/>
        <v>1.5510746821378874E-6</v>
      </c>
      <c r="R172" s="684">
        <f t="shared" si="46"/>
        <v>1.4126258343072351E-6</v>
      </c>
      <c r="S172" s="684">
        <f t="shared" si="42"/>
        <v>0</v>
      </c>
      <c r="T172" s="684">
        <f t="shared" si="43"/>
        <v>0</v>
      </c>
      <c r="U172" s="14">
        <f t="shared" si="44"/>
        <v>0</v>
      </c>
      <c r="V172">
        <v>0</v>
      </c>
      <c r="W172">
        <v>0</v>
      </c>
      <c r="X172">
        <v>0</v>
      </c>
      <c r="Y172">
        <v>0</v>
      </c>
      <c r="Z172">
        <v>0</v>
      </c>
      <c r="AA172">
        <v>0</v>
      </c>
      <c r="AB172">
        <v>0</v>
      </c>
      <c r="AC172">
        <v>0</v>
      </c>
      <c r="AD172">
        <v>0</v>
      </c>
      <c r="AE172" s="143">
        <v>0</v>
      </c>
      <c r="AF172" s="143">
        <v>0</v>
      </c>
      <c r="AG172" s="143">
        <v>0</v>
      </c>
      <c r="AH172" s="143">
        <v>0</v>
      </c>
      <c r="AI172" s="995">
        <v>0</v>
      </c>
      <c r="AJ172" s="143">
        <v>0</v>
      </c>
      <c r="AK172" s="143">
        <v>0</v>
      </c>
      <c r="AL172" s="143">
        <v>0</v>
      </c>
      <c r="AM172" s="143">
        <v>0</v>
      </c>
      <c r="AN172" s="143">
        <v>0</v>
      </c>
      <c r="AO172" s="143">
        <v>0</v>
      </c>
      <c r="AP172" s="143">
        <v>0</v>
      </c>
      <c r="AQ172" s="143">
        <v>0</v>
      </c>
      <c r="AR172" s="143">
        <v>0</v>
      </c>
      <c r="AS172" s="143">
        <v>0</v>
      </c>
      <c r="AT172" s="143">
        <v>0</v>
      </c>
      <c r="AU172" s="143">
        <v>0</v>
      </c>
      <c r="AV172" s="143">
        <v>0</v>
      </c>
      <c r="AW172" s="143">
        <v>0</v>
      </c>
      <c r="AX172" s="143">
        <v>0</v>
      </c>
      <c r="AY172" s="143">
        <v>0</v>
      </c>
      <c r="AZ172" s="143">
        <v>0</v>
      </c>
      <c r="BA172" s="143">
        <v>0</v>
      </c>
      <c r="BB172" s="143">
        <v>0</v>
      </c>
      <c r="BC172" s="143">
        <v>0</v>
      </c>
      <c r="BD172" s="143">
        <v>0</v>
      </c>
      <c r="BE172" s="143">
        <v>0</v>
      </c>
      <c r="BF172" s="143">
        <v>0</v>
      </c>
      <c r="BG172" s="143">
        <v>0</v>
      </c>
      <c r="BH172" s="143">
        <v>0</v>
      </c>
      <c r="BI172" s="143">
        <v>0</v>
      </c>
      <c r="BJ172" s="995">
        <v>0</v>
      </c>
      <c r="BK172" s="143">
        <v>0</v>
      </c>
      <c r="BL172" s="143">
        <v>0</v>
      </c>
      <c r="BM172" s="143">
        <v>0</v>
      </c>
      <c r="BN172" s="143">
        <v>0</v>
      </c>
      <c r="BO172" s="143">
        <v>0</v>
      </c>
      <c r="BP172" s="143">
        <v>0</v>
      </c>
      <c r="BQ172" s="143">
        <v>0</v>
      </c>
      <c r="BR172" s="143">
        <v>0</v>
      </c>
      <c r="BS172" s="143">
        <v>0</v>
      </c>
      <c r="BT172" s="143">
        <v>0</v>
      </c>
      <c r="BU172" s="143">
        <v>0</v>
      </c>
      <c r="BV172" s="143">
        <v>0</v>
      </c>
      <c r="BW172" s="143">
        <v>0</v>
      </c>
      <c r="BX172" s="143">
        <v>0</v>
      </c>
      <c r="BY172" s="143">
        <v>0</v>
      </c>
      <c r="BZ172" s="995">
        <v>0</v>
      </c>
      <c r="CA172" s="143">
        <v>0</v>
      </c>
      <c r="CB172" s="143">
        <v>0</v>
      </c>
      <c r="CC172" s="143">
        <v>0</v>
      </c>
      <c r="CD172" s="143">
        <v>0</v>
      </c>
      <c r="CE172" s="143">
        <v>0</v>
      </c>
      <c r="CF172" s="143">
        <v>0</v>
      </c>
      <c r="CG172" s="143">
        <v>0</v>
      </c>
      <c r="CH172" s="143">
        <v>0</v>
      </c>
      <c r="CI172" s="143">
        <v>0</v>
      </c>
      <c r="CJ172" s="143">
        <v>0</v>
      </c>
      <c r="CK172" s="143">
        <v>0</v>
      </c>
      <c r="CL172" s="143">
        <v>0</v>
      </c>
      <c r="CM172" s="143">
        <v>0</v>
      </c>
      <c r="CN172" s="143">
        <v>0</v>
      </c>
      <c r="CO172" s="143">
        <v>0</v>
      </c>
      <c r="CP172" s="143">
        <v>0</v>
      </c>
      <c r="CQ172" s="143">
        <v>0</v>
      </c>
      <c r="CR172" s="143">
        <v>0</v>
      </c>
      <c r="CS172" s="143">
        <v>0</v>
      </c>
      <c r="CT172" s="143">
        <v>0</v>
      </c>
      <c r="CU172" s="143">
        <v>0</v>
      </c>
      <c r="CV172" s="143">
        <v>0</v>
      </c>
      <c r="CW172" s="14">
        <v>0</v>
      </c>
      <c r="CX172" s="14">
        <v>0</v>
      </c>
      <c r="CY172" s="14">
        <v>0</v>
      </c>
      <c r="CZ172" s="995">
        <v>0</v>
      </c>
      <c r="DA172" s="995">
        <v>0</v>
      </c>
      <c r="DB172" s="995">
        <v>0</v>
      </c>
      <c r="DC172">
        <v>0</v>
      </c>
      <c r="DD172">
        <v>0</v>
      </c>
      <c r="DE172">
        <v>0</v>
      </c>
      <c r="DF172">
        <v>0</v>
      </c>
      <c r="DG172">
        <v>0</v>
      </c>
      <c r="DH172">
        <v>0</v>
      </c>
      <c r="DI172">
        <v>0</v>
      </c>
      <c r="DJ172">
        <v>0</v>
      </c>
      <c r="DK172">
        <v>0</v>
      </c>
      <c r="DL172">
        <v>0</v>
      </c>
      <c r="DM172">
        <v>0</v>
      </c>
      <c r="DN172">
        <v>0</v>
      </c>
      <c r="DO172">
        <v>0</v>
      </c>
      <c r="DP172">
        <v>0</v>
      </c>
      <c r="DQ172">
        <v>30.25</v>
      </c>
    </row>
    <row r="173" spans="1:121" x14ac:dyDescent="0.2">
      <c r="A173" s="14">
        <v>30.5</v>
      </c>
      <c r="B173" s="684">
        <f t="shared" si="47"/>
        <v>4.6742345792595591E-6</v>
      </c>
      <c r="C173" s="684">
        <f t="shared" si="48"/>
        <v>4.6742345792595583E-6</v>
      </c>
      <c r="D173" s="684">
        <f t="shared" si="36"/>
        <v>1.1685586448148896E-6</v>
      </c>
      <c r="E173" s="684">
        <f t="shared" si="49"/>
        <v>0.33699259889224265</v>
      </c>
      <c r="F173" s="684">
        <f t="shared" si="50"/>
        <v>0</v>
      </c>
      <c r="G173" s="684">
        <f t="shared" si="37"/>
        <v>0</v>
      </c>
      <c r="H173" s="684">
        <f t="shared" si="38"/>
        <v>0</v>
      </c>
      <c r="I173" s="1052">
        <f>HLOOKUP('Input &amp; Summary'!$B$6,TurbineProfiles,ROW(I173)-49,0)</f>
        <v>0</v>
      </c>
      <c r="J173" s="684">
        <f t="shared" si="51"/>
        <v>0</v>
      </c>
      <c r="K173" s="9">
        <f t="shared" si="52"/>
        <v>0</v>
      </c>
      <c r="L173" s="14">
        <f t="shared" si="53"/>
        <v>57180.967378566835</v>
      </c>
      <c r="M173" s="684">
        <f t="shared" si="54"/>
        <v>14424.92091542362</v>
      </c>
      <c r="N173" s="684">
        <f t="shared" si="39"/>
        <v>2117.4921141893815</v>
      </c>
      <c r="O173" s="684">
        <f t="shared" si="40"/>
        <v>0.99999407800610707</v>
      </c>
      <c r="P173" s="684">
        <f t="shared" si="41"/>
        <v>0</v>
      </c>
      <c r="Q173" s="684">
        <f t="shared" si="45"/>
        <v>1.2859929229280809E-6</v>
      </c>
      <c r="R173" s="684">
        <f t="shared" si="46"/>
        <v>1.1702188037476802E-6</v>
      </c>
      <c r="S173" s="684">
        <f t="shared" si="42"/>
        <v>0</v>
      </c>
      <c r="T173" s="684">
        <f t="shared" si="43"/>
        <v>0</v>
      </c>
      <c r="U173" s="14">
        <f t="shared" si="44"/>
        <v>0</v>
      </c>
      <c r="V173">
        <v>0</v>
      </c>
      <c r="W173">
        <v>0</v>
      </c>
      <c r="X173">
        <v>0</v>
      </c>
      <c r="Y173">
        <v>0</v>
      </c>
      <c r="Z173">
        <v>0</v>
      </c>
      <c r="AA173">
        <v>0</v>
      </c>
      <c r="AB173">
        <v>0</v>
      </c>
      <c r="AC173">
        <v>0</v>
      </c>
      <c r="AD173">
        <v>0</v>
      </c>
      <c r="AE173" s="143">
        <v>0</v>
      </c>
      <c r="AF173" s="143">
        <v>0</v>
      </c>
      <c r="AG173" s="143">
        <v>0</v>
      </c>
      <c r="AH173" s="143">
        <v>0</v>
      </c>
      <c r="AI173" s="995">
        <v>0</v>
      </c>
      <c r="AJ173" s="143">
        <v>0</v>
      </c>
      <c r="AK173" s="143">
        <v>0</v>
      </c>
      <c r="AL173" s="143">
        <v>0</v>
      </c>
      <c r="AM173" s="143">
        <v>0</v>
      </c>
      <c r="AN173" s="143">
        <v>0</v>
      </c>
      <c r="AO173" s="143">
        <v>0</v>
      </c>
      <c r="AP173" s="143">
        <v>0</v>
      </c>
      <c r="AQ173" s="143">
        <v>0</v>
      </c>
      <c r="AR173" s="143">
        <v>0</v>
      </c>
      <c r="AS173" s="143">
        <v>0</v>
      </c>
      <c r="AT173" s="143">
        <v>0</v>
      </c>
      <c r="AU173" s="143">
        <v>0</v>
      </c>
      <c r="AV173" s="143">
        <v>0</v>
      </c>
      <c r="AW173" s="143">
        <v>0</v>
      </c>
      <c r="AX173" s="143">
        <v>0</v>
      </c>
      <c r="AY173" s="143">
        <v>0</v>
      </c>
      <c r="AZ173" s="143">
        <v>0</v>
      </c>
      <c r="BA173" s="143">
        <v>0</v>
      </c>
      <c r="BB173" s="143">
        <v>0</v>
      </c>
      <c r="BC173" s="143">
        <v>0</v>
      </c>
      <c r="BD173" s="143">
        <v>0</v>
      </c>
      <c r="BE173" s="143">
        <v>0</v>
      </c>
      <c r="BF173" s="143">
        <v>0</v>
      </c>
      <c r="BG173" s="143">
        <v>0</v>
      </c>
      <c r="BH173" s="143">
        <v>0</v>
      </c>
      <c r="BI173" s="143">
        <v>0</v>
      </c>
      <c r="BJ173" s="995">
        <v>0</v>
      </c>
      <c r="BK173" s="143">
        <v>0</v>
      </c>
      <c r="BL173" s="143">
        <v>0</v>
      </c>
      <c r="BM173" s="143">
        <v>0</v>
      </c>
      <c r="BN173" s="143">
        <v>0</v>
      </c>
      <c r="BO173" s="143">
        <v>0</v>
      </c>
      <c r="BP173" s="143">
        <v>0</v>
      </c>
      <c r="BQ173" s="143">
        <v>0</v>
      </c>
      <c r="BR173" s="143">
        <v>0</v>
      </c>
      <c r="BS173" s="143">
        <v>0</v>
      </c>
      <c r="BT173" s="143">
        <v>0</v>
      </c>
      <c r="BU173" s="143">
        <v>0</v>
      </c>
      <c r="BV173" s="143">
        <v>0</v>
      </c>
      <c r="BW173" s="143">
        <v>0</v>
      </c>
      <c r="BX173" s="143">
        <v>0</v>
      </c>
      <c r="BY173" s="143">
        <v>0</v>
      </c>
      <c r="BZ173" s="995">
        <v>0</v>
      </c>
      <c r="CA173" s="143">
        <v>0</v>
      </c>
      <c r="CB173" s="143">
        <v>0</v>
      </c>
      <c r="CC173" s="143">
        <v>0</v>
      </c>
      <c r="CD173" s="143">
        <v>0</v>
      </c>
      <c r="CE173" s="143">
        <v>0</v>
      </c>
      <c r="CF173" s="143">
        <v>0</v>
      </c>
      <c r="CG173" s="143">
        <v>0</v>
      </c>
      <c r="CH173" s="143">
        <v>0</v>
      </c>
      <c r="CI173" s="143">
        <v>0</v>
      </c>
      <c r="CJ173" s="143">
        <v>0</v>
      </c>
      <c r="CK173" s="143">
        <v>0</v>
      </c>
      <c r="CL173" s="143">
        <v>0</v>
      </c>
      <c r="CM173" s="143">
        <v>0</v>
      </c>
      <c r="CN173" s="143">
        <v>0</v>
      </c>
      <c r="CO173" s="143">
        <v>0</v>
      </c>
      <c r="CP173" s="143">
        <v>0</v>
      </c>
      <c r="CQ173" s="143">
        <v>0</v>
      </c>
      <c r="CR173" s="143">
        <v>0</v>
      </c>
      <c r="CS173" s="143">
        <v>0</v>
      </c>
      <c r="CT173" s="143">
        <v>0</v>
      </c>
      <c r="CU173" s="143">
        <v>0</v>
      </c>
      <c r="CV173" s="143">
        <v>0</v>
      </c>
      <c r="CW173" s="14">
        <v>0</v>
      </c>
      <c r="CX173" s="14">
        <v>0</v>
      </c>
      <c r="CY173" s="14">
        <v>0</v>
      </c>
      <c r="CZ173" s="995">
        <v>0</v>
      </c>
      <c r="DA173" s="995">
        <v>0</v>
      </c>
      <c r="DB173" s="995">
        <v>0</v>
      </c>
      <c r="DC173">
        <v>0</v>
      </c>
      <c r="DD173">
        <v>0</v>
      </c>
      <c r="DE173">
        <v>0</v>
      </c>
      <c r="DF173">
        <v>0</v>
      </c>
      <c r="DG173">
        <v>0</v>
      </c>
      <c r="DH173">
        <v>0</v>
      </c>
      <c r="DI173">
        <v>0</v>
      </c>
      <c r="DJ173">
        <v>0</v>
      </c>
      <c r="DK173">
        <v>0</v>
      </c>
      <c r="DL173">
        <v>0</v>
      </c>
      <c r="DM173">
        <v>0</v>
      </c>
      <c r="DN173">
        <v>0</v>
      </c>
      <c r="DO173">
        <v>0</v>
      </c>
      <c r="DP173">
        <v>0</v>
      </c>
      <c r="DQ173">
        <v>30.5</v>
      </c>
    </row>
    <row r="174" spans="1:121" x14ac:dyDescent="0.2">
      <c r="A174" s="14">
        <v>30.75</v>
      </c>
      <c r="B174" s="684">
        <f t="shared" si="47"/>
        <v>3.8655146169255421E-6</v>
      </c>
      <c r="C174" s="684">
        <f t="shared" si="48"/>
        <v>3.8655146169255412E-6</v>
      </c>
      <c r="D174" s="684">
        <f t="shared" si="36"/>
        <v>9.663786542313853E-7</v>
      </c>
      <c r="E174" s="684">
        <f t="shared" si="49"/>
        <v>0.28559659224006589</v>
      </c>
      <c r="F174" s="684">
        <f t="shared" si="50"/>
        <v>0</v>
      </c>
      <c r="G174" s="684">
        <f t="shared" si="37"/>
        <v>0</v>
      </c>
      <c r="H174" s="684">
        <f t="shared" si="38"/>
        <v>0</v>
      </c>
      <c r="I174" s="1052">
        <f>HLOOKUP('Input &amp; Summary'!$B$6,TurbineProfiles,ROW(I174)-49,0)</f>
        <v>0</v>
      </c>
      <c r="J174" s="684">
        <f t="shared" si="51"/>
        <v>0</v>
      </c>
      <c r="K174" s="9">
        <f t="shared" si="52"/>
        <v>0</v>
      </c>
      <c r="L174" s="14">
        <f t="shared" si="53"/>
        <v>58598.613552924893</v>
      </c>
      <c r="M174" s="684">
        <f t="shared" si="54"/>
        <v>14576.256365015051</v>
      </c>
      <c r="N174" s="684">
        <f t="shared" si="39"/>
        <v>2117.4921141893815</v>
      </c>
      <c r="O174" s="684">
        <f t="shared" si="40"/>
        <v>0.9999951424252731</v>
      </c>
      <c r="P174" s="684">
        <f t="shared" si="41"/>
        <v>0</v>
      </c>
      <c r="Q174" s="684">
        <f t="shared" si="45"/>
        <v>1.0644191660302837E-6</v>
      </c>
      <c r="R174" s="684">
        <f t="shared" si="46"/>
        <v>9.6777740599129913E-7</v>
      </c>
      <c r="S174" s="684">
        <f t="shared" si="42"/>
        <v>0</v>
      </c>
      <c r="T174" s="684">
        <f t="shared" si="43"/>
        <v>0</v>
      </c>
      <c r="U174" s="14">
        <f t="shared" si="44"/>
        <v>0</v>
      </c>
      <c r="V174">
        <v>0</v>
      </c>
      <c r="W174">
        <v>0</v>
      </c>
      <c r="X174">
        <v>0</v>
      </c>
      <c r="Y174">
        <v>0</v>
      </c>
      <c r="Z174">
        <v>0</v>
      </c>
      <c r="AA174">
        <v>0</v>
      </c>
      <c r="AB174">
        <v>0</v>
      </c>
      <c r="AC174">
        <v>0</v>
      </c>
      <c r="AD174">
        <v>0</v>
      </c>
      <c r="AE174" s="143">
        <v>0</v>
      </c>
      <c r="AF174" s="143">
        <v>0</v>
      </c>
      <c r="AG174" s="143">
        <v>0</v>
      </c>
      <c r="AH174" s="143">
        <v>0</v>
      </c>
      <c r="AI174" s="995">
        <v>0</v>
      </c>
      <c r="AJ174" s="143">
        <v>0</v>
      </c>
      <c r="AK174" s="143">
        <v>0</v>
      </c>
      <c r="AL174" s="143">
        <v>0</v>
      </c>
      <c r="AM174" s="143">
        <v>0</v>
      </c>
      <c r="AN174" s="143">
        <v>0</v>
      </c>
      <c r="AO174" s="143">
        <v>0</v>
      </c>
      <c r="AP174" s="143">
        <v>0</v>
      </c>
      <c r="AQ174" s="143">
        <v>0</v>
      </c>
      <c r="AR174" s="143">
        <v>0</v>
      </c>
      <c r="AS174" s="143">
        <v>0</v>
      </c>
      <c r="AT174" s="143">
        <v>0</v>
      </c>
      <c r="AU174" s="143">
        <v>0</v>
      </c>
      <c r="AV174" s="143">
        <v>0</v>
      </c>
      <c r="AW174" s="143">
        <v>0</v>
      </c>
      <c r="AX174" s="143">
        <v>0</v>
      </c>
      <c r="AY174" s="143">
        <v>0</v>
      </c>
      <c r="AZ174" s="143">
        <v>0</v>
      </c>
      <c r="BA174" s="143">
        <v>0</v>
      </c>
      <c r="BB174" s="143">
        <v>0</v>
      </c>
      <c r="BC174" s="143">
        <v>0</v>
      </c>
      <c r="BD174" s="143">
        <v>0</v>
      </c>
      <c r="BE174" s="143">
        <v>0</v>
      </c>
      <c r="BF174" s="143">
        <v>0</v>
      </c>
      <c r="BG174" s="143">
        <v>0</v>
      </c>
      <c r="BH174" s="143">
        <v>0</v>
      </c>
      <c r="BI174" s="143">
        <v>0</v>
      </c>
      <c r="BJ174" s="995">
        <v>0</v>
      </c>
      <c r="BK174" s="143">
        <v>0</v>
      </c>
      <c r="BL174" s="143">
        <v>0</v>
      </c>
      <c r="BM174" s="143">
        <v>0</v>
      </c>
      <c r="BN174" s="143">
        <v>0</v>
      </c>
      <c r="BO174" s="143">
        <v>0</v>
      </c>
      <c r="BP174" s="143">
        <v>0</v>
      </c>
      <c r="BQ174" s="143">
        <v>0</v>
      </c>
      <c r="BR174" s="143">
        <v>0</v>
      </c>
      <c r="BS174" s="143">
        <v>0</v>
      </c>
      <c r="BT174" s="143">
        <v>0</v>
      </c>
      <c r="BU174" s="143">
        <v>0</v>
      </c>
      <c r="BV174" s="143">
        <v>0</v>
      </c>
      <c r="BW174" s="143">
        <v>0</v>
      </c>
      <c r="BX174" s="143">
        <v>0</v>
      </c>
      <c r="BY174" s="143">
        <v>0</v>
      </c>
      <c r="BZ174" s="995">
        <v>0</v>
      </c>
      <c r="CA174" s="143">
        <v>0</v>
      </c>
      <c r="CB174" s="143">
        <v>0</v>
      </c>
      <c r="CC174" s="143">
        <v>0</v>
      </c>
      <c r="CD174" s="143">
        <v>0</v>
      </c>
      <c r="CE174" s="143">
        <v>0</v>
      </c>
      <c r="CF174" s="143">
        <v>0</v>
      </c>
      <c r="CG174" s="143">
        <v>0</v>
      </c>
      <c r="CH174" s="143">
        <v>0</v>
      </c>
      <c r="CI174" s="143">
        <v>0</v>
      </c>
      <c r="CJ174" s="143">
        <v>0</v>
      </c>
      <c r="CK174" s="143">
        <v>0</v>
      </c>
      <c r="CL174" s="143">
        <v>0</v>
      </c>
      <c r="CM174" s="143">
        <v>0</v>
      </c>
      <c r="CN174" s="143">
        <v>0</v>
      </c>
      <c r="CO174" s="143">
        <v>0</v>
      </c>
      <c r="CP174" s="143">
        <v>0</v>
      </c>
      <c r="CQ174" s="143">
        <v>0</v>
      </c>
      <c r="CR174" s="143">
        <v>0</v>
      </c>
      <c r="CS174" s="143">
        <v>0</v>
      </c>
      <c r="CT174" s="143">
        <v>0</v>
      </c>
      <c r="CU174" s="143">
        <v>0</v>
      </c>
      <c r="CV174" s="143">
        <v>0</v>
      </c>
      <c r="CW174" s="14">
        <v>0</v>
      </c>
      <c r="CX174" s="14">
        <v>0</v>
      </c>
      <c r="CY174" s="14">
        <v>0</v>
      </c>
      <c r="CZ174" s="995">
        <v>0</v>
      </c>
      <c r="DA174" s="995">
        <v>0</v>
      </c>
      <c r="DB174" s="995">
        <v>0</v>
      </c>
      <c r="DC174">
        <v>0</v>
      </c>
      <c r="DD174">
        <v>0</v>
      </c>
      <c r="DE174">
        <v>0</v>
      </c>
      <c r="DF174">
        <v>0</v>
      </c>
      <c r="DG174">
        <v>0</v>
      </c>
      <c r="DH174">
        <v>0</v>
      </c>
      <c r="DI174">
        <v>0</v>
      </c>
      <c r="DJ174">
        <v>0</v>
      </c>
      <c r="DK174">
        <v>0</v>
      </c>
      <c r="DL174">
        <v>0</v>
      </c>
      <c r="DM174">
        <v>0</v>
      </c>
      <c r="DN174">
        <v>0</v>
      </c>
      <c r="DO174">
        <v>0</v>
      </c>
      <c r="DP174">
        <v>0</v>
      </c>
      <c r="DQ174">
        <v>30.75</v>
      </c>
    </row>
    <row r="175" spans="1:121" x14ac:dyDescent="0.2">
      <c r="A175" s="14">
        <v>31</v>
      </c>
      <c r="B175" s="684">
        <f t="shared" si="47"/>
        <v>3.1913393870633078E-6</v>
      </c>
      <c r="C175" s="684">
        <f t="shared" si="48"/>
        <v>3.1913393870633128E-6</v>
      </c>
      <c r="D175" s="684">
        <f t="shared" si="36"/>
        <v>7.9783484676582821E-7</v>
      </c>
      <c r="E175" s="684">
        <f t="shared" si="49"/>
        <v>0.24158413734886444</v>
      </c>
      <c r="F175" s="684">
        <f t="shared" si="50"/>
        <v>0</v>
      </c>
      <c r="G175" s="684">
        <f t="shared" si="37"/>
        <v>0</v>
      </c>
      <c r="H175" s="684">
        <f t="shared" si="38"/>
        <v>0</v>
      </c>
      <c r="I175" s="1052">
        <f>HLOOKUP('Input &amp; Summary'!$B$6,TurbineProfiles,ROW(I175)-49,0)</f>
        <v>0</v>
      </c>
      <c r="J175" s="684">
        <f t="shared" si="51"/>
        <v>0</v>
      </c>
      <c r="K175" s="9">
        <f t="shared" si="52"/>
        <v>0</v>
      </c>
      <c r="L175" s="14">
        <f t="shared" si="53"/>
        <v>60039.499312273168</v>
      </c>
      <c r="M175" s="684">
        <f t="shared" si="54"/>
        <v>14727.591814606483</v>
      </c>
      <c r="N175" s="684">
        <f t="shared" si="39"/>
        <v>2117.4921141893815</v>
      </c>
      <c r="O175" s="684">
        <f t="shared" si="40"/>
        <v>0.99999602196509929</v>
      </c>
      <c r="P175" s="684">
        <f t="shared" si="41"/>
        <v>0</v>
      </c>
      <c r="Q175" s="684">
        <f t="shared" si="45"/>
        <v>8.7953982619293214E-7</v>
      </c>
      <c r="R175" s="684">
        <f t="shared" si="46"/>
        <v>7.9901114302671772E-7</v>
      </c>
      <c r="S175" s="684">
        <f t="shared" si="42"/>
        <v>0</v>
      </c>
      <c r="T175" s="684">
        <f t="shared" si="43"/>
        <v>0</v>
      </c>
      <c r="U175" s="14">
        <f t="shared" si="44"/>
        <v>0</v>
      </c>
      <c r="V175">
        <v>0</v>
      </c>
      <c r="W175">
        <v>0</v>
      </c>
      <c r="X175">
        <v>0</v>
      </c>
      <c r="Y175">
        <v>0</v>
      </c>
      <c r="Z175">
        <v>0</v>
      </c>
      <c r="AA175">
        <v>0</v>
      </c>
      <c r="AB175">
        <v>0</v>
      </c>
      <c r="AC175">
        <v>0</v>
      </c>
      <c r="AD175">
        <v>0</v>
      </c>
      <c r="AE175" s="143">
        <v>0</v>
      </c>
      <c r="AF175" s="143">
        <v>0</v>
      </c>
      <c r="AG175" s="143">
        <v>0</v>
      </c>
      <c r="AH175" s="143">
        <v>0</v>
      </c>
      <c r="AI175" s="995">
        <v>0</v>
      </c>
      <c r="AJ175" s="143">
        <v>0</v>
      </c>
      <c r="AK175" s="143">
        <v>0</v>
      </c>
      <c r="AL175" s="143">
        <v>0</v>
      </c>
      <c r="AM175" s="143">
        <v>0</v>
      </c>
      <c r="AN175" s="143">
        <v>0</v>
      </c>
      <c r="AO175" s="143">
        <v>0</v>
      </c>
      <c r="AP175" s="143">
        <v>0</v>
      </c>
      <c r="AQ175" s="143">
        <v>0</v>
      </c>
      <c r="AR175" s="143">
        <v>0</v>
      </c>
      <c r="AS175" s="143">
        <v>0</v>
      </c>
      <c r="AT175" s="143">
        <v>0</v>
      </c>
      <c r="AU175" s="143">
        <v>0</v>
      </c>
      <c r="AV175" s="143">
        <v>0</v>
      </c>
      <c r="AW175" s="143">
        <v>0</v>
      </c>
      <c r="AX175" s="143">
        <v>0</v>
      </c>
      <c r="AY175" s="143">
        <v>0</v>
      </c>
      <c r="AZ175" s="143">
        <v>0</v>
      </c>
      <c r="BA175" s="143">
        <v>0</v>
      </c>
      <c r="BB175" s="143">
        <v>0</v>
      </c>
      <c r="BC175" s="143">
        <v>0</v>
      </c>
      <c r="BD175" s="143">
        <v>0</v>
      </c>
      <c r="BE175" s="143">
        <v>0</v>
      </c>
      <c r="BF175" s="143">
        <v>0</v>
      </c>
      <c r="BG175" s="143">
        <v>0</v>
      </c>
      <c r="BH175" s="143">
        <v>0</v>
      </c>
      <c r="BI175" s="143">
        <v>0</v>
      </c>
      <c r="BJ175" s="995">
        <v>0</v>
      </c>
      <c r="BK175" s="143">
        <v>0</v>
      </c>
      <c r="BL175" s="143">
        <v>0</v>
      </c>
      <c r="BM175" s="143">
        <v>0</v>
      </c>
      <c r="BN175" s="143">
        <v>0</v>
      </c>
      <c r="BO175" s="143">
        <v>0</v>
      </c>
      <c r="BP175" s="143">
        <v>0</v>
      </c>
      <c r="BQ175" s="143">
        <v>0</v>
      </c>
      <c r="BR175" s="143">
        <v>0</v>
      </c>
      <c r="BS175" s="143">
        <v>0</v>
      </c>
      <c r="BT175" s="143">
        <v>0</v>
      </c>
      <c r="BU175" s="143">
        <v>0</v>
      </c>
      <c r="BV175" s="143">
        <v>0</v>
      </c>
      <c r="BW175" s="143">
        <v>0</v>
      </c>
      <c r="BX175" s="143">
        <v>0</v>
      </c>
      <c r="BY175" s="143">
        <v>0</v>
      </c>
      <c r="BZ175" s="995">
        <v>0</v>
      </c>
      <c r="CA175" s="143">
        <v>0</v>
      </c>
      <c r="CB175" s="143">
        <v>0</v>
      </c>
      <c r="CC175" s="143">
        <v>0</v>
      </c>
      <c r="CD175" s="143">
        <v>0</v>
      </c>
      <c r="CE175" s="143">
        <v>0</v>
      </c>
      <c r="CF175" s="143">
        <v>0</v>
      </c>
      <c r="CG175" s="143">
        <v>0</v>
      </c>
      <c r="CH175" s="143">
        <v>0</v>
      </c>
      <c r="CI175" s="143">
        <v>0</v>
      </c>
      <c r="CJ175" s="143">
        <v>0</v>
      </c>
      <c r="CK175" s="143">
        <v>0</v>
      </c>
      <c r="CL175" s="143">
        <v>0</v>
      </c>
      <c r="CM175" s="143">
        <v>0</v>
      </c>
      <c r="CN175" s="143">
        <v>0</v>
      </c>
      <c r="CO175" s="143">
        <v>0</v>
      </c>
      <c r="CP175" s="143">
        <v>0</v>
      </c>
      <c r="CQ175" s="143">
        <v>0</v>
      </c>
      <c r="CR175" s="143">
        <v>0</v>
      </c>
      <c r="CS175" s="143">
        <v>0</v>
      </c>
      <c r="CT175" s="143">
        <v>0</v>
      </c>
      <c r="CU175" s="143">
        <v>0</v>
      </c>
      <c r="CV175" s="143">
        <v>0</v>
      </c>
      <c r="CW175" s="14">
        <v>0</v>
      </c>
      <c r="CX175" s="14">
        <v>0</v>
      </c>
      <c r="CY175" s="14">
        <v>0</v>
      </c>
      <c r="CZ175" s="995">
        <v>0</v>
      </c>
      <c r="DA175" s="995">
        <v>0</v>
      </c>
      <c r="DB175" s="995">
        <v>0</v>
      </c>
      <c r="DC175">
        <v>0</v>
      </c>
      <c r="DD175">
        <v>0</v>
      </c>
      <c r="DE175">
        <v>0</v>
      </c>
      <c r="DF175">
        <v>0</v>
      </c>
      <c r="DG175">
        <v>0</v>
      </c>
      <c r="DH175">
        <v>0</v>
      </c>
      <c r="DI175">
        <v>0</v>
      </c>
      <c r="DJ175">
        <v>0</v>
      </c>
      <c r="DK175">
        <v>0</v>
      </c>
      <c r="DL175">
        <v>0</v>
      </c>
      <c r="DM175">
        <v>0</v>
      </c>
      <c r="DN175">
        <v>0</v>
      </c>
      <c r="DO175">
        <v>0</v>
      </c>
      <c r="DP175">
        <v>0</v>
      </c>
      <c r="DQ175">
        <v>31</v>
      </c>
    </row>
    <row r="176" spans="1:121" x14ac:dyDescent="0.2">
      <c r="A176" s="14">
        <v>31.25</v>
      </c>
      <c r="B176" s="684">
        <f t="shared" si="47"/>
        <v>2.630316336715637E-6</v>
      </c>
      <c r="C176" s="684">
        <f t="shared" si="48"/>
        <v>2.6303163367156285E-6</v>
      </c>
      <c r="D176" s="684">
        <f t="shared" si="36"/>
        <v>6.5757908417890712E-7</v>
      </c>
      <c r="E176" s="684">
        <f t="shared" si="49"/>
        <v>0.20397098272369671</v>
      </c>
      <c r="F176" s="684">
        <f t="shared" si="50"/>
        <v>0</v>
      </c>
      <c r="G176" s="684">
        <f t="shared" si="37"/>
        <v>0</v>
      </c>
      <c r="H176" s="684">
        <f t="shared" si="38"/>
        <v>0</v>
      </c>
      <c r="I176" s="1052">
        <f>HLOOKUP('Input &amp; Summary'!$B$6,TurbineProfiles,ROW(I176)-49,0)</f>
        <v>0</v>
      </c>
      <c r="J176" s="684">
        <f t="shared" si="51"/>
        <v>0</v>
      </c>
      <c r="K176" s="9">
        <f t="shared" si="52"/>
        <v>0</v>
      </c>
      <c r="L176" s="14">
        <f t="shared" si="53"/>
        <v>61503.813596327091</v>
      </c>
      <c r="M176" s="684">
        <f t="shared" si="54"/>
        <v>14878.927264197915</v>
      </c>
      <c r="N176" s="684">
        <f t="shared" si="39"/>
        <v>2117.4921141893815</v>
      </c>
      <c r="O176" s="684">
        <f t="shared" si="40"/>
        <v>0.99999674751538248</v>
      </c>
      <c r="P176" s="684">
        <f t="shared" si="41"/>
        <v>0</v>
      </c>
      <c r="Q176" s="684">
        <f t="shared" si="45"/>
        <v>7.2555028318710413E-7</v>
      </c>
      <c r="R176" s="684">
        <f t="shared" si="46"/>
        <v>6.5856645514728029E-7</v>
      </c>
      <c r="S176" s="684">
        <f t="shared" si="42"/>
        <v>0</v>
      </c>
      <c r="T176" s="684">
        <f t="shared" si="43"/>
        <v>0</v>
      </c>
      <c r="U176" s="14">
        <f t="shared" si="44"/>
        <v>0</v>
      </c>
      <c r="V176">
        <v>0</v>
      </c>
      <c r="W176">
        <v>0</v>
      </c>
      <c r="X176">
        <v>0</v>
      </c>
      <c r="Y176">
        <v>0</v>
      </c>
      <c r="Z176">
        <v>0</v>
      </c>
      <c r="AA176">
        <v>0</v>
      </c>
      <c r="AB176">
        <v>0</v>
      </c>
      <c r="AC176">
        <v>0</v>
      </c>
      <c r="AD176">
        <v>0</v>
      </c>
      <c r="AE176" s="143">
        <v>0</v>
      </c>
      <c r="AF176" s="143">
        <v>0</v>
      </c>
      <c r="AG176" s="143">
        <v>0</v>
      </c>
      <c r="AH176" s="143">
        <v>0</v>
      </c>
      <c r="AI176" s="995">
        <v>0</v>
      </c>
      <c r="AJ176" s="143">
        <v>0</v>
      </c>
      <c r="AK176" s="143">
        <v>0</v>
      </c>
      <c r="AL176" s="143">
        <v>0</v>
      </c>
      <c r="AM176" s="143">
        <v>0</v>
      </c>
      <c r="AN176" s="143">
        <v>0</v>
      </c>
      <c r="AO176" s="143">
        <v>0</v>
      </c>
      <c r="AP176" s="143">
        <v>0</v>
      </c>
      <c r="AQ176" s="143">
        <v>0</v>
      </c>
      <c r="AR176" s="143">
        <v>0</v>
      </c>
      <c r="AS176" s="143">
        <v>0</v>
      </c>
      <c r="AT176" s="143">
        <v>0</v>
      </c>
      <c r="AU176" s="143">
        <v>0</v>
      </c>
      <c r="AV176" s="143">
        <v>0</v>
      </c>
      <c r="AW176" s="143">
        <v>0</v>
      </c>
      <c r="AX176" s="143">
        <v>0</v>
      </c>
      <c r="AY176" s="143">
        <v>0</v>
      </c>
      <c r="AZ176" s="143">
        <v>0</v>
      </c>
      <c r="BA176" s="143">
        <v>0</v>
      </c>
      <c r="BB176" s="143">
        <v>0</v>
      </c>
      <c r="BC176" s="143">
        <v>0</v>
      </c>
      <c r="BD176" s="143">
        <v>0</v>
      </c>
      <c r="BE176" s="143">
        <v>0</v>
      </c>
      <c r="BF176" s="143">
        <v>0</v>
      </c>
      <c r="BG176" s="143">
        <v>0</v>
      </c>
      <c r="BH176" s="143">
        <v>0</v>
      </c>
      <c r="BI176" s="143">
        <v>0</v>
      </c>
      <c r="BJ176" s="995">
        <v>0</v>
      </c>
      <c r="BK176" s="143">
        <v>0</v>
      </c>
      <c r="BL176" s="143">
        <v>0</v>
      </c>
      <c r="BM176" s="143">
        <v>0</v>
      </c>
      <c r="BN176" s="143">
        <v>0</v>
      </c>
      <c r="BO176" s="143">
        <v>0</v>
      </c>
      <c r="BP176" s="143">
        <v>0</v>
      </c>
      <c r="BQ176" s="143">
        <v>0</v>
      </c>
      <c r="BR176" s="143">
        <v>0</v>
      </c>
      <c r="BS176" s="143">
        <v>0</v>
      </c>
      <c r="BT176" s="143">
        <v>0</v>
      </c>
      <c r="BU176" s="143">
        <v>0</v>
      </c>
      <c r="BV176" s="143">
        <v>0</v>
      </c>
      <c r="BW176" s="143">
        <v>0</v>
      </c>
      <c r="BX176" s="143">
        <v>0</v>
      </c>
      <c r="BY176" s="143">
        <v>0</v>
      </c>
      <c r="BZ176" s="995">
        <v>0</v>
      </c>
      <c r="CA176" s="143">
        <v>0</v>
      </c>
      <c r="CB176" s="143">
        <v>0</v>
      </c>
      <c r="CC176" s="143">
        <v>0</v>
      </c>
      <c r="CD176" s="143">
        <v>0</v>
      </c>
      <c r="CE176" s="143">
        <v>0</v>
      </c>
      <c r="CF176" s="143">
        <v>0</v>
      </c>
      <c r="CG176" s="143">
        <v>0</v>
      </c>
      <c r="CH176" s="143">
        <v>0</v>
      </c>
      <c r="CI176" s="143">
        <v>0</v>
      </c>
      <c r="CJ176" s="143">
        <v>0</v>
      </c>
      <c r="CK176" s="143">
        <v>0</v>
      </c>
      <c r="CL176" s="143">
        <v>0</v>
      </c>
      <c r="CM176" s="143">
        <v>0</v>
      </c>
      <c r="CN176" s="143">
        <v>0</v>
      </c>
      <c r="CO176" s="143">
        <v>0</v>
      </c>
      <c r="CP176" s="143">
        <v>0</v>
      </c>
      <c r="CQ176" s="143">
        <v>0</v>
      </c>
      <c r="CR176" s="143">
        <v>0</v>
      </c>
      <c r="CS176" s="143">
        <v>0</v>
      </c>
      <c r="CT176" s="143">
        <v>0</v>
      </c>
      <c r="CU176" s="143">
        <v>0</v>
      </c>
      <c r="CV176" s="143">
        <v>0</v>
      </c>
      <c r="CW176" s="14">
        <v>0</v>
      </c>
      <c r="CX176" s="14">
        <v>0</v>
      </c>
      <c r="CY176" s="14">
        <v>0</v>
      </c>
      <c r="CZ176" s="995">
        <v>0</v>
      </c>
      <c r="DA176" s="995">
        <v>0</v>
      </c>
      <c r="DB176" s="995">
        <v>0</v>
      </c>
      <c r="DC176">
        <v>0</v>
      </c>
      <c r="DD176">
        <v>0</v>
      </c>
      <c r="DE176">
        <v>0</v>
      </c>
      <c r="DF176">
        <v>0</v>
      </c>
      <c r="DG176">
        <v>0</v>
      </c>
      <c r="DH176">
        <v>0</v>
      </c>
      <c r="DI176">
        <v>0</v>
      </c>
      <c r="DJ176">
        <v>0</v>
      </c>
      <c r="DK176">
        <v>0</v>
      </c>
      <c r="DL176">
        <v>0</v>
      </c>
      <c r="DM176">
        <v>0</v>
      </c>
      <c r="DN176">
        <v>0</v>
      </c>
      <c r="DO176">
        <v>0</v>
      </c>
      <c r="DP176">
        <v>0</v>
      </c>
      <c r="DQ176">
        <v>31.25</v>
      </c>
    </row>
    <row r="177" spans="1:121" x14ac:dyDescent="0.2">
      <c r="A177" s="14">
        <v>31.5</v>
      </c>
      <c r="B177" s="684">
        <f t="shared" si="47"/>
        <v>2.1642764820749715E-6</v>
      </c>
      <c r="C177" s="684">
        <f t="shared" si="48"/>
        <v>2.1642764820749745E-6</v>
      </c>
      <c r="D177" s="684">
        <f t="shared" si="36"/>
        <v>5.4106912051874362E-7</v>
      </c>
      <c r="E177" s="684">
        <f t="shared" si="49"/>
        <v>0.1718916350066014</v>
      </c>
      <c r="F177" s="684">
        <f t="shared" si="50"/>
        <v>0</v>
      </c>
      <c r="G177" s="684">
        <f t="shared" si="37"/>
        <v>0</v>
      </c>
      <c r="H177" s="684">
        <f t="shared" si="38"/>
        <v>0</v>
      </c>
      <c r="I177" s="1052">
        <f>HLOOKUP('Input &amp; Summary'!$B$6,TurbineProfiles,ROW(I177)-49,0)</f>
        <v>0</v>
      </c>
      <c r="J177" s="684">
        <f t="shared" si="51"/>
        <v>0</v>
      </c>
      <c r="K177" s="9">
        <f t="shared" si="52"/>
        <v>0</v>
      </c>
      <c r="L177" s="14">
        <f t="shared" si="53"/>
        <v>62991.745344802002</v>
      </c>
      <c r="M177" s="684">
        <f t="shared" si="54"/>
        <v>15030.262713789349</v>
      </c>
      <c r="N177" s="684">
        <f t="shared" si="39"/>
        <v>2117.4921141893815</v>
      </c>
      <c r="O177" s="684">
        <f t="shared" si="40"/>
        <v>0.99999734503086224</v>
      </c>
      <c r="P177" s="684">
        <f t="shared" si="41"/>
        <v>0</v>
      </c>
      <c r="Q177" s="684">
        <f t="shared" si="45"/>
        <v>5.9751547976105712E-7</v>
      </c>
      <c r="R177" s="684">
        <f t="shared" si="46"/>
        <v>5.4189636444768041E-7</v>
      </c>
      <c r="S177" s="684">
        <f t="shared" si="42"/>
        <v>0</v>
      </c>
      <c r="T177" s="684">
        <f t="shared" si="43"/>
        <v>0</v>
      </c>
      <c r="U177" s="14">
        <f t="shared" si="44"/>
        <v>0</v>
      </c>
      <c r="V177">
        <v>0</v>
      </c>
      <c r="W177">
        <v>0</v>
      </c>
      <c r="X177">
        <v>0</v>
      </c>
      <c r="Y177">
        <v>0</v>
      </c>
      <c r="Z177">
        <v>0</v>
      </c>
      <c r="AA177">
        <v>0</v>
      </c>
      <c r="AB177">
        <v>0</v>
      </c>
      <c r="AC177">
        <v>0</v>
      </c>
      <c r="AD177">
        <v>0</v>
      </c>
      <c r="AE177" s="143">
        <v>0</v>
      </c>
      <c r="AF177" s="143">
        <v>0</v>
      </c>
      <c r="AG177" s="143">
        <v>0</v>
      </c>
      <c r="AH177" s="143">
        <v>0</v>
      </c>
      <c r="AI177" s="995">
        <v>0</v>
      </c>
      <c r="AJ177" s="143">
        <v>0</v>
      </c>
      <c r="AK177" s="143">
        <v>0</v>
      </c>
      <c r="AL177" s="143">
        <v>0</v>
      </c>
      <c r="AM177" s="143">
        <v>0</v>
      </c>
      <c r="AN177" s="143">
        <v>0</v>
      </c>
      <c r="AO177" s="143">
        <v>0</v>
      </c>
      <c r="AP177" s="143">
        <v>0</v>
      </c>
      <c r="AQ177" s="143">
        <v>0</v>
      </c>
      <c r="AR177" s="143">
        <v>0</v>
      </c>
      <c r="AS177" s="143">
        <v>0</v>
      </c>
      <c r="AT177" s="143">
        <v>0</v>
      </c>
      <c r="AU177" s="143">
        <v>0</v>
      </c>
      <c r="AV177" s="143">
        <v>0</v>
      </c>
      <c r="AW177" s="143">
        <v>0</v>
      </c>
      <c r="AX177" s="143">
        <v>0</v>
      </c>
      <c r="AY177" s="143">
        <v>0</v>
      </c>
      <c r="AZ177" s="143">
        <v>0</v>
      </c>
      <c r="BA177" s="143">
        <v>0</v>
      </c>
      <c r="BB177" s="143">
        <v>0</v>
      </c>
      <c r="BC177" s="143">
        <v>0</v>
      </c>
      <c r="BD177" s="143">
        <v>0</v>
      </c>
      <c r="BE177" s="143">
        <v>0</v>
      </c>
      <c r="BF177" s="143">
        <v>0</v>
      </c>
      <c r="BG177" s="143">
        <v>0</v>
      </c>
      <c r="BH177" s="143">
        <v>0</v>
      </c>
      <c r="BI177" s="143">
        <v>0</v>
      </c>
      <c r="BJ177" s="995">
        <v>0</v>
      </c>
      <c r="BK177" s="143">
        <v>0</v>
      </c>
      <c r="BL177" s="143">
        <v>0</v>
      </c>
      <c r="BM177" s="143">
        <v>0</v>
      </c>
      <c r="BN177" s="143">
        <v>0</v>
      </c>
      <c r="BO177" s="143">
        <v>0</v>
      </c>
      <c r="BP177" s="143">
        <v>0</v>
      </c>
      <c r="BQ177" s="143">
        <v>0</v>
      </c>
      <c r="BR177" s="143">
        <v>0</v>
      </c>
      <c r="BS177" s="143">
        <v>0</v>
      </c>
      <c r="BT177" s="143">
        <v>0</v>
      </c>
      <c r="BU177" s="143">
        <v>0</v>
      </c>
      <c r="BV177" s="143">
        <v>0</v>
      </c>
      <c r="BW177" s="143">
        <v>0</v>
      </c>
      <c r="BX177" s="143">
        <v>0</v>
      </c>
      <c r="BY177" s="143">
        <v>0</v>
      </c>
      <c r="BZ177" s="995">
        <v>0</v>
      </c>
      <c r="CA177" s="143">
        <v>0</v>
      </c>
      <c r="CB177" s="143">
        <v>0</v>
      </c>
      <c r="CC177" s="143">
        <v>0</v>
      </c>
      <c r="CD177" s="143">
        <v>0</v>
      </c>
      <c r="CE177" s="143">
        <v>0</v>
      </c>
      <c r="CF177" s="143">
        <v>0</v>
      </c>
      <c r="CG177" s="143">
        <v>0</v>
      </c>
      <c r="CH177" s="143">
        <v>0</v>
      </c>
      <c r="CI177" s="143">
        <v>0</v>
      </c>
      <c r="CJ177" s="143">
        <v>0</v>
      </c>
      <c r="CK177" s="143">
        <v>0</v>
      </c>
      <c r="CL177" s="143">
        <v>0</v>
      </c>
      <c r="CM177" s="143">
        <v>0</v>
      </c>
      <c r="CN177" s="143">
        <v>0</v>
      </c>
      <c r="CO177" s="143">
        <v>0</v>
      </c>
      <c r="CP177" s="143">
        <v>0</v>
      </c>
      <c r="CQ177" s="143">
        <v>0</v>
      </c>
      <c r="CR177" s="143">
        <v>0</v>
      </c>
      <c r="CS177" s="143">
        <v>0</v>
      </c>
      <c r="CT177" s="143">
        <v>0</v>
      </c>
      <c r="CU177" s="143">
        <v>0</v>
      </c>
      <c r="CV177" s="143">
        <v>0</v>
      </c>
      <c r="CW177" s="14">
        <v>0</v>
      </c>
      <c r="CX177" s="14">
        <v>0</v>
      </c>
      <c r="CY177" s="14">
        <v>0</v>
      </c>
      <c r="CZ177" s="995">
        <v>0</v>
      </c>
      <c r="DA177" s="995">
        <v>0</v>
      </c>
      <c r="DB177" s="995">
        <v>0</v>
      </c>
      <c r="DC177">
        <v>0</v>
      </c>
      <c r="DD177">
        <v>0</v>
      </c>
      <c r="DE177">
        <v>0</v>
      </c>
      <c r="DF177">
        <v>0</v>
      </c>
      <c r="DG177">
        <v>0</v>
      </c>
      <c r="DH177">
        <v>0</v>
      </c>
      <c r="DI177">
        <v>0</v>
      </c>
      <c r="DJ177">
        <v>0</v>
      </c>
      <c r="DK177">
        <v>0</v>
      </c>
      <c r="DL177">
        <v>0</v>
      </c>
      <c r="DM177">
        <v>0</v>
      </c>
      <c r="DN177">
        <v>0</v>
      </c>
      <c r="DO177">
        <v>0</v>
      </c>
      <c r="DP177">
        <v>0</v>
      </c>
      <c r="DQ177">
        <v>31.5</v>
      </c>
    </row>
    <row r="178" spans="1:121" x14ac:dyDescent="0.2">
      <c r="A178" s="14">
        <v>31.75</v>
      </c>
      <c r="B178" s="684">
        <f t="shared" si="47"/>
        <v>1.7778196636938843E-6</v>
      </c>
      <c r="C178" s="684">
        <f t="shared" si="48"/>
        <v>1.7778196636938941E-6</v>
      </c>
      <c r="D178" s="684">
        <f t="shared" si="36"/>
        <v>4.4445491592347352E-7</v>
      </c>
      <c r="E178" s="684">
        <f t="shared" si="49"/>
        <v>0.14458699617141801</v>
      </c>
      <c r="F178" s="684">
        <f t="shared" si="50"/>
        <v>0</v>
      </c>
      <c r="G178" s="684">
        <f t="shared" si="37"/>
        <v>0</v>
      </c>
      <c r="H178" s="684">
        <f t="shared" si="38"/>
        <v>0</v>
      </c>
      <c r="I178" s="1052">
        <f>HLOOKUP('Input &amp; Summary'!$B$6,TurbineProfiles,ROW(I178)-49,0)</f>
        <v>0</v>
      </c>
      <c r="J178" s="684">
        <f t="shared" si="51"/>
        <v>0</v>
      </c>
      <c r="K178" s="9">
        <f t="shared" si="52"/>
        <v>0</v>
      </c>
      <c r="L178" s="14">
        <f t="shared" si="53"/>
        <v>64503.483497413268</v>
      </c>
      <c r="M178" s="684">
        <f t="shared" si="54"/>
        <v>15181.598163380781</v>
      </c>
      <c r="N178" s="684">
        <f t="shared" si="39"/>
        <v>2117.4921141893815</v>
      </c>
      <c r="O178" s="684">
        <f t="shared" si="40"/>
        <v>0.99999783627896877</v>
      </c>
      <c r="P178" s="684">
        <f t="shared" si="41"/>
        <v>0</v>
      </c>
      <c r="Q178" s="684">
        <f t="shared" si="45"/>
        <v>4.9124810652667605E-7</v>
      </c>
      <c r="R178" s="684">
        <f t="shared" si="46"/>
        <v>4.4514671315720733E-7</v>
      </c>
      <c r="S178" s="684">
        <f t="shared" si="42"/>
        <v>0</v>
      </c>
      <c r="T178" s="684">
        <f t="shared" si="43"/>
        <v>0</v>
      </c>
      <c r="U178" s="14">
        <f t="shared" si="44"/>
        <v>0</v>
      </c>
      <c r="V178">
        <v>0</v>
      </c>
      <c r="W178">
        <v>0</v>
      </c>
      <c r="X178">
        <v>0</v>
      </c>
      <c r="Y178">
        <v>0</v>
      </c>
      <c r="Z178">
        <v>0</v>
      </c>
      <c r="AA178">
        <v>0</v>
      </c>
      <c r="AB178">
        <v>0</v>
      </c>
      <c r="AC178">
        <v>0</v>
      </c>
      <c r="AD178">
        <v>0</v>
      </c>
      <c r="AE178" s="143">
        <v>0</v>
      </c>
      <c r="AF178" s="143">
        <v>0</v>
      </c>
      <c r="AG178" s="143">
        <v>0</v>
      </c>
      <c r="AH178" s="143">
        <v>0</v>
      </c>
      <c r="AI178" s="995">
        <v>0</v>
      </c>
      <c r="AJ178" s="143">
        <v>0</v>
      </c>
      <c r="AK178" s="143">
        <v>0</v>
      </c>
      <c r="AL178" s="143">
        <v>0</v>
      </c>
      <c r="AM178" s="143">
        <v>0</v>
      </c>
      <c r="AN178" s="143">
        <v>0</v>
      </c>
      <c r="AO178" s="143">
        <v>0</v>
      </c>
      <c r="AP178" s="143">
        <v>0</v>
      </c>
      <c r="AQ178" s="143">
        <v>0</v>
      </c>
      <c r="AR178" s="143">
        <v>0</v>
      </c>
      <c r="AS178" s="143">
        <v>0</v>
      </c>
      <c r="AT178" s="143">
        <v>0</v>
      </c>
      <c r="AU178" s="143">
        <v>0</v>
      </c>
      <c r="AV178" s="143">
        <v>0</v>
      </c>
      <c r="AW178" s="143">
        <v>0</v>
      </c>
      <c r="AX178" s="143">
        <v>0</v>
      </c>
      <c r="AY178" s="143">
        <v>0</v>
      </c>
      <c r="AZ178" s="143">
        <v>0</v>
      </c>
      <c r="BA178" s="143">
        <v>0</v>
      </c>
      <c r="BB178" s="143">
        <v>0</v>
      </c>
      <c r="BC178" s="143">
        <v>0</v>
      </c>
      <c r="BD178" s="143">
        <v>0</v>
      </c>
      <c r="BE178" s="143">
        <v>0</v>
      </c>
      <c r="BF178" s="143">
        <v>0</v>
      </c>
      <c r="BG178" s="143">
        <v>0</v>
      </c>
      <c r="BH178" s="143">
        <v>0</v>
      </c>
      <c r="BI178" s="143">
        <v>0</v>
      </c>
      <c r="BJ178" s="995">
        <v>0</v>
      </c>
      <c r="BK178" s="143">
        <v>0</v>
      </c>
      <c r="BL178" s="143">
        <v>0</v>
      </c>
      <c r="BM178" s="143">
        <v>0</v>
      </c>
      <c r="BN178" s="143">
        <v>0</v>
      </c>
      <c r="BO178" s="143">
        <v>0</v>
      </c>
      <c r="BP178" s="143">
        <v>0</v>
      </c>
      <c r="BQ178" s="143">
        <v>0</v>
      </c>
      <c r="BR178" s="143">
        <v>0</v>
      </c>
      <c r="BS178" s="143">
        <v>0</v>
      </c>
      <c r="BT178" s="143">
        <v>0</v>
      </c>
      <c r="BU178" s="143">
        <v>0</v>
      </c>
      <c r="BV178" s="143">
        <v>0</v>
      </c>
      <c r="BW178" s="143">
        <v>0</v>
      </c>
      <c r="BX178" s="143">
        <v>0</v>
      </c>
      <c r="BY178" s="143">
        <v>0</v>
      </c>
      <c r="BZ178" s="995">
        <v>0</v>
      </c>
      <c r="CA178" s="143">
        <v>0</v>
      </c>
      <c r="CB178" s="143">
        <v>0</v>
      </c>
      <c r="CC178" s="143">
        <v>0</v>
      </c>
      <c r="CD178" s="143">
        <v>0</v>
      </c>
      <c r="CE178" s="143">
        <v>0</v>
      </c>
      <c r="CF178" s="143">
        <v>0</v>
      </c>
      <c r="CG178" s="143">
        <v>0</v>
      </c>
      <c r="CH178" s="143">
        <v>0</v>
      </c>
      <c r="CI178" s="143">
        <v>0</v>
      </c>
      <c r="CJ178" s="143">
        <v>0</v>
      </c>
      <c r="CK178" s="143">
        <v>0</v>
      </c>
      <c r="CL178" s="143">
        <v>0</v>
      </c>
      <c r="CM178" s="143">
        <v>0</v>
      </c>
      <c r="CN178" s="143">
        <v>0</v>
      </c>
      <c r="CO178" s="143">
        <v>0</v>
      </c>
      <c r="CP178" s="143">
        <v>0</v>
      </c>
      <c r="CQ178" s="143">
        <v>0</v>
      </c>
      <c r="CR178" s="143">
        <v>0</v>
      </c>
      <c r="CS178" s="143">
        <v>0</v>
      </c>
      <c r="CT178" s="143">
        <v>0</v>
      </c>
      <c r="CU178" s="143">
        <v>0</v>
      </c>
      <c r="CV178" s="143">
        <v>0</v>
      </c>
      <c r="CW178" s="14">
        <v>0</v>
      </c>
      <c r="CX178" s="14">
        <v>0</v>
      </c>
      <c r="CY178" s="14">
        <v>0</v>
      </c>
      <c r="CZ178" s="995">
        <v>0</v>
      </c>
      <c r="DA178" s="995">
        <v>0</v>
      </c>
      <c r="DB178" s="995">
        <v>0</v>
      </c>
      <c r="DC178">
        <v>0</v>
      </c>
      <c r="DD178">
        <v>0</v>
      </c>
      <c r="DE178">
        <v>0</v>
      </c>
      <c r="DF178">
        <v>0</v>
      </c>
      <c r="DG178">
        <v>0</v>
      </c>
      <c r="DH178">
        <v>0</v>
      </c>
      <c r="DI178">
        <v>0</v>
      </c>
      <c r="DJ178">
        <v>0</v>
      </c>
      <c r="DK178">
        <v>0</v>
      </c>
      <c r="DL178">
        <v>0</v>
      </c>
      <c r="DM178">
        <v>0</v>
      </c>
      <c r="DN178">
        <v>0</v>
      </c>
      <c r="DO178">
        <v>0</v>
      </c>
      <c r="DP178">
        <v>0</v>
      </c>
      <c r="DQ178">
        <v>31.75</v>
      </c>
    </row>
    <row r="179" spans="1:121" x14ac:dyDescent="0.2">
      <c r="A179" s="14">
        <v>32</v>
      </c>
      <c r="B179" s="684">
        <f t="shared" ref="B179:B211" si="55">((PI()*$A179)/(2*$B$16*$B$16))*EXP(((-PI()*$A179*$A179)/(4*$B$16*$B$16)))</f>
        <v>1.4579187018516745E-6</v>
      </c>
      <c r="C179" s="684">
        <f t="shared" ref="C179:C211" si="56">WEIBULL(A179,$B$2,$B$16/EXP(GAMMALN(1+1/$B$2)),FALSE)</f>
        <v>1.457918701851677E-6</v>
      </c>
      <c r="D179" s="684">
        <f t="shared" si="36"/>
        <v>3.6447967546291926E-7</v>
      </c>
      <c r="E179" s="684">
        <f t="shared" ref="E179:E210" si="57">((0.5*$B$15*0.25*PI()*$B$4^2*A179^3)*C179/(1000))*16/27</f>
        <v>0.12139298283500492</v>
      </c>
      <c r="F179" s="684">
        <f t="shared" ref="F179:F211" si="58">((0.5*$B$15*0.25*PI()*$B$4^2*A179^3)*C179/(1000))*$B$7*K179</f>
        <v>0</v>
      </c>
      <c r="G179" s="684">
        <f t="shared" si="37"/>
        <v>0</v>
      </c>
      <c r="H179" s="684">
        <f t="shared" si="38"/>
        <v>0</v>
      </c>
      <c r="I179" s="1052">
        <f>HLOOKUP('Input &amp; Summary'!$B$6,TurbineProfiles,ROW(I179)-49,0)</f>
        <v>0</v>
      </c>
      <c r="J179" s="684">
        <f t="shared" ref="J179:J211" si="59">IF(AND(A179 &gt; $B$11,A179&lt;$B$12),IF(A179&gt;$B$18,N179,IF(A179&gt;=$O$25,M179,L179)),0)</f>
        <v>0</v>
      </c>
      <c r="K179" s="9">
        <f t="shared" ref="K179:K210" si="60">IF(ISERROR(((J179/$B$17)-($B$19+$B$20*(J179/$B$17)+$B$21*(J179/$B$17)^2))/(J179/$B$17)),0,((J179/$B$17)-($B$19+$B$20*(J179/$B$17)+$B$21*(J179/$B$17)^2))/(J179/$B$17))</f>
        <v>0</v>
      </c>
      <c r="L179" s="14">
        <f t="shared" ref="L179:L211" si="61">$I$28*(A179*$B$8/($B$4/2))^3/1000</f>
        <v>66039.216993876253</v>
      </c>
      <c r="M179" s="684">
        <f t="shared" ref="M179:M211" si="62">IF(A179&gt;=$O$25,($B$17-$O$26)/($B$18-$O$25)*(A179-$O$25)+$O$26,0)</f>
        <v>15332.933612972212</v>
      </c>
      <c r="N179" s="684">
        <f t="shared" si="39"/>
        <v>2117.4921141893815</v>
      </c>
      <c r="O179" s="684">
        <f t="shared" si="40"/>
        <v>0.99999823948139377</v>
      </c>
      <c r="P179" s="684">
        <f t="shared" si="41"/>
        <v>0</v>
      </c>
      <c r="Q179" s="684">
        <f t="shared" si="45"/>
        <v>4.0320242500335723E-7</v>
      </c>
      <c r="R179" s="684">
        <f t="shared" si="46"/>
        <v>3.6505713030265952E-7</v>
      </c>
      <c r="S179" s="684">
        <f t="shared" si="42"/>
        <v>0</v>
      </c>
      <c r="T179" s="684">
        <f t="shared" si="43"/>
        <v>0</v>
      </c>
      <c r="U179" s="14">
        <f t="shared" si="44"/>
        <v>0</v>
      </c>
      <c r="V179">
        <v>0</v>
      </c>
      <c r="W179">
        <v>0</v>
      </c>
      <c r="X179">
        <v>0</v>
      </c>
      <c r="Y179">
        <v>0</v>
      </c>
      <c r="Z179">
        <v>0</v>
      </c>
      <c r="AA179">
        <v>0</v>
      </c>
      <c r="AB179">
        <v>0</v>
      </c>
      <c r="AC179">
        <v>0</v>
      </c>
      <c r="AD179">
        <v>0</v>
      </c>
      <c r="AE179" s="143">
        <v>0</v>
      </c>
      <c r="AF179" s="143">
        <v>0</v>
      </c>
      <c r="AG179" s="143">
        <v>0</v>
      </c>
      <c r="AH179" s="143">
        <v>0</v>
      </c>
      <c r="AI179" s="995">
        <v>0</v>
      </c>
      <c r="AJ179" s="143">
        <v>0</v>
      </c>
      <c r="AK179" s="143">
        <v>0</v>
      </c>
      <c r="AL179" s="143">
        <v>0</v>
      </c>
      <c r="AM179" s="143">
        <v>0</v>
      </c>
      <c r="AN179" s="143">
        <v>0</v>
      </c>
      <c r="AO179" s="143">
        <v>0</v>
      </c>
      <c r="AP179" s="143">
        <v>0</v>
      </c>
      <c r="AQ179" s="143">
        <v>0</v>
      </c>
      <c r="AR179" s="143">
        <v>0</v>
      </c>
      <c r="AS179" s="143">
        <v>0</v>
      </c>
      <c r="AT179" s="143">
        <v>0</v>
      </c>
      <c r="AU179" s="143">
        <v>0</v>
      </c>
      <c r="AV179" s="143">
        <v>0</v>
      </c>
      <c r="AW179" s="143">
        <v>0</v>
      </c>
      <c r="AX179" s="143">
        <v>0</v>
      </c>
      <c r="AY179" s="143">
        <v>0</v>
      </c>
      <c r="AZ179" s="143">
        <v>0</v>
      </c>
      <c r="BA179" s="143">
        <v>0</v>
      </c>
      <c r="BB179" s="143">
        <v>0</v>
      </c>
      <c r="BC179" s="143">
        <v>0</v>
      </c>
      <c r="BD179" s="143">
        <v>0</v>
      </c>
      <c r="BE179" s="143">
        <v>0</v>
      </c>
      <c r="BF179" s="143">
        <v>0</v>
      </c>
      <c r="BG179" s="143">
        <v>0</v>
      </c>
      <c r="BH179" s="143">
        <v>0</v>
      </c>
      <c r="BI179" s="143">
        <v>0</v>
      </c>
      <c r="BJ179" s="995">
        <v>0</v>
      </c>
      <c r="BK179" s="143">
        <v>0</v>
      </c>
      <c r="BL179" s="143">
        <v>0</v>
      </c>
      <c r="BM179" s="143">
        <v>0</v>
      </c>
      <c r="BN179" s="143">
        <v>0</v>
      </c>
      <c r="BO179" s="143">
        <v>0</v>
      </c>
      <c r="BP179" s="143">
        <v>0</v>
      </c>
      <c r="BQ179" s="143">
        <v>0</v>
      </c>
      <c r="BR179" s="143">
        <v>0</v>
      </c>
      <c r="BS179" s="143">
        <v>0</v>
      </c>
      <c r="BT179" s="143">
        <v>0</v>
      </c>
      <c r="BU179" s="143">
        <v>0</v>
      </c>
      <c r="BV179" s="143">
        <v>0</v>
      </c>
      <c r="BW179" s="143">
        <v>0</v>
      </c>
      <c r="BX179" s="143">
        <v>0</v>
      </c>
      <c r="BY179" s="143">
        <v>0</v>
      </c>
      <c r="BZ179" s="995">
        <v>0</v>
      </c>
      <c r="CA179" s="143">
        <v>0</v>
      </c>
      <c r="CB179" s="143">
        <v>0</v>
      </c>
      <c r="CC179" s="143">
        <v>0</v>
      </c>
      <c r="CD179" s="143">
        <v>0</v>
      </c>
      <c r="CE179" s="143">
        <v>0</v>
      </c>
      <c r="CF179" s="143">
        <v>0</v>
      </c>
      <c r="CG179" s="143">
        <v>0</v>
      </c>
      <c r="CH179" s="143">
        <v>0</v>
      </c>
      <c r="CI179" s="143">
        <v>0</v>
      </c>
      <c r="CJ179" s="143">
        <v>0</v>
      </c>
      <c r="CK179" s="143">
        <v>0</v>
      </c>
      <c r="CL179" s="143">
        <v>0</v>
      </c>
      <c r="CM179" s="143">
        <v>0</v>
      </c>
      <c r="CN179" s="143">
        <v>0</v>
      </c>
      <c r="CO179" s="143">
        <v>0</v>
      </c>
      <c r="CP179" s="143">
        <v>0</v>
      </c>
      <c r="CQ179" s="143">
        <v>0</v>
      </c>
      <c r="CR179" s="143">
        <v>0</v>
      </c>
      <c r="CS179" s="143">
        <v>0</v>
      </c>
      <c r="CT179" s="143">
        <v>0</v>
      </c>
      <c r="CU179" s="143">
        <v>0</v>
      </c>
      <c r="CV179" s="143">
        <v>0</v>
      </c>
      <c r="CW179" s="14">
        <v>0</v>
      </c>
      <c r="CX179" s="14">
        <v>0</v>
      </c>
      <c r="CY179" s="14">
        <v>0</v>
      </c>
      <c r="CZ179" s="995">
        <v>0</v>
      </c>
      <c r="DA179" s="995">
        <v>0</v>
      </c>
      <c r="DB179" s="995">
        <v>0</v>
      </c>
      <c r="DC179">
        <v>0</v>
      </c>
      <c r="DD179">
        <v>0</v>
      </c>
      <c r="DE179">
        <v>0</v>
      </c>
      <c r="DF179">
        <v>0</v>
      </c>
      <c r="DG179">
        <v>0</v>
      </c>
      <c r="DH179">
        <v>0</v>
      </c>
      <c r="DI179">
        <v>0</v>
      </c>
      <c r="DJ179">
        <v>0</v>
      </c>
      <c r="DK179">
        <v>0</v>
      </c>
      <c r="DL179">
        <v>0</v>
      </c>
      <c r="DM179">
        <v>0</v>
      </c>
      <c r="DN179">
        <v>0</v>
      </c>
      <c r="DO179">
        <v>0</v>
      </c>
      <c r="DP179">
        <v>0</v>
      </c>
      <c r="DQ179">
        <v>32</v>
      </c>
    </row>
    <row r="180" spans="1:121" x14ac:dyDescent="0.2">
      <c r="A180" s="14">
        <v>32.25</v>
      </c>
      <c r="B180" s="684">
        <f t="shared" si="55"/>
        <v>1.1935756882104754E-6</v>
      </c>
      <c r="C180" s="684">
        <f t="shared" si="56"/>
        <v>1.1935756882104754E-6</v>
      </c>
      <c r="D180" s="684">
        <f t="shared" ref="D180:D211" si="63">C180/4</f>
        <v>2.9839392205261885E-7</v>
      </c>
      <c r="E180" s="684">
        <f t="shared" si="57"/>
        <v>0.10173009779063572</v>
      </c>
      <c r="F180" s="684">
        <f t="shared" si="58"/>
        <v>0</v>
      </c>
      <c r="G180" s="684">
        <f t="shared" ref="G180:G211" si="64">$I180*$C180</f>
        <v>0</v>
      </c>
      <c r="H180" s="684">
        <f t="shared" ref="H180:H211" si="65">G180/4</f>
        <v>0</v>
      </c>
      <c r="I180" s="1052">
        <f>HLOOKUP('Input &amp; Summary'!$B$6,TurbineProfiles,ROW(I180)-49,0)</f>
        <v>0</v>
      </c>
      <c r="J180" s="684">
        <f t="shared" si="59"/>
        <v>0</v>
      </c>
      <c r="K180" s="9">
        <f t="shared" si="60"/>
        <v>0</v>
      </c>
      <c r="L180" s="14">
        <f t="shared" si="61"/>
        <v>67599.134773906306</v>
      </c>
      <c r="M180" s="684">
        <f t="shared" si="62"/>
        <v>15484.269062563644</v>
      </c>
      <c r="N180" s="684">
        <f t="shared" ref="N180:N211" si="66">$B$17</f>
        <v>2117.4921141893815</v>
      </c>
      <c r="O180" s="684">
        <f t="shared" ref="O180:O211" si="67">WEIBULL(A180,$B$2,$B$16/EXP(GAMMALN(1+1/$B$2)),TRUE)</f>
        <v>0.99999856986335212</v>
      </c>
      <c r="P180" s="684">
        <f t="shared" ref="P180:P211" si="68">C180*I180*1/4</f>
        <v>0</v>
      </c>
      <c r="Q180" s="684">
        <f t="shared" si="45"/>
        <v>3.303819583466705E-7</v>
      </c>
      <c r="R180" s="684">
        <f t="shared" si="46"/>
        <v>2.9887504182646296E-7</v>
      </c>
      <c r="S180" s="684">
        <f t="shared" ref="S180:S211" si="69">R180*I180</f>
        <v>0</v>
      </c>
      <c r="T180" s="684">
        <f t="shared" ref="T180:T211" si="70">Q180*I180</f>
        <v>0</v>
      </c>
      <c r="U180" s="14">
        <f t="shared" ref="U180:U211" si="71">J180*K180</f>
        <v>0</v>
      </c>
      <c r="V180">
        <v>0</v>
      </c>
      <c r="W180">
        <v>0</v>
      </c>
      <c r="X180">
        <v>0</v>
      </c>
      <c r="Y180">
        <v>0</v>
      </c>
      <c r="Z180">
        <v>0</v>
      </c>
      <c r="AA180">
        <v>0</v>
      </c>
      <c r="AB180">
        <v>0</v>
      </c>
      <c r="AC180">
        <v>0</v>
      </c>
      <c r="AD180">
        <v>0</v>
      </c>
      <c r="AE180" s="143">
        <v>0</v>
      </c>
      <c r="AF180" s="143">
        <v>0</v>
      </c>
      <c r="AG180" s="143">
        <v>0</v>
      </c>
      <c r="AH180" s="143">
        <v>0</v>
      </c>
      <c r="AI180" s="995">
        <v>0</v>
      </c>
      <c r="AJ180" s="143">
        <v>0</v>
      </c>
      <c r="AK180" s="143">
        <v>0</v>
      </c>
      <c r="AL180" s="143">
        <v>0</v>
      </c>
      <c r="AM180" s="143">
        <v>0</v>
      </c>
      <c r="AN180" s="143">
        <v>0</v>
      </c>
      <c r="AO180" s="143">
        <v>0</v>
      </c>
      <c r="AP180" s="143">
        <v>0</v>
      </c>
      <c r="AQ180" s="143">
        <v>0</v>
      </c>
      <c r="AR180" s="143">
        <v>0</v>
      </c>
      <c r="AS180" s="143">
        <v>0</v>
      </c>
      <c r="AT180" s="143">
        <v>0</v>
      </c>
      <c r="AU180" s="143">
        <v>0</v>
      </c>
      <c r="AV180" s="143">
        <v>0</v>
      </c>
      <c r="AW180" s="143">
        <v>0</v>
      </c>
      <c r="AX180" s="143">
        <v>0</v>
      </c>
      <c r="AY180" s="143">
        <v>0</v>
      </c>
      <c r="AZ180" s="143">
        <v>0</v>
      </c>
      <c r="BA180" s="143">
        <v>0</v>
      </c>
      <c r="BB180" s="143">
        <v>0</v>
      </c>
      <c r="BC180" s="143">
        <v>0</v>
      </c>
      <c r="BD180" s="143">
        <v>0</v>
      </c>
      <c r="BE180" s="143">
        <v>0</v>
      </c>
      <c r="BF180" s="143">
        <v>0</v>
      </c>
      <c r="BG180" s="143">
        <v>0</v>
      </c>
      <c r="BH180" s="143">
        <v>0</v>
      </c>
      <c r="BI180" s="143">
        <v>0</v>
      </c>
      <c r="BJ180" s="995">
        <v>0</v>
      </c>
      <c r="BK180" s="143">
        <v>0</v>
      </c>
      <c r="BL180" s="143">
        <v>0</v>
      </c>
      <c r="BM180" s="143">
        <v>0</v>
      </c>
      <c r="BN180" s="143">
        <v>0</v>
      </c>
      <c r="BO180" s="143">
        <v>0</v>
      </c>
      <c r="BP180" s="143">
        <v>0</v>
      </c>
      <c r="BQ180" s="143">
        <v>0</v>
      </c>
      <c r="BR180" s="143">
        <v>0</v>
      </c>
      <c r="BS180" s="143">
        <v>0</v>
      </c>
      <c r="BT180" s="143">
        <v>0</v>
      </c>
      <c r="BU180" s="143">
        <v>0</v>
      </c>
      <c r="BV180" s="143">
        <v>0</v>
      </c>
      <c r="BW180" s="143">
        <v>0</v>
      </c>
      <c r="BX180" s="143">
        <v>0</v>
      </c>
      <c r="BY180" s="143">
        <v>0</v>
      </c>
      <c r="BZ180" s="995">
        <v>0</v>
      </c>
      <c r="CA180" s="143">
        <v>0</v>
      </c>
      <c r="CB180" s="143">
        <v>0</v>
      </c>
      <c r="CC180" s="143">
        <v>0</v>
      </c>
      <c r="CD180" s="143">
        <v>0</v>
      </c>
      <c r="CE180" s="143">
        <v>0</v>
      </c>
      <c r="CF180" s="143">
        <v>0</v>
      </c>
      <c r="CG180" s="143">
        <v>0</v>
      </c>
      <c r="CH180" s="143">
        <v>0</v>
      </c>
      <c r="CI180" s="143">
        <v>0</v>
      </c>
      <c r="CJ180" s="143">
        <v>0</v>
      </c>
      <c r="CK180" s="143">
        <v>0</v>
      </c>
      <c r="CL180" s="143">
        <v>0</v>
      </c>
      <c r="CM180" s="143">
        <v>0</v>
      </c>
      <c r="CN180" s="143">
        <v>0</v>
      </c>
      <c r="CO180" s="143">
        <v>0</v>
      </c>
      <c r="CP180" s="143">
        <v>0</v>
      </c>
      <c r="CQ180" s="143">
        <v>0</v>
      </c>
      <c r="CR180" s="143">
        <v>0</v>
      </c>
      <c r="CS180" s="143">
        <v>0</v>
      </c>
      <c r="CT180" s="143">
        <v>0</v>
      </c>
      <c r="CU180" s="143">
        <v>0</v>
      </c>
      <c r="CV180" s="143">
        <v>0</v>
      </c>
      <c r="CW180" s="14">
        <v>0</v>
      </c>
      <c r="CX180" s="14">
        <v>0</v>
      </c>
      <c r="CY180" s="14">
        <v>0</v>
      </c>
      <c r="CZ180" s="995">
        <v>0</v>
      </c>
      <c r="DA180" s="995">
        <v>0</v>
      </c>
      <c r="DB180" s="995">
        <v>0</v>
      </c>
      <c r="DC180">
        <v>0</v>
      </c>
      <c r="DD180">
        <v>0</v>
      </c>
      <c r="DE180">
        <v>0</v>
      </c>
      <c r="DF180">
        <v>0</v>
      </c>
      <c r="DG180">
        <v>0</v>
      </c>
      <c r="DH180">
        <v>0</v>
      </c>
      <c r="DI180">
        <v>0</v>
      </c>
      <c r="DJ180">
        <v>0</v>
      </c>
      <c r="DK180">
        <v>0</v>
      </c>
      <c r="DL180">
        <v>0</v>
      </c>
      <c r="DM180">
        <v>0</v>
      </c>
      <c r="DN180">
        <v>0</v>
      </c>
      <c r="DO180">
        <v>0</v>
      </c>
      <c r="DP180">
        <v>0</v>
      </c>
      <c r="DQ180">
        <v>32.25</v>
      </c>
    </row>
    <row r="181" spans="1:121" x14ac:dyDescent="0.2">
      <c r="A181" s="14">
        <v>32.5</v>
      </c>
      <c r="B181" s="684">
        <f t="shared" si="55"/>
        <v>9.7552428683749602E-7</v>
      </c>
      <c r="C181" s="684">
        <f t="shared" si="56"/>
        <v>9.7552428683749432E-7</v>
      </c>
      <c r="D181" s="684">
        <f t="shared" si="63"/>
        <v>2.4388107170937358E-7</v>
      </c>
      <c r="E181" s="684">
        <f t="shared" si="57"/>
        <v>8.5093915955613789E-2</v>
      </c>
      <c r="F181" s="684">
        <f t="shared" si="58"/>
        <v>0</v>
      </c>
      <c r="G181" s="684">
        <f t="shared" si="64"/>
        <v>0</v>
      </c>
      <c r="H181" s="684">
        <f t="shared" si="65"/>
        <v>0</v>
      </c>
      <c r="I181" s="1052">
        <f>HLOOKUP('Input &amp; Summary'!$B$6,TurbineProfiles,ROW(I181)-49,0)</f>
        <v>0</v>
      </c>
      <c r="J181" s="684">
        <f t="shared" si="59"/>
        <v>0</v>
      </c>
      <c r="K181" s="9">
        <f t="shared" si="60"/>
        <v>0</v>
      </c>
      <c r="L181" s="14">
        <f t="shared" si="61"/>
        <v>69183.425777218858</v>
      </c>
      <c r="M181" s="684">
        <f t="shared" si="62"/>
        <v>15635.604512155076</v>
      </c>
      <c r="N181" s="684">
        <f t="shared" si="66"/>
        <v>2117.4921141893815</v>
      </c>
      <c r="O181" s="684">
        <f t="shared" si="67"/>
        <v>0.9999988401227885</v>
      </c>
      <c r="P181" s="684">
        <f t="shared" si="68"/>
        <v>0</v>
      </c>
      <c r="Q181" s="684">
        <f t="shared" ref="Q181:Q211" si="72">O181-O180</f>
        <v>2.7025943638570027E-7</v>
      </c>
      <c r="R181" s="684">
        <f t="shared" ref="R181:R211" si="73">WEIBULL((A181+0.125),$B$2,$B$16/EXP(GAMMALN(1+1/$B$2)),TRUE) - WEIBULL((A181-0.125),$B$2,$B$16/EXP(GAMMALN(1+1/$B$2)),TRUE)</f>
        <v>2.4428118827746204E-7</v>
      </c>
      <c r="S181" s="684">
        <f t="shared" si="69"/>
        <v>0</v>
      </c>
      <c r="T181" s="684">
        <f t="shared" si="70"/>
        <v>0</v>
      </c>
      <c r="U181" s="14">
        <f t="shared" si="71"/>
        <v>0</v>
      </c>
      <c r="V181">
        <v>0</v>
      </c>
      <c r="W181">
        <v>0</v>
      </c>
      <c r="X181">
        <v>0</v>
      </c>
      <c r="Y181">
        <v>0</v>
      </c>
      <c r="Z181">
        <v>0</v>
      </c>
      <c r="AA181">
        <v>0</v>
      </c>
      <c r="AB181">
        <v>0</v>
      </c>
      <c r="AC181">
        <v>0</v>
      </c>
      <c r="AD181">
        <v>0</v>
      </c>
      <c r="AE181" s="143">
        <v>0</v>
      </c>
      <c r="AF181" s="143">
        <v>0</v>
      </c>
      <c r="AG181" s="143">
        <v>0</v>
      </c>
      <c r="AH181" s="143">
        <v>0</v>
      </c>
      <c r="AI181" s="995">
        <v>0</v>
      </c>
      <c r="AJ181" s="143">
        <v>0</v>
      </c>
      <c r="AK181" s="143">
        <v>0</v>
      </c>
      <c r="AL181" s="143">
        <v>0</v>
      </c>
      <c r="AM181" s="143">
        <v>0</v>
      </c>
      <c r="AN181" s="143">
        <v>0</v>
      </c>
      <c r="AO181" s="143">
        <v>0</v>
      </c>
      <c r="AP181" s="143">
        <v>0</v>
      </c>
      <c r="AQ181" s="143">
        <v>0</v>
      </c>
      <c r="AR181" s="143">
        <v>0</v>
      </c>
      <c r="AS181" s="143">
        <v>0</v>
      </c>
      <c r="AT181" s="143">
        <v>0</v>
      </c>
      <c r="AU181" s="143">
        <v>0</v>
      </c>
      <c r="AV181" s="143">
        <v>0</v>
      </c>
      <c r="AW181" s="143">
        <v>0</v>
      </c>
      <c r="AX181" s="143">
        <v>0</v>
      </c>
      <c r="AY181" s="143">
        <v>0</v>
      </c>
      <c r="AZ181" s="143">
        <v>0</v>
      </c>
      <c r="BA181" s="143">
        <v>0</v>
      </c>
      <c r="BB181" s="143">
        <v>0</v>
      </c>
      <c r="BC181" s="143">
        <v>0</v>
      </c>
      <c r="BD181" s="143">
        <v>0</v>
      </c>
      <c r="BE181" s="143">
        <v>0</v>
      </c>
      <c r="BF181" s="143">
        <v>0</v>
      </c>
      <c r="BG181" s="143">
        <v>0</v>
      </c>
      <c r="BH181" s="143">
        <v>0</v>
      </c>
      <c r="BI181" s="143">
        <v>0</v>
      </c>
      <c r="BJ181" s="995">
        <v>0</v>
      </c>
      <c r="BK181" s="143">
        <v>0</v>
      </c>
      <c r="BL181" s="143">
        <v>0</v>
      </c>
      <c r="BM181" s="143">
        <v>0</v>
      </c>
      <c r="BN181" s="143">
        <v>0</v>
      </c>
      <c r="BO181" s="143">
        <v>0</v>
      </c>
      <c r="BP181" s="143">
        <v>0</v>
      </c>
      <c r="BQ181" s="143">
        <v>0</v>
      </c>
      <c r="BR181" s="143">
        <v>0</v>
      </c>
      <c r="BS181" s="143">
        <v>0</v>
      </c>
      <c r="BT181" s="143">
        <v>0</v>
      </c>
      <c r="BU181" s="143">
        <v>0</v>
      </c>
      <c r="BV181" s="143">
        <v>0</v>
      </c>
      <c r="BW181" s="143">
        <v>0</v>
      </c>
      <c r="BX181" s="143">
        <v>0</v>
      </c>
      <c r="BY181" s="143">
        <v>0</v>
      </c>
      <c r="BZ181" s="995">
        <v>0</v>
      </c>
      <c r="CA181" s="143">
        <v>0</v>
      </c>
      <c r="CB181" s="143">
        <v>0</v>
      </c>
      <c r="CC181" s="143">
        <v>0</v>
      </c>
      <c r="CD181" s="143">
        <v>0</v>
      </c>
      <c r="CE181" s="143">
        <v>0</v>
      </c>
      <c r="CF181" s="143">
        <v>0</v>
      </c>
      <c r="CG181" s="143">
        <v>0</v>
      </c>
      <c r="CH181" s="143">
        <v>0</v>
      </c>
      <c r="CI181" s="143">
        <v>0</v>
      </c>
      <c r="CJ181" s="143">
        <v>0</v>
      </c>
      <c r="CK181" s="143">
        <v>0</v>
      </c>
      <c r="CL181" s="143">
        <v>0</v>
      </c>
      <c r="CM181" s="143">
        <v>0</v>
      </c>
      <c r="CN181" s="143">
        <v>0</v>
      </c>
      <c r="CO181" s="143">
        <v>0</v>
      </c>
      <c r="CP181" s="143">
        <v>0</v>
      </c>
      <c r="CQ181" s="143">
        <v>0</v>
      </c>
      <c r="CR181" s="143">
        <v>0</v>
      </c>
      <c r="CS181" s="143">
        <v>0</v>
      </c>
      <c r="CT181" s="143">
        <v>0</v>
      </c>
      <c r="CU181" s="143">
        <v>0</v>
      </c>
      <c r="CV181" s="143">
        <v>0</v>
      </c>
      <c r="CW181" s="14">
        <v>0</v>
      </c>
      <c r="CX181" s="14">
        <v>0</v>
      </c>
      <c r="CY181" s="14">
        <v>0</v>
      </c>
      <c r="CZ181" s="995">
        <v>0</v>
      </c>
      <c r="DA181" s="995">
        <v>0</v>
      </c>
      <c r="DB181" s="995">
        <v>0</v>
      </c>
      <c r="DC181">
        <v>0</v>
      </c>
      <c r="DD181">
        <v>0</v>
      </c>
      <c r="DE181">
        <v>0</v>
      </c>
      <c r="DF181">
        <v>0</v>
      </c>
      <c r="DG181">
        <v>0</v>
      </c>
      <c r="DH181">
        <v>0</v>
      </c>
      <c r="DI181">
        <v>0</v>
      </c>
      <c r="DJ181">
        <v>0</v>
      </c>
      <c r="DK181">
        <v>0</v>
      </c>
      <c r="DL181">
        <v>0</v>
      </c>
      <c r="DM181">
        <v>0</v>
      </c>
      <c r="DN181">
        <v>0</v>
      </c>
      <c r="DO181">
        <v>0</v>
      </c>
      <c r="DP181">
        <v>0</v>
      </c>
      <c r="DQ181">
        <v>32.5</v>
      </c>
    </row>
    <row r="182" spans="1:121" x14ac:dyDescent="0.2">
      <c r="A182" s="14">
        <v>32.75</v>
      </c>
      <c r="B182" s="684">
        <f t="shared" si="55"/>
        <v>7.9597251734315605E-7</v>
      </c>
      <c r="C182" s="684">
        <f t="shared" si="56"/>
        <v>7.9597251734315594E-7</v>
      </c>
      <c r="D182" s="684">
        <f t="shared" si="63"/>
        <v>1.9899312933578899E-7</v>
      </c>
      <c r="E182" s="684">
        <f t="shared" si="57"/>
        <v>7.1046440950846182E-2</v>
      </c>
      <c r="F182" s="684">
        <f t="shared" si="58"/>
        <v>0</v>
      </c>
      <c r="G182" s="684">
        <f t="shared" si="64"/>
        <v>0</v>
      </c>
      <c r="H182" s="684">
        <f t="shared" si="65"/>
        <v>0</v>
      </c>
      <c r="I182" s="1052">
        <f>HLOOKUP('Input &amp; Summary'!$B$6,TurbineProfiles,ROW(I182)-49,0)</f>
        <v>0</v>
      </c>
      <c r="J182" s="684">
        <f t="shared" si="59"/>
        <v>0</v>
      </c>
      <c r="K182" s="9">
        <f t="shared" si="60"/>
        <v>0</v>
      </c>
      <c r="L182" s="14">
        <f t="shared" si="61"/>
        <v>70792.278943529251</v>
      </c>
      <c r="M182" s="684">
        <f t="shared" si="62"/>
        <v>15786.93996174651</v>
      </c>
      <c r="N182" s="684">
        <f t="shared" si="66"/>
        <v>2117.4921141893815</v>
      </c>
      <c r="O182" s="684">
        <f t="shared" si="67"/>
        <v>0.99999906083032886</v>
      </c>
      <c r="P182" s="684">
        <f t="shared" si="68"/>
        <v>0</v>
      </c>
      <c r="Q182" s="684">
        <f t="shared" si="72"/>
        <v>2.2070754035485862E-7</v>
      </c>
      <c r="R182" s="684">
        <f t="shared" si="73"/>
        <v>1.9932526806876183E-7</v>
      </c>
      <c r="S182" s="684">
        <f t="shared" si="69"/>
        <v>0</v>
      </c>
      <c r="T182" s="684">
        <f t="shared" si="70"/>
        <v>0</v>
      </c>
      <c r="U182" s="14">
        <f t="shared" si="71"/>
        <v>0</v>
      </c>
      <c r="V182">
        <v>0</v>
      </c>
      <c r="W182">
        <v>0</v>
      </c>
      <c r="X182">
        <v>0</v>
      </c>
      <c r="Y182">
        <v>0</v>
      </c>
      <c r="Z182">
        <v>0</v>
      </c>
      <c r="AA182">
        <v>0</v>
      </c>
      <c r="AB182">
        <v>0</v>
      </c>
      <c r="AC182">
        <v>0</v>
      </c>
      <c r="AD182">
        <v>0</v>
      </c>
      <c r="AE182" s="143">
        <v>0</v>
      </c>
      <c r="AF182" s="143">
        <v>0</v>
      </c>
      <c r="AG182" s="143">
        <v>0</v>
      </c>
      <c r="AH182" s="143">
        <v>0</v>
      </c>
      <c r="AI182" s="995">
        <v>0</v>
      </c>
      <c r="AJ182" s="143">
        <v>0</v>
      </c>
      <c r="AK182" s="143">
        <v>0</v>
      </c>
      <c r="AL182" s="143">
        <v>0</v>
      </c>
      <c r="AM182" s="143">
        <v>0</v>
      </c>
      <c r="AN182" s="143">
        <v>0</v>
      </c>
      <c r="AO182" s="143">
        <v>0</v>
      </c>
      <c r="AP182" s="143">
        <v>0</v>
      </c>
      <c r="AQ182" s="143">
        <v>0</v>
      </c>
      <c r="AR182" s="143">
        <v>0</v>
      </c>
      <c r="AS182" s="143">
        <v>0</v>
      </c>
      <c r="AT182" s="143">
        <v>0</v>
      </c>
      <c r="AU182" s="143">
        <v>0</v>
      </c>
      <c r="AV182" s="143">
        <v>0</v>
      </c>
      <c r="AW182" s="143">
        <v>0</v>
      </c>
      <c r="AX182" s="143">
        <v>0</v>
      </c>
      <c r="AY182" s="143">
        <v>0</v>
      </c>
      <c r="AZ182" s="143">
        <v>0</v>
      </c>
      <c r="BA182" s="143">
        <v>0</v>
      </c>
      <c r="BB182" s="143">
        <v>0</v>
      </c>
      <c r="BC182" s="143">
        <v>0</v>
      </c>
      <c r="BD182" s="143">
        <v>0</v>
      </c>
      <c r="BE182" s="143">
        <v>0</v>
      </c>
      <c r="BF182" s="143">
        <v>0</v>
      </c>
      <c r="BG182" s="143">
        <v>0</v>
      </c>
      <c r="BH182" s="143">
        <v>0</v>
      </c>
      <c r="BI182" s="143">
        <v>0</v>
      </c>
      <c r="BJ182" s="995">
        <v>0</v>
      </c>
      <c r="BK182" s="143">
        <v>0</v>
      </c>
      <c r="BL182" s="143">
        <v>0</v>
      </c>
      <c r="BM182" s="143">
        <v>0</v>
      </c>
      <c r="BN182" s="143">
        <v>0</v>
      </c>
      <c r="BO182" s="143">
        <v>0</v>
      </c>
      <c r="BP182" s="143">
        <v>0</v>
      </c>
      <c r="BQ182" s="143">
        <v>0</v>
      </c>
      <c r="BR182" s="143">
        <v>0</v>
      </c>
      <c r="BS182" s="143">
        <v>0</v>
      </c>
      <c r="BT182" s="143">
        <v>0</v>
      </c>
      <c r="BU182" s="143">
        <v>0</v>
      </c>
      <c r="BV182" s="143">
        <v>0</v>
      </c>
      <c r="BW182" s="143">
        <v>0</v>
      </c>
      <c r="BX182" s="143">
        <v>0</v>
      </c>
      <c r="BY182" s="143">
        <v>0</v>
      </c>
      <c r="BZ182" s="995">
        <v>0</v>
      </c>
      <c r="CA182" s="143">
        <v>0</v>
      </c>
      <c r="CB182" s="143">
        <v>0</v>
      </c>
      <c r="CC182" s="143">
        <v>0</v>
      </c>
      <c r="CD182" s="143">
        <v>0</v>
      </c>
      <c r="CE182" s="143">
        <v>0</v>
      </c>
      <c r="CF182" s="143">
        <v>0</v>
      </c>
      <c r="CG182" s="143">
        <v>0</v>
      </c>
      <c r="CH182" s="143">
        <v>0</v>
      </c>
      <c r="CI182" s="143">
        <v>0</v>
      </c>
      <c r="CJ182" s="143">
        <v>0</v>
      </c>
      <c r="CK182" s="143">
        <v>0</v>
      </c>
      <c r="CL182" s="143">
        <v>0</v>
      </c>
      <c r="CM182" s="143">
        <v>0</v>
      </c>
      <c r="CN182" s="143">
        <v>0</v>
      </c>
      <c r="CO182" s="143">
        <v>0</v>
      </c>
      <c r="CP182" s="143">
        <v>0</v>
      </c>
      <c r="CQ182" s="143">
        <v>0</v>
      </c>
      <c r="CR182" s="143">
        <v>0</v>
      </c>
      <c r="CS182" s="143">
        <v>0</v>
      </c>
      <c r="CT182" s="143">
        <v>0</v>
      </c>
      <c r="CU182" s="143">
        <v>0</v>
      </c>
      <c r="CV182" s="143">
        <v>0</v>
      </c>
      <c r="CW182" s="14">
        <v>0</v>
      </c>
      <c r="CX182" s="14">
        <v>0</v>
      </c>
      <c r="CY182" s="14">
        <v>0</v>
      </c>
      <c r="CZ182" s="995">
        <v>0</v>
      </c>
      <c r="DA182" s="995">
        <v>0</v>
      </c>
      <c r="DB182" s="995">
        <v>0</v>
      </c>
      <c r="DC182">
        <v>0</v>
      </c>
      <c r="DD182">
        <v>0</v>
      </c>
      <c r="DE182">
        <v>0</v>
      </c>
      <c r="DF182">
        <v>0</v>
      </c>
      <c r="DG182">
        <v>0</v>
      </c>
      <c r="DH182">
        <v>0</v>
      </c>
      <c r="DI182">
        <v>0</v>
      </c>
      <c r="DJ182">
        <v>0</v>
      </c>
      <c r="DK182">
        <v>0</v>
      </c>
      <c r="DL182">
        <v>0</v>
      </c>
      <c r="DM182">
        <v>0</v>
      </c>
      <c r="DN182">
        <v>0</v>
      </c>
      <c r="DO182">
        <v>0</v>
      </c>
      <c r="DP182">
        <v>0</v>
      </c>
      <c r="DQ182">
        <v>32.75</v>
      </c>
    </row>
    <row r="183" spans="1:121" x14ac:dyDescent="0.2">
      <c r="A183" s="14">
        <v>33</v>
      </c>
      <c r="B183" s="684">
        <f t="shared" si="55"/>
        <v>6.4838105345633052E-7</v>
      </c>
      <c r="C183" s="684">
        <f t="shared" si="56"/>
        <v>6.4838105345633158E-7</v>
      </c>
      <c r="D183" s="684">
        <f t="shared" si="63"/>
        <v>1.620952633640829E-7</v>
      </c>
      <c r="E183" s="684">
        <f t="shared" si="57"/>
        <v>5.9208284261447114E-2</v>
      </c>
      <c r="F183" s="684">
        <f t="shared" si="58"/>
        <v>0</v>
      </c>
      <c r="G183" s="684">
        <f t="shared" si="64"/>
        <v>0</v>
      </c>
      <c r="H183" s="684">
        <f t="shared" si="65"/>
        <v>0</v>
      </c>
      <c r="I183" s="1052">
        <f>HLOOKUP('Input &amp; Summary'!$B$6,TurbineProfiles,ROW(I183)-49,0)</f>
        <v>0</v>
      </c>
      <c r="J183" s="684">
        <f t="shared" si="59"/>
        <v>0</v>
      </c>
      <c r="K183" s="9">
        <f t="shared" si="60"/>
        <v>0</v>
      </c>
      <c r="L183" s="14">
        <f t="shared" si="61"/>
        <v>72425.883212552828</v>
      </c>
      <c r="M183" s="684">
        <f t="shared" si="62"/>
        <v>15938.275411337941</v>
      </c>
      <c r="N183" s="684">
        <f t="shared" si="66"/>
        <v>2117.4921141893815</v>
      </c>
      <c r="O183" s="684">
        <f t="shared" si="67"/>
        <v>0.99999924076946489</v>
      </c>
      <c r="P183" s="684">
        <f t="shared" si="68"/>
        <v>0</v>
      </c>
      <c r="Q183" s="684">
        <f t="shared" si="72"/>
        <v>1.7993913603575606E-7</v>
      </c>
      <c r="R183" s="684">
        <f t="shared" si="73"/>
        <v>1.6237046729372651E-7</v>
      </c>
      <c r="S183" s="684">
        <f t="shared" si="69"/>
        <v>0</v>
      </c>
      <c r="T183" s="684">
        <f t="shared" si="70"/>
        <v>0</v>
      </c>
      <c r="U183" s="14">
        <f t="shared" si="71"/>
        <v>0</v>
      </c>
      <c r="V183">
        <v>0</v>
      </c>
      <c r="W183">
        <v>0</v>
      </c>
      <c r="X183">
        <v>0</v>
      </c>
      <c r="Y183">
        <v>0</v>
      </c>
      <c r="Z183">
        <v>0</v>
      </c>
      <c r="AA183">
        <v>0</v>
      </c>
      <c r="AB183">
        <v>0</v>
      </c>
      <c r="AC183">
        <v>0</v>
      </c>
      <c r="AD183">
        <v>0</v>
      </c>
      <c r="AE183" s="143">
        <v>0</v>
      </c>
      <c r="AF183" s="143">
        <v>0</v>
      </c>
      <c r="AG183" s="143">
        <v>0</v>
      </c>
      <c r="AH183" s="143">
        <v>0</v>
      </c>
      <c r="AI183" s="995">
        <v>0</v>
      </c>
      <c r="AJ183" s="143">
        <v>0</v>
      </c>
      <c r="AK183" s="143">
        <v>0</v>
      </c>
      <c r="AL183" s="143">
        <v>0</v>
      </c>
      <c r="AM183" s="143">
        <v>0</v>
      </c>
      <c r="AN183" s="143">
        <v>0</v>
      </c>
      <c r="AO183" s="143">
        <v>0</v>
      </c>
      <c r="AP183" s="143">
        <v>0</v>
      </c>
      <c r="AQ183" s="143">
        <v>0</v>
      </c>
      <c r="AR183" s="143">
        <v>0</v>
      </c>
      <c r="AS183" s="143">
        <v>0</v>
      </c>
      <c r="AT183" s="143">
        <v>0</v>
      </c>
      <c r="AU183" s="143">
        <v>0</v>
      </c>
      <c r="AV183" s="143">
        <v>0</v>
      </c>
      <c r="AW183" s="143">
        <v>0</v>
      </c>
      <c r="AX183" s="143">
        <v>0</v>
      </c>
      <c r="AY183" s="143">
        <v>0</v>
      </c>
      <c r="AZ183" s="143">
        <v>0</v>
      </c>
      <c r="BA183" s="143">
        <v>0</v>
      </c>
      <c r="BB183" s="143">
        <v>0</v>
      </c>
      <c r="BC183" s="143">
        <v>0</v>
      </c>
      <c r="BD183" s="143">
        <v>0</v>
      </c>
      <c r="BE183" s="143">
        <v>0</v>
      </c>
      <c r="BF183" s="143">
        <v>0</v>
      </c>
      <c r="BG183" s="143">
        <v>0</v>
      </c>
      <c r="BH183" s="143">
        <v>0</v>
      </c>
      <c r="BI183" s="143">
        <v>0</v>
      </c>
      <c r="BJ183" s="995">
        <v>0</v>
      </c>
      <c r="BK183" s="143">
        <v>0</v>
      </c>
      <c r="BL183" s="143">
        <v>0</v>
      </c>
      <c r="BM183" s="143">
        <v>0</v>
      </c>
      <c r="BN183" s="143">
        <v>0</v>
      </c>
      <c r="BO183" s="143">
        <v>0</v>
      </c>
      <c r="BP183" s="143">
        <v>0</v>
      </c>
      <c r="BQ183" s="143">
        <v>0</v>
      </c>
      <c r="BR183" s="143">
        <v>0</v>
      </c>
      <c r="BS183" s="143">
        <v>0</v>
      </c>
      <c r="BT183" s="143">
        <v>0</v>
      </c>
      <c r="BU183" s="143">
        <v>0</v>
      </c>
      <c r="BV183" s="143">
        <v>0</v>
      </c>
      <c r="BW183" s="143">
        <v>0</v>
      </c>
      <c r="BX183" s="143">
        <v>0</v>
      </c>
      <c r="BY183" s="143">
        <v>0</v>
      </c>
      <c r="BZ183" s="995">
        <v>0</v>
      </c>
      <c r="CA183" s="143">
        <v>0</v>
      </c>
      <c r="CB183" s="143">
        <v>0</v>
      </c>
      <c r="CC183" s="143">
        <v>0</v>
      </c>
      <c r="CD183" s="143">
        <v>0</v>
      </c>
      <c r="CE183" s="143">
        <v>0</v>
      </c>
      <c r="CF183" s="143">
        <v>0</v>
      </c>
      <c r="CG183" s="143">
        <v>0</v>
      </c>
      <c r="CH183" s="143">
        <v>0</v>
      </c>
      <c r="CI183" s="143">
        <v>0</v>
      </c>
      <c r="CJ183" s="143">
        <v>0</v>
      </c>
      <c r="CK183" s="143">
        <v>0</v>
      </c>
      <c r="CL183" s="143">
        <v>0</v>
      </c>
      <c r="CM183" s="143">
        <v>0</v>
      </c>
      <c r="CN183" s="143">
        <v>0</v>
      </c>
      <c r="CO183" s="143">
        <v>0</v>
      </c>
      <c r="CP183" s="143">
        <v>0</v>
      </c>
      <c r="CQ183" s="143">
        <v>0</v>
      </c>
      <c r="CR183" s="143">
        <v>0</v>
      </c>
      <c r="CS183" s="143">
        <v>0</v>
      </c>
      <c r="CT183" s="143">
        <v>0</v>
      </c>
      <c r="CU183" s="143">
        <v>0</v>
      </c>
      <c r="CV183" s="143">
        <v>0</v>
      </c>
      <c r="CW183" s="14">
        <v>0</v>
      </c>
      <c r="CX183" s="14">
        <v>0</v>
      </c>
      <c r="CY183" s="14">
        <v>0</v>
      </c>
      <c r="CZ183" s="995">
        <v>0</v>
      </c>
      <c r="DA183" s="995">
        <v>0</v>
      </c>
      <c r="DB183" s="995">
        <v>0</v>
      </c>
      <c r="DC183">
        <v>0</v>
      </c>
      <c r="DD183">
        <v>0</v>
      </c>
      <c r="DE183">
        <v>0</v>
      </c>
      <c r="DF183">
        <v>0</v>
      </c>
      <c r="DG183">
        <v>0</v>
      </c>
      <c r="DH183">
        <v>0</v>
      </c>
      <c r="DI183">
        <v>0</v>
      </c>
      <c r="DJ183">
        <v>0</v>
      </c>
      <c r="DK183">
        <v>0</v>
      </c>
      <c r="DL183">
        <v>0</v>
      </c>
      <c r="DM183">
        <v>0</v>
      </c>
      <c r="DN183">
        <v>0</v>
      </c>
      <c r="DO183">
        <v>0</v>
      </c>
      <c r="DP183">
        <v>0</v>
      </c>
      <c r="DQ183">
        <v>33</v>
      </c>
    </row>
    <row r="184" spans="1:121" x14ac:dyDescent="0.2">
      <c r="A184" s="14">
        <v>33.25</v>
      </c>
      <c r="B184" s="684">
        <f t="shared" si="55"/>
        <v>5.2727259096225569E-7</v>
      </c>
      <c r="C184" s="684">
        <f t="shared" si="56"/>
        <v>5.272725909622576E-7</v>
      </c>
      <c r="D184" s="684">
        <f t="shared" si="63"/>
        <v>1.318181477405644E-7</v>
      </c>
      <c r="E184" s="684">
        <f t="shared" si="57"/>
        <v>4.9251616139369826E-2</v>
      </c>
      <c r="F184" s="684">
        <f t="shared" si="58"/>
        <v>0</v>
      </c>
      <c r="G184" s="684">
        <f t="shared" si="64"/>
        <v>0</v>
      </c>
      <c r="H184" s="684">
        <f t="shared" si="65"/>
        <v>0</v>
      </c>
      <c r="I184" s="1052">
        <f>HLOOKUP('Input &amp; Summary'!$B$6,TurbineProfiles,ROW(I184)-49,0)</f>
        <v>0</v>
      </c>
      <c r="J184" s="684">
        <f t="shared" si="59"/>
        <v>0</v>
      </c>
      <c r="K184" s="9">
        <f t="shared" si="60"/>
        <v>0</v>
      </c>
      <c r="L184" s="14">
        <f t="shared" si="61"/>
        <v>74084.427524004961</v>
      </c>
      <c r="M184" s="684">
        <f t="shared" si="62"/>
        <v>16089.610860929373</v>
      </c>
      <c r="N184" s="684">
        <f t="shared" si="66"/>
        <v>2117.4921141893815</v>
      </c>
      <c r="O184" s="684">
        <f t="shared" si="67"/>
        <v>0.99999938722528436</v>
      </c>
      <c r="P184" s="684">
        <f t="shared" si="68"/>
        <v>0</v>
      </c>
      <c r="Q184" s="684">
        <f t="shared" si="72"/>
        <v>1.4645581947192454E-7</v>
      </c>
      <c r="R184" s="684">
        <f t="shared" si="73"/>
        <v>1.3204575866065937E-7</v>
      </c>
      <c r="S184" s="684">
        <f t="shared" si="69"/>
        <v>0</v>
      </c>
      <c r="T184" s="684">
        <f t="shared" si="70"/>
        <v>0</v>
      </c>
      <c r="U184" s="14">
        <f t="shared" si="71"/>
        <v>0</v>
      </c>
      <c r="V184">
        <v>0</v>
      </c>
      <c r="W184">
        <v>0</v>
      </c>
      <c r="X184">
        <v>0</v>
      </c>
      <c r="Y184">
        <v>0</v>
      </c>
      <c r="Z184">
        <v>0</v>
      </c>
      <c r="AA184">
        <v>0</v>
      </c>
      <c r="AB184">
        <v>0</v>
      </c>
      <c r="AC184">
        <v>0</v>
      </c>
      <c r="AD184">
        <v>0</v>
      </c>
      <c r="AE184" s="143">
        <v>0</v>
      </c>
      <c r="AF184" s="143">
        <v>0</v>
      </c>
      <c r="AG184" s="143">
        <v>0</v>
      </c>
      <c r="AH184" s="143">
        <v>0</v>
      </c>
      <c r="AI184" s="995">
        <v>0</v>
      </c>
      <c r="AJ184" s="143">
        <v>0</v>
      </c>
      <c r="AK184" s="143">
        <v>0</v>
      </c>
      <c r="AL184" s="143">
        <v>0</v>
      </c>
      <c r="AM184" s="143">
        <v>0</v>
      </c>
      <c r="AN184" s="143">
        <v>0</v>
      </c>
      <c r="AO184" s="143">
        <v>0</v>
      </c>
      <c r="AP184" s="143">
        <v>0</v>
      </c>
      <c r="AQ184" s="143">
        <v>0</v>
      </c>
      <c r="AR184" s="143">
        <v>0</v>
      </c>
      <c r="AS184" s="143">
        <v>0</v>
      </c>
      <c r="AT184" s="143">
        <v>0</v>
      </c>
      <c r="AU184" s="143">
        <v>0</v>
      </c>
      <c r="AV184" s="143">
        <v>0</v>
      </c>
      <c r="AW184" s="143">
        <v>0</v>
      </c>
      <c r="AX184" s="143">
        <v>0</v>
      </c>
      <c r="AY184" s="143">
        <v>0</v>
      </c>
      <c r="AZ184" s="143">
        <v>0</v>
      </c>
      <c r="BA184" s="143">
        <v>0</v>
      </c>
      <c r="BB184" s="143">
        <v>0</v>
      </c>
      <c r="BC184" s="143">
        <v>0</v>
      </c>
      <c r="BD184" s="143">
        <v>0</v>
      </c>
      <c r="BE184" s="143">
        <v>0</v>
      </c>
      <c r="BF184" s="143">
        <v>0</v>
      </c>
      <c r="BG184" s="143">
        <v>0</v>
      </c>
      <c r="BH184" s="143">
        <v>0</v>
      </c>
      <c r="BI184" s="143">
        <v>0</v>
      </c>
      <c r="BJ184" s="995">
        <v>0</v>
      </c>
      <c r="BK184" s="143">
        <v>0</v>
      </c>
      <c r="BL184" s="143">
        <v>0</v>
      </c>
      <c r="BM184" s="143">
        <v>0</v>
      </c>
      <c r="BN184" s="143">
        <v>0</v>
      </c>
      <c r="BO184" s="143">
        <v>0</v>
      </c>
      <c r="BP184" s="143">
        <v>0</v>
      </c>
      <c r="BQ184" s="143">
        <v>0</v>
      </c>
      <c r="BR184" s="143">
        <v>0</v>
      </c>
      <c r="BS184" s="143">
        <v>0</v>
      </c>
      <c r="BT184" s="143">
        <v>0</v>
      </c>
      <c r="BU184" s="143">
        <v>0</v>
      </c>
      <c r="BV184" s="143">
        <v>0</v>
      </c>
      <c r="BW184" s="143">
        <v>0</v>
      </c>
      <c r="BX184" s="143">
        <v>0</v>
      </c>
      <c r="BY184" s="143">
        <v>0</v>
      </c>
      <c r="BZ184" s="995">
        <v>0</v>
      </c>
      <c r="CA184" s="143">
        <v>0</v>
      </c>
      <c r="CB184" s="143">
        <v>0</v>
      </c>
      <c r="CC184" s="143">
        <v>0</v>
      </c>
      <c r="CD184" s="143">
        <v>0</v>
      </c>
      <c r="CE184" s="143">
        <v>0</v>
      </c>
      <c r="CF184" s="143">
        <v>0</v>
      </c>
      <c r="CG184" s="143">
        <v>0</v>
      </c>
      <c r="CH184" s="143">
        <v>0</v>
      </c>
      <c r="CI184" s="143">
        <v>0</v>
      </c>
      <c r="CJ184" s="143">
        <v>0</v>
      </c>
      <c r="CK184" s="143">
        <v>0</v>
      </c>
      <c r="CL184" s="143">
        <v>0</v>
      </c>
      <c r="CM184" s="143">
        <v>0</v>
      </c>
      <c r="CN184" s="143">
        <v>0</v>
      </c>
      <c r="CO184" s="143">
        <v>0</v>
      </c>
      <c r="CP184" s="143">
        <v>0</v>
      </c>
      <c r="CQ184" s="143">
        <v>0</v>
      </c>
      <c r="CR184" s="143">
        <v>0</v>
      </c>
      <c r="CS184" s="143">
        <v>0</v>
      </c>
      <c r="CT184" s="143">
        <v>0</v>
      </c>
      <c r="CU184" s="143">
        <v>0</v>
      </c>
      <c r="CV184" s="143">
        <v>0</v>
      </c>
      <c r="CW184" s="14">
        <v>0</v>
      </c>
      <c r="CX184" s="14">
        <v>0</v>
      </c>
      <c r="CY184" s="14">
        <v>0</v>
      </c>
      <c r="CZ184" s="995">
        <v>0</v>
      </c>
      <c r="DA184" s="995">
        <v>0</v>
      </c>
      <c r="DB184" s="995">
        <v>0</v>
      </c>
      <c r="DC184">
        <v>0</v>
      </c>
      <c r="DD184">
        <v>0</v>
      </c>
      <c r="DE184">
        <v>0</v>
      </c>
      <c r="DF184">
        <v>0</v>
      </c>
      <c r="DG184">
        <v>0</v>
      </c>
      <c r="DH184">
        <v>0</v>
      </c>
      <c r="DI184">
        <v>0</v>
      </c>
      <c r="DJ184">
        <v>0</v>
      </c>
      <c r="DK184">
        <v>0</v>
      </c>
      <c r="DL184">
        <v>0</v>
      </c>
      <c r="DM184">
        <v>0</v>
      </c>
      <c r="DN184">
        <v>0</v>
      </c>
      <c r="DO184">
        <v>0</v>
      </c>
      <c r="DP184">
        <v>0</v>
      </c>
      <c r="DQ184">
        <v>33.25</v>
      </c>
    </row>
    <row r="185" spans="1:121" x14ac:dyDescent="0.2">
      <c r="A185" s="14">
        <v>33.5</v>
      </c>
      <c r="B185" s="684">
        <f t="shared" si="55"/>
        <v>4.280683195047195E-7</v>
      </c>
      <c r="C185" s="684">
        <f t="shared" si="56"/>
        <v>4.2806831950471944E-7</v>
      </c>
      <c r="D185" s="684">
        <f t="shared" si="63"/>
        <v>1.0701707987617986E-7</v>
      </c>
      <c r="E185" s="684">
        <f t="shared" si="57"/>
        <v>4.089383588848497E-2</v>
      </c>
      <c r="F185" s="684">
        <f t="shared" si="58"/>
        <v>0</v>
      </c>
      <c r="G185" s="684">
        <f t="shared" si="64"/>
        <v>0</v>
      </c>
      <c r="H185" s="684">
        <f t="shared" si="65"/>
        <v>0</v>
      </c>
      <c r="I185" s="1052">
        <f>HLOOKUP('Input &amp; Summary'!$B$6,TurbineProfiles,ROW(I185)-49,0)</f>
        <v>0</v>
      </c>
      <c r="J185" s="684">
        <f t="shared" si="59"/>
        <v>0</v>
      </c>
      <c r="K185" s="9">
        <f t="shared" si="60"/>
        <v>0</v>
      </c>
      <c r="L185" s="14">
        <f t="shared" si="61"/>
        <v>75768.100817601007</v>
      </c>
      <c r="M185" s="684">
        <f t="shared" si="62"/>
        <v>16240.946310520805</v>
      </c>
      <c r="N185" s="684">
        <f t="shared" si="66"/>
        <v>2117.4921141893815</v>
      </c>
      <c r="O185" s="684">
        <f t="shared" si="67"/>
        <v>0.99999950622900935</v>
      </c>
      <c r="P185" s="684">
        <f t="shared" si="68"/>
        <v>0</v>
      </c>
      <c r="Q185" s="684">
        <f t="shared" si="72"/>
        <v>1.1900372498541145E-7</v>
      </c>
      <c r="R185" s="684">
        <f t="shared" si="73"/>
        <v>1.0720498422323033E-7</v>
      </c>
      <c r="S185" s="684">
        <f t="shared" si="69"/>
        <v>0</v>
      </c>
      <c r="T185" s="684">
        <f t="shared" si="70"/>
        <v>0</v>
      </c>
      <c r="U185" s="14">
        <f t="shared" si="71"/>
        <v>0</v>
      </c>
      <c r="V185">
        <v>0</v>
      </c>
      <c r="W185">
        <v>0</v>
      </c>
      <c r="X185">
        <v>0</v>
      </c>
      <c r="Y185">
        <v>0</v>
      </c>
      <c r="Z185">
        <v>0</v>
      </c>
      <c r="AA185">
        <v>0</v>
      </c>
      <c r="AB185">
        <v>0</v>
      </c>
      <c r="AC185">
        <v>0</v>
      </c>
      <c r="AD185">
        <v>0</v>
      </c>
      <c r="AE185" s="143">
        <v>0</v>
      </c>
      <c r="AF185" s="143">
        <v>0</v>
      </c>
      <c r="AG185" s="143">
        <v>0</v>
      </c>
      <c r="AH185" s="143">
        <v>0</v>
      </c>
      <c r="AI185" s="995">
        <v>0</v>
      </c>
      <c r="AJ185" s="143">
        <v>0</v>
      </c>
      <c r="AK185" s="143">
        <v>0</v>
      </c>
      <c r="AL185" s="143">
        <v>0</v>
      </c>
      <c r="AM185" s="143">
        <v>0</v>
      </c>
      <c r="AN185" s="143">
        <v>0</v>
      </c>
      <c r="AO185" s="143">
        <v>0</v>
      </c>
      <c r="AP185" s="143">
        <v>0</v>
      </c>
      <c r="AQ185" s="143">
        <v>0</v>
      </c>
      <c r="AR185" s="143">
        <v>0</v>
      </c>
      <c r="AS185" s="143">
        <v>0</v>
      </c>
      <c r="AT185" s="143">
        <v>0</v>
      </c>
      <c r="AU185" s="143">
        <v>0</v>
      </c>
      <c r="AV185" s="143">
        <v>0</v>
      </c>
      <c r="AW185" s="143">
        <v>0</v>
      </c>
      <c r="AX185" s="143">
        <v>0</v>
      </c>
      <c r="AY185" s="143">
        <v>0</v>
      </c>
      <c r="AZ185" s="143">
        <v>0</v>
      </c>
      <c r="BA185" s="143">
        <v>0</v>
      </c>
      <c r="BB185" s="143">
        <v>0</v>
      </c>
      <c r="BC185" s="143">
        <v>0</v>
      </c>
      <c r="BD185" s="143">
        <v>0</v>
      </c>
      <c r="BE185" s="143">
        <v>0</v>
      </c>
      <c r="BF185" s="143">
        <v>0</v>
      </c>
      <c r="BG185" s="143">
        <v>0</v>
      </c>
      <c r="BH185" s="143">
        <v>0</v>
      </c>
      <c r="BI185" s="143">
        <v>0</v>
      </c>
      <c r="BJ185" s="995">
        <v>0</v>
      </c>
      <c r="BK185" s="143">
        <v>0</v>
      </c>
      <c r="BL185" s="143">
        <v>0</v>
      </c>
      <c r="BM185" s="143">
        <v>0</v>
      </c>
      <c r="BN185" s="143">
        <v>0</v>
      </c>
      <c r="BO185" s="143">
        <v>0</v>
      </c>
      <c r="BP185" s="143">
        <v>0</v>
      </c>
      <c r="BQ185" s="143">
        <v>0</v>
      </c>
      <c r="BR185" s="143">
        <v>0</v>
      </c>
      <c r="BS185" s="143">
        <v>0</v>
      </c>
      <c r="BT185" s="143">
        <v>0</v>
      </c>
      <c r="BU185" s="143">
        <v>0</v>
      </c>
      <c r="BV185" s="143">
        <v>0</v>
      </c>
      <c r="BW185" s="143">
        <v>0</v>
      </c>
      <c r="BX185" s="143">
        <v>0</v>
      </c>
      <c r="BY185" s="143">
        <v>0</v>
      </c>
      <c r="BZ185" s="995">
        <v>0</v>
      </c>
      <c r="CA185" s="143">
        <v>0</v>
      </c>
      <c r="CB185" s="143">
        <v>0</v>
      </c>
      <c r="CC185" s="143">
        <v>0</v>
      </c>
      <c r="CD185" s="143">
        <v>0</v>
      </c>
      <c r="CE185" s="143">
        <v>0</v>
      </c>
      <c r="CF185" s="143">
        <v>0</v>
      </c>
      <c r="CG185" s="143">
        <v>0</v>
      </c>
      <c r="CH185" s="143">
        <v>0</v>
      </c>
      <c r="CI185" s="143">
        <v>0</v>
      </c>
      <c r="CJ185" s="143">
        <v>0</v>
      </c>
      <c r="CK185" s="143">
        <v>0</v>
      </c>
      <c r="CL185" s="143">
        <v>0</v>
      </c>
      <c r="CM185" s="143">
        <v>0</v>
      </c>
      <c r="CN185" s="143">
        <v>0</v>
      </c>
      <c r="CO185" s="143">
        <v>0</v>
      </c>
      <c r="CP185" s="143">
        <v>0</v>
      </c>
      <c r="CQ185" s="143">
        <v>0</v>
      </c>
      <c r="CR185" s="143">
        <v>0</v>
      </c>
      <c r="CS185" s="143">
        <v>0</v>
      </c>
      <c r="CT185" s="143">
        <v>0</v>
      </c>
      <c r="CU185" s="143">
        <v>0</v>
      </c>
      <c r="CV185" s="143">
        <v>0</v>
      </c>
      <c r="CW185" s="14">
        <v>0</v>
      </c>
      <c r="CX185" s="14">
        <v>0</v>
      </c>
      <c r="CY185" s="14">
        <v>0</v>
      </c>
      <c r="CZ185" s="995">
        <v>0</v>
      </c>
      <c r="DA185" s="995">
        <v>0</v>
      </c>
      <c r="DB185" s="995">
        <v>0</v>
      </c>
      <c r="DC185">
        <v>0</v>
      </c>
      <c r="DD185">
        <v>0</v>
      </c>
      <c r="DE185">
        <v>0</v>
      </c>
      <c r="DF185">
        <v>0</v>
      </c>
      <c r="DG185">
        <v>0</v>
      </c>
      <c r="DH185">
        <v>0</v>
      </c>
      <c r="DI185">
        <v>0</v>
      </c>
      <c r="DJ185">
        <v>0</v>
      </c>
      <c r="DK185">
        <v>0</v>
      </c>
      <c r="DL185">
        <v>0</v>
      </c>
      <c r="DM185">
        <v>0</v>
      </c>
      <c r="DN185">
        <v>0</v>
      </c>
      <c r="DO185">
        <v>0</v>
      </c>
      <c r="DP185">
        <v>0</v>
      </c>
      <c r="DQ185">
        <v>33.5</v>
      </c>
    </row>
    <row r="186" spans="1:121" x14ac:dyDescent="0.2">
      <c r="A186" s="14">
        <v>33.75</v>
      </c>
      <c r="B186" s="684">
        <f t="shared" si="55"/>
        <v>3.4694797389119182E-7</v>
      </c>
      <c r="C186" s="684">
        <f t="shared" si="56"/>
        <v>3.469479738911924E-7</v>
      </c>
      <c r="D186" s="684">
        <f t="shared" si="63"/>
        <v>8.67369934727981E-8</v>
      </c>
      <c r="E186" s="684">
        <f t="shared" si="57"/>
        <v>3.3891908720378713E-2</v>
      </c>
      <c r="F186" s="684">
        <f t="shared" si="58"/>
        <v>0</v>
      </c>
      <c r="G186" s="684">
        <f t="shared" si="64"/>
        <v>0</v>
      </c>
      <c r="H186" s="684">
        <f t="shared" si="65"/>
        <v>0</v>
      </c>
      <c r="I186" s="1052">
        <f>HLOOKUP('Input &amp; Summary'!$B$6,TurbineProfiles,ROW(I186)-49,0)</f>
        <v>0</v>
      </c>
      <c r="J186" s="684">
        <f t="shared" si="59"/>
        <v>0</v>
      </c>
      <c r="K186" s="9">
        <f t="shared" si="60"/>
        <v>0</v>
      </c>
      <c r="L186" s="14">
        <f t="shared" si="61"/>
        <v>77477.092033056382</v>
      </c>
      <c r="M186" s="684">
        <f t="shared" si="62"/>
        <v>16392.281760112237</v>
      </c>
      <c r="N186" s="684">
        <f t="shared" si="66"/>
        <v>2117.4921141893815</v>
      </c>
      <c r="O186" s="684">
        <f t="shared" si="67"/>
        <v>0.99999960276466859</v>
      </c>
      <c r="P186" s="684">
        <f t="shared" si="68"/>
        <v>0</v>
      </c>
      <c r="Q186" s="684">
        <f t="shared" si="72"/>
        <v>9.653565924416796E-8</v>
      </c>
      <c r="R186" s="684">
        <f t="shared" si="73"/>
        <v>8.6891835060498579E-8</v>
      </c>
      <c r="S186" s="684">
        <f t="shared" si="69"/>
        <v>0</v>
      </c>
      <c r="T186" s="684">
        <f t="shared" si="70"/>
        <v>0</v>
      </c>
      <c r="U186" s="14">
        <f t="shared" si="71"/>
        <v>0</v>
      </c>
      <c r="V186">
        <v>0</v>
      </c>
      <c r="W186">
        <v>0</v>
      </c>
      <c r="X186">
        <v>0</v>
      </c>
      <c r="Y186">
        <v>0</v>
      </c>
      <c r="Z186">
        <v>0</v>
      </c>
      <c r="AA186">
        <v>0</v>
      </c>
      <c r="AB186">
        <v>0</v>
      </c>
      <c r="AC186">
        <v>0</v>
      </c>
      <c r="AD186">
        <v>0</v>
      </c>
      <c r="AE186" s="143">
        <v>0</v>
      </c>
      <c r="AF186" s="143">
        <v>0</v>
      </c>
      <c r="AG186" s="143">
        <v>0</v>
      </c>
      <c r="AH186" s="143">
        <v>0</v>
      </c>
      <c r="AI186" s="995">
        <v>0</v>
      </c>
      <c r="AJ186" s="143">
        <v>0</v>
      </c>
      <c r="AK186" s="143">
        <v>0</v>
      </c>
      <c r="AL186" s="143">
        <v>0</v>
      </c>
      <c r="AM186" s="143">
        <v>0</v>
      </c>
      <c r="AN186" s="143">
        <v>0</v>
      </c>
      <c r="AO186" s="143">
        <v>0</v>
      </c>
      <c r="AP186" s="143">
        <v>0</v>
      </c>
      <c r="AQ186" s="143">
        <v>0</v>
      </c>
      <c r="AR186" s="143">
        <v>0</v>
      </c>
      <c r="AS186" s="143">
        <v>0</v>
      </c>
      <c r="AT186" s="143">
        <v>0</v>
      </c>
      <c r="AU186" s="143">
        <v>0</v>
      </c>
      <c r="AV186" s="143">
        <v>0</v>
      </c>
      <c r="AW186" s="143">
        <v>0</v>
      </c>
      <c r="AX186" s="143">
        <v>0</v>
      </c>
      <c r="AY186" s="143">
        <v>0</v>
      </c>
      <c r="AZ186" s="143">
        <v>0</v>
      </c>
      <c r="BA186" s="143">
        <v>0</v>
      </c>
      <c r="BB186" s="143">
        <v>0</v>
      </c>
      <c r="BC186" s="143">
        <v>0</v>
      </c>
      <c r="BD186" s="143">
        <v>0</v>
      </c>
      <c r="BE186" s="143">
        <v>0</v>
      </c>
      <c r="BF186" s="143">
        <v>0</v>
      </c>
      <c r="BG186" s="143">
        <v>0</v>
      </c>
      <c r="BH186" s="143">
        <v>0</v>
      </c>
      <c r="BI186" s="143">
        <v>0</v>
      </c>
      <c r="BJ186" s="995">
        <v>0</v>
      </c>
      <c r="BK186" s="143">
        <v>0</v>
      </c>
      <c r="BL186" s="143">
        <v>0</v>
      </c>
      <c r="BM186" s="143">
        <v>0</v>
      </c>
      <c r="BN186" s="143">
        <v>0</v>
      </c>
      <c r="BO186" s="143">
        <v>0</v>
      </c>
      <c r="BP186" s="143">
        <v>0</v>
      </c>
      <c r="BQ186" s="143">
        <v>0</v>
      </c>
      <c r="BR186" s="143">
        <v>0</v>
      </c>
      <c r="BS186" s="143">
        <v>0</v>
      </c>
      <c r="BT186" s="143">
        <v>0</v>
      </c>
      <c r="BU186" s="143">
        <v>0</v>
      </c>
      <c r="BV186" s="143">
        <v>0</v>
      </c>
      <c r="BW186" s="143">
        <v>0</v>
      </c>
      <c r="BX186" s="143">
        <v>0</v>
      </c>
      <c r="BY186" s="143">
        <v>0</v>
      </c>
      <c r="BZ186" s="995">
        <v>0</v>
      </c>
      <c r="CA186" s="143">
        <v>0</v>
      </c>
      <c r="CB186" s="143">
        <v>0</v>
      </c>
      <c r="CC186" s="143">
        <v>0</v>
      </c>
      <c r="CD186" s="143">
        <v>0</v>
      </c>
      <c r="CE186" s="143">
        <v>0</v>
      </c>
      <c r="CF186" s="143">
        <v>0</v>
      </c>
      <c r="CG186" s="143">
        <v>0</v>
      </c>
      <c r="CH186" s="143">
        <v>0</v>
      </c>
      <c r="CI186" s="143">
        <v>0</v>
      </c>
      <c r="CJ186" s="143">
        <v>0</v>
      </c>
      <c r="CK186" s="143">
        <v>0</v>
      </c>
      <c r="CL186" s="143">
        <v>0</v>
      </c>
      <c r="CM186" s="143">
        <v>0</v>
      </c>
      <c r="CN186" s="143">
        <v>0</v>
      </c>
      <c r="CO186" s="143">
        <v>0</v>
      </c>
      <c r="CP186" s="143">
        <v>0</v>
      </c>
      <c r="CQ186" s="143">
        <v>0</v>
      </c>
      <c r="CR186" s="143">
        <v>0</v>
      </c>
      <c r="CS186" s="143">
        <v>0</v>
      </c>
      <c r="CT186" s="143">
        <v>0</v>
      </c>
      <c r="CU186" s="143">
        <v>0</v>
      </c>
      <c r="CV186" s="143">
        <v>0</v>
      </c>
      <c r="CW186" s="14">
        <v>0</v>
      </c>
      <c r="CX186" s="14">
        <v>0</v>
      </c>
      <c r="CY186" s="14">
        <v>0</v>
      </c>
      <c r="CZ186" s="995">
        <v>0</v>
      </c>
      <c r="DA186" s="995">
        <v>0</v>
      </c>
      <c r="DB186" s="995">
        <v>0</v>
      </c>
      <c r="DC186">
        <v>0</v>
      </c>
      <c r="DD186">
        <v>0</v>
      </c>
      <c r="DE186">
        <v>0</v>
      </c>
      <c r="DF186">
        <v>0</v>
      </c>
      <c r="DG186">
        <v>0</v>
      </c>
      <c r="DH186">
        <v>0</v>
      </c>
      <c r="DI186">
        <v>0</v>
      </c>
      <c r="DJ186">
        <v>0</v>
      </c>
      <c r="DK186">
        <v>0</v>
      </c>
      <c r="DL186">
        <v>0</v>
      </c>
      <c r="DM186">
        <v>0</v>
      </c>
      <c r="DN186">
        <v>0</v>
      </c>
      <c r="DO186">
        <v>0</v>
      </c>
      <c r="DP186">
        <v>0</v>
      </c>
      <c r="DQ186">
        <v>33.75</v>
      </c>
    </row>
    <row r="187" spans="1:121" x14ac:dyDescent="0.2">
      <c r="A187" s="14">
        <v>34</v>
      </c>
      <c r="B187" s="684">
        <f t="shared" si="55"/>
        <v>2.8073034334729767E-7</v>
      </c>
      <c r="C187" s="684">
        <f t="shared" si="56"/>
        <v>2.8073034334729714E-7</v>
      </c>
      <c r="D187" s="684">
        <f t="shared" si="63"/>
        <v>7.0182585836824285E-8</v>
      </c>
      <c r="E187" s="684">
        <f t="shared" si="57"/>
        <v>2.803731680213073E-2</v>
      </c>
      <c r="F187" s="684">
        <f t="shared" si="58"/>
        <v>0</v>
      </c>
      <c r="G187" s="684">
        <f t="shared" si="64"/>
        <v>0</v>
      </c>
      <c r="H187" s="684">
        <f t="shared" si="65"/>
        <v>0</v>
      </c>
      <c r="I187" s="1052">
        <f>HLOOKUP('Input &amp; Summary'!$B$6,TurbineProfiles,ROW(I187)-49,0)</f>
        <v>0</v>
      </c>
      <c r="J187" s="684">
        <f t="shared" si="59"/>
        <v>0</v>
      </c>
      <c r="K187" s="9">
        <f t="shared" si="60"/>
        <v>0</v>
      </c>
      <c r="L187" s="14">
        <f t="shared" si="61"/>
        <v>79211.590110086428</v>
      </c>
      <c r="M187" s="684">
        <f t="shared" si="62"/>
        <v>16543.617209703669</v>
      </c>
      <c r="N187" s="684">
        <f t="shared" si="66"/>
        <v>2117.4921141893815</v>
      </c>
      <c r="O187" s="684">
        <f t="shared" si="67"/>
        <v>0.99999968094340186</v>
      </c>
      <c r="P187" s="684">
        <f t="shared" si="68"/>
        <v>0</v>
      </c>
      <c r="Q187" s="684">
        <f t="shared" si="72"/>
        <v>7.8178733264877565E-8</v>
      </c>
      <c r="R187" s="684">
        <f t="shared" si="73"/>
        <v>7.0309950084279649E-8</v>
      </c>
      <c r="S187" s="684">
        <f t="shared" si="69"/>
        <v>0</v>
      </c>
      <c r="T187" s="684">
        <f t="shared" si="70"/>
        <v>0</v>
      </c>
      <c r="U187" s="14">
        <f t="shared" si="71"/>
        <v>0</v>
      </c>
      <c r="V187">
        <v>0</v>
      </c>
      <c r="W187">
        <v>0</v>
      </c>
      <c r="X187">
        <v>0</v>
      </c>
      <c r="Y187">
        <v>0</v>
      </c>
      <c r="Z187">
        <v>0</v>
      </c>
      <c r="AA187">
        <v>0</v>
      </c>
      <c r="AB187">
        <v>0</v>
      </c>
      <c r="AC187">
        <v>0</v>
      </c>
      <c r="AD187">
        <v>0</v>
      </c>
      <c r="AE187" s="143">
        <v>0</v>
      </c>
      <c r="AF187" s="143">
        <v>0</v>
      </c>
      <c r="AG187" s="143">
        <v>0</v>
      </c>
      <c r="AH187" s="143">
        <v>0</v>
      </c>
      <c r="AI187" s="995">
        <v>0</v>
      </c>
      <c r="AJ187" s="143">
        <v>0</v>
      </c>
      <c r="AK187" s="143">
        <v>0</v>
      </c>
      <c r="AL187" s="143">
        <v>0</v>
      </c>
      <c r="AM187" s="143">
        <v>0</v>
      </c>
      <c r="AN187" s="143">
        <v>0</v>
      </c>
      <c r="AO187" s="143">
        <v>0</v>
      </c>
      <c r="AP187" s="143">
        <v>0</v>
      </c>
      <c r="AQ187" s="143">
        <v>0</v>
      </c>
      <c r="AR187" s="143">
        <v>0</v>
      </c>
      <c r="AS187" s="143">
        <v>0</v>
      </c>
      <c r="AT187" s="143">
        <v>0</v>
      </c>
      <c r="AU187" s="143">
        <v>0</v>
      </c>
      <c r="AV187" s="143">
        <v>0</v>
      </c>
      <c r="AW187" s="143">
        <v>0</v>
      </c>
      <c r="AX187" s="143">
        <v>0</v>
      </c>
      <c r="AY187" s="143">
        <v>0</v>
      </c>
      <c r="AZ187" s="143">
        <v>0</v>
      </c>
      <c r="BA187" s="143">
        <v>0</v>
      </c>
      <c r="BB187" s="143">
        <v>0</v>
      </c>
      <c r="BC187" s="143">
        <v>0</v>
      </c>
      <c r="BD187" s="143">
        <v>0</v>
      </c>
      <c r="BE187" s="143">
        <v>0</v>
      </c>
      <c r="BF187" s="143">
        <v>0</v>
      </c>
      <c r="BG187" s="143">
        <v>0</v>
      </c>
      <c r="BH187" s="143">
        <v>0</v>
      </c>
      <c r="BI187" s="143">
        <v>0</v>
      </c>
      <c r="BJ187" s="995">
        <v>0</v>
      </c>
      <c r="BK187" s="143">
        <v>0</v>
      </c>
      <c r="BL187" s="143">
        <v>0</v>
      </c>
      <c r="BM187" s="143">
        <v>0</v>
      </c>
      <c r="BN187" s="143">
        <v>0</v>
      </c>
      <c r="BO187" s="143">
        <v>0</v>
      </c>
      <c r="BP187" s="143">
        <v>0</v>
      </c>
      <c r="BQ187" s="143">
        <v>0</v>
      </c>
      <c r="BR187" s="143">
        <v>0</v>
      </c>
      <c r="BS187" s="143">
        <v>0</v>
      </c>
      <c r="BT187" s="143">
        <v>0</v>
      </c>
      <c r="BU187" s="143">
        <v>0</v>
      </c>
      <c r="BV187" s="143">
        <v>0</v>
      </c>
      <c r="BW187" s="143">
        <v>0</v>
      </c>
      <c r="BX187" s="143">
        <v>0</v>
      </c>
      <c r="BY187" s="143">
        <v>0</v>
      </c>
      <c r="BZ187" s="995">
        <v>0</v>
      </c>
      <c r="CA187" s="143">
        <v>0</v>
      </c>
      <c r="CB187" s="143">
        <v>0</v>
      </c>
      <c r="CC187" s="143">
        <v>0</v>
      </c>
      <c r="CD187" s="143">
        <v>0</v>
      </c>
      <c r="CE187" s="143">
        <v>0</v>
      </c>
      <c r="CF187" s="143">
        <v>0</v>
      </c>
      <c r="CG187" s="143">
        <v>0</v>
      </c>
      <c r="CH187" s="143">
        <v>0</v>
      </c>
      <c r="CI187" s="143">
        <v>0</v>
      </c>
      <c r="CJ187" s="143">
        <v>0</v>
      </c>
      <c r="CK187" s="143">
        <v>0</v>
      </c>
      <c r="CL187" s="143">
        <v>0</v>
      </c>
      <c r="CM187" s="143">
        <v>0</v>
      </c>
      <c r="CN187" s="143">
        <v>0</v>
      </c>
      <c r="CO187" s="143">
        <v>0</v>
      </c>
      <c r="CP187" s="143">
        <v>0</v>
      </c>
      <c r="CQ187" s="143">
        <v>0</v>
      </c>
      <c r="CR187" s="143">
        <v>0</v>
      </c>
      <c r="CS187" s="143">
        <v>0</v>
      </c>
      <c r="CT187" s="143">
        <v>0</v>
      </c>
      <c r="CU187" s="143">
        <v>0</v>
      </c>
      <c r="CV187" s="143">
        <v>0</v>
      </c>
      <c r="CW187" s="14">
        <v>0</v>
      </c>
      <c r="CX187" s="14">
        <v>0</v>
      </c>
      <c r="CY187" s="14">
        <v>0</v>
      </c>
      <c r="CZ187" s="995">
        <v>0</v>
      </c>
      <c r="DA187" s="995">
        <v>0</v>
      </c>
      <c r="DB187" s="995">
        <v>0</v>
      </c>
      <c r="DC187">
        <v>0</v>
      </c>
      <c r="DD187">
        <v>0</v>
      </c>
      <c r="DE187">
        <v>0</v>
      </c>
      <c r="DF187">
        <v>0</v>
      </c>
      <c r="DG187">
        <v>0</v>
      </c>
      <c r="DH187">
        <v>0</v>
      </c>
      <c r="DI187">
        <v>0</v>
      </c>
      <c r="DJ187">
        <v>0</v>
      </c>
      <c r="DK187">
        <v>0</v>
      </c>
      <c r="DL187">
        <v>0</v>
      </c>
      <c r="DM187">
        <v>0</v>
      </c>
      <c r="DN187">
        <v>0</v>
      </c>
      <c r="DO187">
        <v>0</v>
      </c>
      <c r="DP187">
        <v>0</v>
      </c>
      <c r="DQ187">
        <v>34</v>
      </c>
    </row>
    <row r="188" spans="1:121" x14ac:dyDescent="0.2">
      <c r="A188" s="14">
        <v>34.25</v>
      </c>
      <c r="B188" s="684">
        <f t="shared" si="55"/>
        <v>2.267714831540824E-7</v>
      </c>
      <c r="C188" s="684">
        <f t="shared" si="56"/>
        <v>2.2677148315408317E-7</v>
      </c>
      <c r="D188" s="684">
        <f t="shared" si="63"/>
        <v>5.6692870788520793E-8</v>
      </c>
      <c r="E188" s="684">
        <f t="shared" si="57"/>
        <v>2.3151573268631036E-2</v>
      </c>
      <c r="F188" s="684">
        <f t="shared" si="58"/>
        <v>0</v>
      </c>
      <c r="G188" s="684">
        <f t="shared" si="64"/>
        <v>0</v>
      </c>
      <c r="H188" s="684">
        <f t="shared" si="65"/>
        <v>0</v>
      </c>
      <c r="I188" s="1052">
        <f>HLOOKUP('Input &amp; Summary'!$B$6,TurbineProfiles,ROW(I188)-49,0)</f>
        <v>0</v>
      </c>
      <c r="J188" s="684">
        <f t="shared" si="59"/>
        <v>0</v>
      </c>
      <c r="K188" s="9">
        <f t="shared" si="60"/>
        <v>0</v>
      </c>
      <c r="L188" s="14">
        <f t="shared" si="61"/>
        <v>80971.783988406503</v>
      </c>
      <c r="M188" s="684">
        <f t="shared" si="62"/>
        <v>16694.952659295101</v>
      </c>
      <c r="N188" s="684">
        <f t="shared" si="66"/>
        <v>2117.4921141893815</v>
      </c>
      <c r="O188" s="684">
        <f t="shared" si="67"/>
        <v>0.99999974415015669</v>
      </c>
      <c r="P188" s="684">
        <f t="shared" si="68"/>
        <v>0</v>
      </c>
      <c r="Q188" s="684">
        <f t="shared" si="72"/>
        <v>6.3206754830069656E-8</v>
      </c>
      <c r="R188" s="684">
        <f t="shared" si="73"/>
        <v>5.6797443193090658E-8</v>
      </c>
      <c r="S188" s="684">
        <f t="shared" si="69"/>
        <v>0</v>
      </c>
      <c r="T188" s="684">
        <f t="shared" si="70"/>
        <v>0</v>
      </c>
      <c r="U188" s="14">
        <f t="shared" si="71"/>
        <v>0</v>
      </c>
      <c r="V188">
        <v>0</v>
      </c>
      <c r="W188">
        <v>0</v>
      </c>
      <c r="X188">
        <v>0</v>
      </c>
      <c r="Y188">
        <v>0</v>
      </c>
      <c r="Z188">
        <v>0</v>
      </c>
      <c r="AA188">
        <v>0</v>
      </c>
      <c r="AB188">
        <v>0</v>
      </c>
      <c r="AC188">
        <v>0</v>
      </c>
      <c r="AD188">
        <v>0</v>
      </c>
      <c r="AE188" s="143">
        <v>0</v>
      </c>
      <c r="AF188" s="143">
        <v>0</v>
      </c>
      <c r="AG188" s="143">
        <v>0</v>
      </c>
      <c r="AH188" s="143">
        <v>0</v>
      </c>
      <c r="AI188" s="995">
        <v>0</v>
      </c>
      <c r="AJ188" s="143">
        <v>0</v>
      </c>
      <c r="AK188" s="143">
        <v>0</v>
      </c>
      <c r="AL188" s="143">
        <v>0</v>
      </c>
      <c r="AM188" s="143">
        <v>0</v>
      </c>
      <c r="AN188" s="143">
        <v>0</v>
      </c>
      <c r="AO188" s="143">
        <v>0</v>
      </c>
      <c r="AP188" s="143">
        <v>0</v>
      </c>
      <c r="AQ188" s="143">
        <v>0</v>
      </c>
      <c r="AR188" s="143">
        <v>0</v>
      </c>
      <c r="AS188" s="143">
        <v>0</v>
      </c>
      <c r="AT188" s="143">
        <v>0</v>
      </c>
      <c r="AU188" s="143">
        <v>0</v>
      </c>
      <c r="AV188" s="143">
        <v>0</v>
      </c>
      <c r="AW188" s="143">
        <v>0</v>
      </c>
      <c r="AX188" s="143">
        <v>0</v>
      </c>
      <c r="AY188" s="143">
        <v>0</v>
      </c>
      <c r="AZ188" s="143">
        <v>0</v>
      </c>
      <c r="BA188" s="143">
        <v>0</v>
      </c>
      <c r="BB188" s="143">
        <v>0</v>
      </c>
      <c r="BC188" s="143">
        <v>0</v>
      </c>
      <c r="BD188" s="143">
        <v>0</v>
      </c>
      <c r="BE188" s="143">
        <v>0</v>
      </c>
      <c r="BF188" s="143">
        <v>0</v>
      </c>
      <c r="BG188" s="143">
        <v>0</v>
      </c>
      <c r="BH188" s="143">
        <v>0</v>
      </c>
      <c r="BI188" s="143">
        <v>0</v>
      </c>
      <c r="BJ188" s="995">
        <v>0</v>
      </c>
      <c r="BK188" s="143">
        <v>0</v>
      </c>
      <c r="BL188" s="143">
        <v>0</v>
      </c>
      <c r="BM188" s="143">
        <v>0</v>
      </c>
      <c r="BN188" s="143">
        <v>0</v>
      </c>
      <c r="BO188" s="143">
        <v>0</v>
      </c>
      <c r="BP188" s="143">
        <v>0</v>
      </c>
      <c r="BQ188" s="143">
        <v>0</v>
      </c>
      <c r="BR188" s="143">
        <v>0</v>
      </c>
      <c r="BS188" s="143">
        <v>0</v>
      </c>
      <c r="BT188" s="143">
        <v>0</v>
      </c>
      <c r="BU188" s="143">
        <v>0</v>
      </c>
      <c r="BV188" s="143">
        <v>0</v>
      </c>
      <c r="BW188" s="143">
        <v>0</v>
      </c>
      <c r="BX188" s="143">
        <v>0</v>
      </c>
      <c r="BY188" s="143">
        <v>0</v>
      </c>
      <c r="BZ188" s="995">
        <v>0</v>
      </c>
      <c r="CA188" s="143">
        <v>0</v>
      </c>
      <c r="CB188" s="143">
        <v>0</v>
      </c>
      <c r="CC188" s="143">
        <v>0</v>
      </c>
      <c r="CD188" s="143">
        <v>0</v>
      </c>
      <c r="CE188" s="143">
        <v>0</v>
      </c>
      <c r="CF188" s="143">
        <v>0</v>
      </c>
      <c r="CG188" s="143">
        <v>0</v>
      </c>
      <c r="CH188" s="143">
        <v>0</v>
      </c>
      <c r="CI188" s="143">
        <v>0</v>
      </c>
      <c r="CJ188" s="143">
        <v>0</v>
      </c>
      <c r="CK188" s="143">
        <v>0</v>
      </c>
      <c r="CL188" s="143">
        <v>0</v>
      </c>
      <c r="CM188" s="143">
        <v>0</v>
      </c>
      <c r="CN188" s="143">
        <v>0</v>
      </c>
      <c r="CO188" s="143">
        <v>0</v>
      </c>
      <c r="CP188" s="143">
        <v>0</v>
      </c>
      <c r="CQ188" s="143">
        <v>0</v>
      </c>
      <c r="CR188" s="143">
        <v>0</v>
      </c>
      <c r="CS188" s="143">
        <v>0</v>
      </c>
      <c r="CT188" s="143">
        <v>0</v>
      </c>
      <c r="CU188" s="143">
        <v>0</v>
      </c>
      <c r="CV188" s="143">
        <v>0</v>
      </c>
      <c r="CW188" s="14">
        <v>0</v>
      </c>
      <c r="CX188" s="14">
        <v>0</v>
      </c>
      <c r="CY188" s="14">
        <v>0</v>
      </c>
      <c r="CZ188" s="995">
        <v>0</v>
      </c>
      <c r="DA188" s="995">
        <v>0</v>
      </c>
      <c r="DB188" s="995">
        <v>0</v>
      </c>
      <c r="DC188">
        <v>0</v>
      </c>
      <c r="DD188">
        <v>0</v>
      </c>
      <c r="DE188">
        <v>0</v>
      </c>
      <c r="DF188">
        <v>0</v>
      </c>
      <c r="DG188">
        <v>0</v>
      </c>
      <c r="DH188">
        <v>0</v>
      </c>
      <c r="DI188">
        <v>0</v>
      </c>
      <c r="DJ188">
        <v>0</v>
      </c>
      <c r="DK188">
        <v>0</v>
      </c>
      <c r="DL188">
        <v>0</v>
      </c>
      <c r="DM188">
        <v>0</v>
      </c>
      <c r="DN188">
        <v>0</v>
      </c>
      <c r="DO188">
        <v>0</v>
      </c>
      <c r="DP188">
        <v>0</v>
      </c>
      <c r="DQ188">
        <v>34.25</v>
      </c>
    </row>
    <row r="189" spans="1:121" x14ac:dyDescent="0.2">
      <c r="A189" s="14">
        <v>34.5</v>
      </c>
      <c r="B189" s="684">
        <f t="shared" si="55"/>
        <v>1.8287820407473605E-7</v>
      </c>
      <c r="C189" s="684">
        <f t="shared" si="56"/>
        <v>1.8287820407473637E-7</v>
      </c>
      <c r="D189" s="684">
        <f t="shared" si="63"/>
        <v>4.5719551018684092E-8</v>
      </c>
      <c r="E189" s="684">
        <f t="shared" si="57"/>
        <v>1.9082249691745701E-2</v>
      </c>
      <c r="F189" s="684">
        <f t="shared" si="58"/>
        <v>0</v>
      </c>
      <c r="G189" s="684">
        <f t="shared" si="64"/>
        <v>0</v>
      </c>
      <c r="H189" s="684">
        <f t="shared" si="65"/>
        <v>0</v>
      </c>
      <c r="I189" s="1052">
        <f>HLOOKUP('Input &amp; Summary'!$B$6,TurbineProfiles,ROW(I189)-49,0)</f>
        <v>0</v>
      </c>
      <c r="J189" s="684">
        <f t="shared" si="59"/>
        <v>0</v>
      </c>
      <c r="K189" s="9">
        <f t="shared" si="60"/>
        <v>0</v>
      </c>
      <c r="L189" s="14">
        <f t="shared" si="61"/>
        <v>82757.862607731993</v>
      </c>
      <c r="M189" s="684">
        <f t="shared" si="62"/>
        <v>16846.288108886532</v>
      </c>
      <c r="N189" s="684">
        <f t="shared" si="66"/>
        <v>2117.4921141893815</v>
      </c>
      <c r="O189" s="684">
        <f t="shared" si="67"/>
        <v>0.99999979516689719</v>
      </c>
      <c r="P189" s="684">
        <f t="shared" si="68"/>
        <v>0</v>
      </c>
      <c r="Q189" s="684">
        <f t="shared" si="72"/>
        <v>5.1016740498788238E-8</v>
      </c>
      <c r="R189" s="684">
        <f t="shared" si="73"/>
        <v>4.5805254589303956E-8</v>
      </c>
      <c r="S189" s="684">
        <f t="shared" si="69"/>
        <v>0</v>
      </c>
      <c r="T189" s="684">
        <f t="shared" si="70"/>
        <v>0</v>
      </c>
      <c r="U189" s="14">
        <f t="shared" si="71"/>
        <v>0</v>
      </c>
      <c r="V189">
        <v>0</v>
      </c>
      <c r="W189">
        <v>0</v>
      </c>
      <c r="X189">
        <v>0</v>
      </c>
      <c r="Y189">
        <v>0</v>
      </c>
      <c r="Z189">
        <v>0</v>
      </c>
      <c r="AA189">
        <v>0</v>
      </c>
      <c r="AB189">
        <v>0</v>
      </c>
      <c r="AC189">
        <v>0</v>
      </c>
      <c r="AD189">
        <v>0</v>
      </c>
      <c r="AE189" s="143">
        <v>0</v>
      </c>
      <c r="AF189" s="143">
        <v>0</v>
      </c>
      <c r="AG189" s="143">
        <v>0</v>
      </c>
      <c r="AH189" s="143">
        <v>0</v>
      </c>
      <c r="AI189" s="995">
        <v>0</v>
      </c>
      <c r="AJ189" s="143">
        <v>0</v>
      </c>
      <c r="AK189" s="143">
        <v>0</v>
      </c>
      <c r="AL189" s="143">
        <v>0</v>
      </c>
      <c r="AM189" s="143">
        <v>0</v>
      </c>
      <c r="AN189" s="143">
        <v>0</v>
      </c>
      <c r="AO189" s="143">
        <v>0</v>
      </c>
      <c r="AP189" s="143">
        <v>0</v>
      </c>
      <c r="AQ189" s="143">
        <v>0</v>
      </c>
      <c r="AR189" s="143">
        <v>0</v>
      </c>
      <c r="AS189" s="143">
        <v>0</v>
      </c>
      <c r="AT189" s="143">
        <v>0</v>
      </c>
      <c r="AU189" s="143">
        <v>0</v>
      </c>
      <c r="AV189" s="143">
        <v>0</v>
      </c>
      <c r="AW189" s="143">
        <v>0</v>
      </c>
      <c r="AX189" s="143">
        <v>0</v>
      </c>
      <c r="AY189" s="143">
        <v>0</v>
      </c>
      <c r="AZ189" s="143">
        <v>0</v>
      </c>
      <c r="BA189" s="143">
        <v>0</v>
      </c>
      <c r="BB189" s="143">
        <v>0</v>
      </c>
      <c r="BC189" s="143">
        <v>0</v>
      </c>
      <c r="BD189" s="143">
        <v>0</v>
      </c>
      <c r="BE189" s="143">
        <v>0</v>
      </c>
      <c r="BF189" s="143">
        <v>0</v>
      </c>
      <c r="BG189" s="143">
        <v>0</v>
      </c>
      <c r="BH189" s="143">
        <v>0</v>
      </c>
      <c r="BI189" s="143">
        <v>0</v>
      </c>
      <c r="BJ189" s="995">
        <v>0</v>
      </c>
      <c r="BK189" s="143">
        <v>0</v>
      </c>
      <c r="BL189" s="143">
        <v>0</v>
      </c>
      <c r="BM189" s="143">
        <v>0</v>
      </c>
      <c r="BN189" s="143">
        <v>0</v>
      </c>
      <c r="BO189" s="143">
        <v>0</v>
      </c>
      <c r="BP189" s="143">
        <v>0</v>
      </c>
      <c r="BQ189" s="143">
        <v>0</v>
      </c>
      <c r="BR189" s="143">
        <v>0</v>
      </c>
      <c r="BS189" s="143">
        <v>0</v>
      </c>
      <c r="BT189" s="143">
        <v>0</v>
      </c>
      <c r="BU189" s="143">
        <v>0</v>
      </c>
      <c r="BV189" s="143">
        <v>0</v>
      </c>
      <c r="BW189" s="143">
        <v>0</v>
      </c>
      <c r="BX189" s="143">
        <v>0</v>
      </c>
      <c r="BY189" s="143">
        <v>0</v>
      </c>
      <c r="BZ189" s="995">
        <v>0</v>
      </c>
      <c r="CA189" s="143">
        <v>0</v>
      </c>
      <c r="CB189" s="143">
        <v>0</v>
      </c>
      <c r="CC189" s="143">
        <v>0</v>
      </c>
      <c r="CD189" s="143">
        <v>0</v>
      </c>
      <c r="CE189" s="143">
        <v>0</v>
      </c>
      <c r="CF189" s="143">
        <v>0</v>
      </c>
      <c r="CG189" s="143">
        <v>0</v>
      </c>
      <c r="CH189" s="143">
        <v>0</v>
      </c>
      <c r="CI189" s="143">
        <v>0</v>
      </c>
      <c r="CJ189" s="143">
        <v>0</v>
      </c>
      <c r="CK189" s="143">
        <v>0</v>
      </c>
      <c r="CL189" s="143">
        <v>0</v>
      </c>
      <c r="CM189" s="143">
        <v>0</v>
      </c>
      <c r="CN189" s="143">
        <v>0</v>
      </c>
      <c r="CO189" s="143">
        <v>0</v>
      </c>
      <c r="CP189" s="143">
        <v>0</v>
      </c>
      <c r="CQ189" s="143">
        <v>0</v>
      </c>
      <c r="CR189" s="143">
        <v>0</v>
      </c>
      <c r="CS189" s="143">
        <v>0</v>
      </c>
      <c r="CT189" s="143">
        <v>0</v>
      </c>
      <c r="CU189" s="143">
        <v>0</v>
      </c>
      <c r="CV189" s="143">
        <v>0</v>
      </c>
      <c r="CW189" s="14">
        <v>0</v>
      </c>
      <c r="CX189" s="14">
        <v>0</v>
      </c>
      <c r="CY189" s="14">
        <v>0</v>
      </c>
      <c r="CZ189" s="995">
        <v>0</v>
      </c>
      <c r="DA189" s="995">
        <v>0</v>
      </c>
      <c r="DB189" s="995">
        <v>0</v>
      </c>
      <c r="DC189">
        <v>0</v>
      </c>
      <c r="DD189">
        <v>0</v>
      </c>
      <c r="DE189">
        <v>0</v>
      </c>
      <c r="DF189">
        <v>0</v>
      </c>
      <c r="DG189">
        <v>0</v>
      </c>
      <c r="DH189">
        <v>0</v>
      </c>
      <c r="DI189">
        <v>0</v>
      </c>
      <c r="DJ189">
        <v>0</v>
      </c>
      <c r="DK189">
        <v>0</v>
      </c>
      <c r="DL189">
        <v>0</v>
      </c>
      <c r="DM189">
        <v>0</v>
      </c>
      <c r="DN189">
        <v>0</v>
      </c>
      <c r="DO189">
        <v>0</v>
      </c>
      <c r="DP189">
        <v>0</v>
      </c>
      <c r="DQ189">
        <v>34.5</v>
      </c>
    </row>
    <row r="190" spans="1:121" x14ac:dyDescent="0.2">
      <c r="A190" s="14">
        <v>34.75</v>
      </c>
      <c r="B190" s="684">
        <f t="shared" si="55"/>
        <v>1.4723471295139288E-7</v>
      </c>
      <c r="C190" s="684">
        <f t="shared" si="56"/>
        <v>1.4723471295139315E-7</v>
      </c>
      <c r="D190" s="684">
        <f t="shared" si="63"/>
        <v>3.6808678237848286E-8</v>
      </c>
      <c r="E190" s="684">
        <f t="shared" si="57"/>
        <v>1.5699469653890331E-2</v>
      </c>
      <c r="F190" s="684">
        <f t="shared" si="58"/>
        <v>0</v>
      </c>
      <c r="G190" s="684">
        <f t="shared" si="64"/>
        <v>0</v>
      </c>
      <c r="H190" s="684">
        <f t="shared" si="65"/>
        <v>0</v>
      </c>
      <c r="I190" s="1052">
        <f>HLOOKUP('Input &amp; Summary'!$B$6,TurbineProfiles,ROW(I190)-49,0)</f>
        <v>0</v>
      </c>
      <c r="J190" s="684">
        <f t="shared" si="59"/>
        <v>0</v>
      </c>
      <c r="K190" s="9">
        <f t="shared" si="60"/>
        <v>0</v>
      </c>
      <c r="L190" s="14">
        <f t="shared" si="61"/>
        <v>84570.014907778212</v>
      </c>
      <c r="M190" s="684">
        <f t="shared" si="62"/>
        <v>16997.623558477964</v>
      </c>
      <c r="N190" s="684">
        <f t="shared" si="66"/>
        <v>2117.4921141893815</v>
      </c>
      <c r="O190" s="684">
        <f t="shared" si="67"/>
        <v>0.99999983627586841</v>
      </c>
      <c r="P190" s="684">
        <f t="shared" si="68"/>
        <v>0</v>
      </c>
      <c r="Q190" s="684">
        <f t="shared" si="72"/>
        <v>4.1108971227110658E-8</v>
      </c>
      <c r="R190" s="684">
        <f t="shared" si="73"/>
        <v>3.6878790465877387E-8</v>
      </c>
      <c r="S190" s="684">
        <f t="shared" si="69"/>
        <v>0</v>
      </c>
      <c r="T190" s="684">
        <f t="shared" si="70"/>
        <v>0</v>
      </c>
      <c r="U190" s="14">
        <f t="shared" si="71"/>
        <v>0</v>
      </c>
      <c r="V190">
        <v>0</v>
      </c>
      <c r="W190">
        <v>0</v>
      </c>
      <c r="X190">
        <v>0</v>
      </c>
      <c r="Y190">
        <v>0</v>
      </c>
      <c r="Z190">
        <v>0</v>
      </c>
      <c r="AA190">
        <v>0</v>
      </c>
      <c r="AB190">
        <v>0</v>
      </c>
      <c r="AC190">
        <v>0</v>
      </c>
      <c r="AD190">
        <v>0</v>
      </c>
      <c r="AE190" s="143">
        <v>0</v>
      </c>
      <c r="AF190" s="143">
        <v>0</v>
      </c>
      <c r="AG190" s="143">
        <v>0</v>
      </c>
      <c r="AH190" s="143">
        <v>0</v>
      </c>
      <c r="AI190" s="995">
        <v>0</v>
      </c>
      <c r="AJ190" s="143">
        <v>0</v>
      </c>
      <c r="AK190" s="143">
        <v>0</v>
      </c>
      <c r="AL190" s="143">
        <v>0</v>
      </c>
      <c r="AM190" s="143">
        <v>0</v>
      </c>
      <c r="AN190" s="143">
        <v>0</v>
      </c>
      <c r="AO190" s="143">
        <v>0</v>
      </c>
      <c r="AP190" s="143">
        <v>0</v>
      </c>
      <c r="AQ190" s="143">
        <v>0</v>
      </c>
      <c r="AR190" s="143">
        <v>0</v>
      </c>
      <c r="AS190" s="143">
        <v>0</v>
      </c>
      <c r="AT190" s="143">
        <v>0</v>
      </c>
      <c r="AU190" s="143">
        <v>0</v>
      </c>
      <c r="AV190" s="143">
        <v>0</v>
      </c>
      <c r="AW190" s="143">
        <v>0</v>
      </c>
      <c r="AX190" s="143">
        <v>0</v>
      </c>
      <c r="AY190" s="143">
        <v>0</v>
      </c>
      <c r="AZ190" s="143">
        <v>0</v>
      </c>
      <c r="BA190" s="143">
        <v>0</v>
      </c>
      <c r="BB190" s="143">
        <v>0</v>
      </c>
      <c r="BC190" s="143">
        <v>0</v>
      </c>
      <c r="BD190" s="143">
        <v>0</v>
      </c>
      <c r="BE190" s="143">
        <v>0</v>
      </c>
      <c r="BF190" s="143">
        <v>0</v>
      </c>
      <c r="BG190" s="143">
        <v>0</v>
      </c>
      <c r="BH190" s="143">
        <v>0</v>
      </c>
      <c r="BI190" s="143">
        <v>0</v>
      </c>
      <c r="BJ190" s="995">
        <v>0</v>
      </c>
      <c r="BK190" s="143">
        <v>0</v>
      </c>
      <c r="BL190" s="143">
        <v>0</v>
      </c>
      <c r="BM190" s="143">
        <v>0</v>
      </c>
      <c r="BN190" s="143">
        <v>0</v>
      </c>
      <c r="BO190" s="143">
        <v>0</v>
      </c>
      <c r="BP190" s="143">
        <v>0</v>
      </c>
      <c r="BQ190" s="143">
        <v>0</v>
      </c>
      <c r="BR190" s="143">
        <v>0</v>
      </c>
      <c r="BS190" s="143">
        <v>0</v>
      </c>
      <c r="BT190" s="143">
        <v>0</v>
      </c>
      <c r="BU190" s="143">
        <v>0</v>
      </c>
      <c r="BV190" s="143">
        <v>0</v>
      </c>
      <c r="BW190" s="143">
        <v>0</v>
      </c>
      <c r="BX190" s="143">
        <v>0</v>
      </c>
      <c r="BY190" s="143">
        <v>0</v>
      </c>
      <c r="BZ190" s="995">
        <v>0</v>
      </c>
      <c r="CA190" s="143">
        <v>0</v>
      </c>
      <c r="CB190" s="143">
        <v>0</v>
      </c>
      <c r="CC190" s="143">
        <v>0</v>
      </c>
      <c r="CD190" s="143">
        <v>0</v>
      </c>
      <c r="CE190" s="143">
        <v>0</v>
      </c>
      <c r="CF190" s="143">
        <v>0</v>
      </c>
      <c r="CG190" s="143">
        <v>0</v>
      </c>
      <c r="CH190" s="143">
        <v>0</v>
      </c>
      <c r="CI190" s="143">
        <v>0</v>
      </c>
      <c r="CJ190" s="143">
        <v>0</v>
      </c>
      <c r="CK190" s="143">
        <v>0</v>
      </c>
      <c r="CL190" s="143">
        <v>0</v>
      </c>
      <c r="CM190" s="143">
        <v>0</v>
      </c>
      <c r="CN190" s="143">
        <v>0</v>
      </c>
      <c r="CO190" s="143">
        <v>0</v>
      </c>
      <c r="CP190" s="143">
        <v>0</v>
      </c>
      <c r="CQ190" s="143">
        <v>0</v>
      </c>
      <c r="CR190" s="143">
        <v>0</v>
      </c>
      <c r="CS190" s="143">
        <v>0</v>
      </c>
      <c r="CT190" s="143">
        <v>0</v>
      </c>
      <c r="CU190" s="143">
        <v>0</v>
      </c>
      <c r="CV190" s="143">
        <v>0</v>
      </c>
      <c r="CW190" s="14">
        <v>0</v>
      </c>
      <c r="CX190" s="14">
        <v>0</v>
      </c>
      <c r="CY190" s="14">
        <v>0</v>
      </c>
      <c r="CZ190" s="995">
        <v>0</v>
      </c>
      <c r="DA190" s="995">
        <v>0</v>
      </c>
      <c r="DB190" s="995">
        <v>0</v>
      </c>
      <c r="DC190">
        <v>0</v>
      </c>
      <c r="DD190">
        <v>0</v>
      </c>
      <c r="DE190">
        <v>0</v>
      </c>
      <c r="DF190">
        <v>0</v>
      </c>
      <c r="DG190">
        <v>0</v>
      </c>
      <c r="DH190">
        <v>0</v>
      </c>
      <c r="DI190">
        <v>0</v>
      </c>
      <c r="DJ190">
        <v>0</v>
      </c>
      <c r="DK190">
        <v>0</v>
      </c>
      <c r="DL190">
        <v>0</v>
      </c>
      <c r="DM190">
        <v>0</v>
      </c>
      <c r="DN190">
        <v>0</v>
      </c>
      <c r="DO190">
        <v>0</v>
      </c>
      <c r="DP190">
        <v>0</v>
      </c>
      <c r="DQ190">
        <v>34.75</v>
      </c>
    </row>
    <row r="191" spans="1:121" x14ac:dyDescent="0.2">
      <c r="A191" s="14">
        <v>35</v>
      </c>
      <c r="B191" s="684">
        <f t="shared" si="55"/>
        <v>1.1834054497485156E-7</v>
      </c>
      <c r="C191" s="684">
        <f t="shared" si="56"/>
        <v>1.1834054497485152E-7</v>
      </c>
      <c r="D191" s="684">
        <f t="shared" si="63"/>
        <v>2.9585136243712879E-8</v>
      </c>
      <c r="E191" s="684">
        <f t="shared" si="57"/>
        <v>1.2892823547735325E-2</v>
      </c>
      <c r="F191" s="684">
        <f t="shared" si="58"/>
        <v>0</v>
      </c>
      <c r="G191" s="684">
        <f t="shared" si="64"/>
        <v>0</v>
      </c>
      <c r="H191" s="684">
        <f t="shared" si="65"/>
        <v>0</v>
      </c>
      <c r="I191" s="1052">
        <f>HLOOKUP('Input &amp; Summary'!$B$6,TurbineProfiles,ROW(I191)-49,0)</f>
        <v>0</v>
      </c>
      <c r="J191" s="684">
        <f t="shared" si="59"/>
        <v>0</v>
      </c>
      <c r="K191" s="9">
        <f t="shared" si="60"/>
        <v>0</v>
      </c>
      <c r="L191" s="14">
        <f t="shared" si="61"/>
        <v>86408.429828260603</v>
      </c>
      <c r="M191" s="684">
        <f t="shared" si="62"/>
        <v>17148.959008069396</v>
      </c>
      <c r="N191" s="684">
        <f t="shared" si="66"/>
        <v>2117.4921141893815</v>
      </c>
      <c r="O191" s="684">
        <f t="shared" si="67"/>
        <v>0.99999986934596963</v>
      </c>
      <c r="P191" s="684">
        <f t="shared" si="68"/>
        <v>0</v>
      </c>
      <c r="Q191" s="684">
        <f t="shared" si="72"/>
        <v>3.3070101213006353E-8</v>
      </c>
      <c r="R191" s="684">
        <f t="shared" si="73"/>
        <v>2.964238987601675E-8</v>
      </c>
      <c r="S191" s="684">
        <f t="shared" si="69"/>
        <v>0</v>
      </c>
      <c r="T191" s="684">
        <f t="shared" si="70"/>
        <v>0</v>
      </c>
      <c r="U191" s="14">
        <f t="shared" si="71"/>
        <v>0</v>
      </c>
      <c r="V191">
        <v>0</v>
      </c>
      <c r="W191">
        <v>0</v>
      </c>
      <c r="X191">
        <v>0</v>
      </c>
      <c r="Y191">
        <v>0</v>
      </c>
      <c r="Z191">
        <v>0</v>
      </c>
      <c r="AA191">
        <v>0</v>
      </c>
      <c r="AB191">
        <v>0</v>
      </c>
      <c r="AC191">
        <v>0</v>
      </c>
      <c r="AD191">
        <v>0</v>
      </c>
      <c r="AE191" s="143">
        <v>0</v>
      </c>
      <c r="AF191" s="143">
        <v>0</v>
      </c>
      <c r="AG191" s="143">
        <v>0</v>
      </c>
      <c r="AH191" s="143">
        <v>0</v>
      </c>
      <c r="AI191" s="995">
        <v>0</v>
      </c>
      <c r="AJ191" s="143">
        <v>0</v>
      </c>
      <c r="AK191" s="143">
        <v>0</v>
      </c>
      <c r="AL191" s="143">
        <v>0</v>
      </c>
      <c r="AM191" s="143">
        <v>0</v>
      </c>
      <c r="AN191" s="143">
        <v>0</v>
      </c>
      <c r="AO191" s="143">
        <v>0</v>
      </c>
      <c r="AP191" s="143">
        <v>0</v>
      </c>
      <c r="AQ191" s="143">
        <v>0</v>
      </c>
      <c r="AR191" s="143">
        <v>0</v>
      </c>
      <c r="AS191" s="143">
        <v>0</v>
      </c>
      <c r="AT191" s="143">
        <v>0</v>
      </c>
      <c r="AU191" s="143">
        <v>0</v>
      </c>
      <c r="AV191" s="143">
        <v>0</v>
      </c>
      <c r="AW191" s="143">
        <v>0</v>
      </c>
      <c r="AX191" s="143">
        <v>0</v>
      </c>
      <c r="AY191" s="143">
        <v>0</v>
      </c>
      <c r="AZ191" s="143">
        <v>0</v>
      </c>
      <c r="BA191" s="143">
        <v>0</v>
      </c>
      <c r="BB191" s="143">
        <v>0</v>
      </c>
      <c r="BC191" s="143">
        <v>0</v>
      </c>
      <c r="BD191" s="143">
        <v>0</v>
      </c>
      <c r="BE191" s="143">
        <v>0</v>
      </c>
      <c r="BF191" s="143">
        <v>0</v>
      </c>
      <c r="BG191" s="143">
        <v>0</v>
      </c>
      <c r="BH191" s="143">
        <v>0</v>
      </c>
      <c r="BI191" s="143">
        <v>0</v>
      </c>
      <c r="BJ191" s="995">
        <v>0</v>
      </c>
      <c r="BK191" s="143">
        <v>0</v>
      </c>
      <c r="BL191" s="143">
        <v>0</v>
      </c>
      <c r="BM191" s="143">
        <v>0</v>
      </c>
      <c r="BN191" s="143">
        <v>0</v>
      </c>
      <c r="BO191" s="143">
        <v>0</v>
      </c>
      <c r="BP191" s="143">
        <v>0</v>
      </c>
      <c r="BQ191" s="143">
        <v>0</v>
      </c>
      <c r="BR191" s="143">
        <v>0</v>
      </c>
      <c r="BS191" s="143">
        <v>0</v>
      </c>
      <c r="BT191" s="143">
        <v>0</v>
      </c>
      <c r="BU191" s="143">
        <v>0</v>
      </c>
      <c r="BV191" s="143">
        <v>0</v>
      </c>
      <c r="BW191" s="143">
        <v>0</v>
      </c>
      <c r="BX191" s="143">
        <v>0</v>
      </c>
      <c r="BY191" s="143">
        <v>0</v>
      </c>
      <c r="BZ191" s="995">
        <v>0</v>
      </c>
      <c r="CA191" s="143">
        <v>0</v>
      </c>
      <c r="CB191" s="143">
        <v>0</v>
      </c>
      <c r="CC191" s="143">
        <v>0</v>
      </c>
      <c r="CD191" s="143">
        <v>0</v>
      </c>
      <c r="CE191" s="143">
        <v>0</v>
      </c>
      <c r="CF191" s="143">
        <v>0</v>
      </c>
      <c r="CG191" s="143">
        <v>0</v>
      </c>
      <c r="CH191" s="143">
        <v>0</v>
      </c>
      <c r="CI191" s="143">
        <v>0</v>
      </c>
      <c r="CJ191" s="143">
        <v>0</v>
      </c>
      <c r="CK191" s="143">
        <v>0</v>
      </c>
      <c r="CL191" s="143">
        <v>0</v>
      </c>
      <c r="CM191" s="143">
        <v>0</v>
      </c>
      <c r="CN191" s="143">
        <v>0</v>
      </c>
      <c r="CO191" s="143">
        <v>0</v>
      </c>
      <c r="CP191" s="143">
        <v>0</v>
      </c>
      <c r="CQ191" s="143">
        <v>0</v>
      </c>
      <c r="CR191" s="143">
        <v>0</v>
      </c>
      <c r="CS191" s="143">
        <v>0</v>
      </c>
      <c r="CT191" s="143">
        <v>0</v>
      </c>
      <c r="CU191" s="143">
        <v>0</v>
      </c>
      <c r="CV191" s="143">
        <v>0</v>
      </c>
      <c r="CW191" s="14">
        <v>0</v>
      </c>
      <c r="CX191" s="14">
        <v>0</v>
      </c>
      <c r="CY191" s="14">
        <v>0</v>
      </c>
      <c r="CZ191" s="995">
        <v>0</v>
      </c>
      <c r="DA191" s="995">
        <v>0</v>
      </c>
      <c r="DB191" s="995">
        <v>0</v>
      </c>
      <c r="DC191">
        <v>0</v>
      </c>
      <c r="DD191">
        <v>0</v>
      </c>
      <c r="DE191">
        <v>0</v>
      </c>
      <c r="DF191">
        <v>0</v>
      </c>
      <c r="DG191">
        <v>0</v>
      </c>
      <c r="DH191">
        <v>0</v>
      </c>
      <c r="DI191">
        <v>0</v>
      </c>
      <c r="DJ191">
        <v>0</v>
      </c>
      <c r="DK191">
        <v>0</v>
      </c>
      <c r="DL191">
        <v>0</v>
      </c>
      <c r="DM191">
        <v>0</v>
      </c>
      <c r="DN191">
        <v>0</v>
      </c>
      <c r="DO191">
        <v>0</v>
      </c>
      <c r="DP191">
        <v>0</v>
      </c>
      <c r="DQ191">
        <v>35</v>
      </c>
    </row>
    <row r="192" spans="1:121" x14ac:dyDescent="0.2">
      <c r="A192" s="14">
        <v>35.25</v>
      </c>
      <c r="B192" s="684">
        <f t="shared" si="55"/>
        <v>9.495816661747274E-8</v>
      </c>
      <c r="C192" s="684">
        <f t="shared" si="56"/>
        <v>9.495816661747241E-8</v>
      </c>
      <c r="D192" s="684">
        <f t="shared" si="63"/>
        <v>2.3739541654368102E-8</v>
      </c>
      <c r="E192" s="684">
        <f t="shared" si="57"/>
        <v>1.0568662416105304E-2</v>
      </c>
      <c r="F192" s="684">
        <f t="shared" si="58"/>
        <v>0</v>
      </c>
      <c r="G192" s="684">
        <f t="shared" si="64"/>
        <v>0</v>
      </c>
      <c r="H192" s="684">
        <f t="shared" si="65"/>
        <v>0</v>
      </c>
      <c r="I192" s="1052">
        <f>HLOOKUP('Input &amp; Summary'!$B$6,TurbineProfiles,ROW(I192)-49,0)</f>
        <v>0</v>
      </c>
      <c r="J192" s="684">
        <f t="shared" si="59"/>
        <v>0</v>
      </c>
      <c r="K192" s="9">
        <f t="shared" si="60"/>
        <v>0</v>
      </c>
      <c r="L192" s="14">
        <f t="shared" si="61"/>
        <v>88273.296308894525</v>
      </c>
      <c r="M192" s="684">
        <f t="shared" si="62"/>
        <v>17300.294457660832</v>
      </c>
      <c r="N192" s="684">
        <f t="shared" si="66"/>
        <v>2117.4921141893815</v>
      </c>
      <c r="O192" s="684">
        <f t="shared" si="67"/>
        <v>0.99999989590485117</v>
      </c>
      <c r="P192" s="684">
        <f t="shared" si="68"/>
        <v>0</v>
      </c>
      <c r="Q192" s="684">
        <f t="shared" si="72"/>
        <v>2.6558881538463197E-8</v>
      </c>
      <c r="R192" s="684">
        <f t="shared" si="73"/>
        <v>2.3786210778808936E-8</v>
      </c>
      <c r="S192" s="684">
        <f t="shared" si="69"/>
        <v>0</v>
      </c>
      <c r="T192" s="684">
        <f t="shared" si="70"/>
        <v>0</v>
      </c>
      <c r="U192" s="14">
        <f t="shared" si="71"/>
        <v>0</v>
      </c>
      <c r="V192">
        <v>0</v>
      </c>
      <c r="W192">
        <v>0</v>
      </c>
      <c r="X192">
        <v>0</v>
      </c>
      <c r="Y192">
        <v>0</v>
      </c>
      <c r="Z192">
        <v>0</v>
      </c>
      <c r="AA192">
        <v>0</v>
      </c>
      <c r="AB192">
        <v>0</v>
      </c>
      <c r="AC192">
        <v>0</v>
      </c>
      <c r="AD192">
        <v>0</v>
      </c>
      <c r="AE192" s="143">
        <v>0</v>
      </c>
      <c r="AF192" s="143">
        <v>0</v>
      </c>
      <c r="AG192" s="143">
        <v>0</v>
      </c>
      <c r="AH192" s="143">
        <v>0</v>
      </c>
      <c r="AI192" s="995">
        <v>0</v>
      </c>
      <c r="AJ192" s="143">
        <v>0</v>
      </c>
      <c r="AK192" s="143">
        <v>0</v>
      </c>
      <c r="AL192" s="143">
        <v>0</v>
      </c>
      <c r="AM192" s="143">
        <v>0</v>
      </c>
      <c r="AN192" s="143">
        <v>0</v>
      </c>
      <c r="AO192" s="143">
        <v>0</v>
      </c>
      <c r="AP192" s="143">
        <v>0</v>
      </c>
      <c r="AQ192" s="143">
        <v>0</v>
      </c>
      <c r="AR192" s="143">
        <v>0</v>
      </c>
      <c r="AS192" s="143">
        <v>0</v>
      </c>
      <c r="AT192" s="143">
        <v>0</v>
      </c>
      <c r="AU192" s="143">
        <v>0</v>
      </c>
      <c r="AV192" s="143">
        <v>0</v>
      </c>
      <c r="AW192" s="143">
        <v>0</v>
      </c>
      <c r="AX192" s="143">
        <v>0</v>
      </c>
      <c r="AY192" s="143">
        <v>0</v>
      </c>
      <c r="AZ192" s="143">
        <v>0</v>
      </c>
      <c r="BA192" s="143">
        <v>0</v>
      </c>
      <c r="BB192" s="143">
        <v>0</v>
      </c>
      <c r="BC192" s="143">
        <v>0</v>
      </c>
      <c r="BD192" s="143">
        <v>0</v>
      </c>
      <c r="BE192" s="143">
        <v>0</v>
      </c>
      <c r="BF192" s="143">
        <v>0</v>
      </c>
      <c r="BG192" s="143">
        <v>0</v>
      </c>
      <c r="BH192" s="143">
        <v>0</v>
      </c>
      <c r="BI192" s="143">
        <v>0</v>
      </c>
      <c r="BJ192" s="995">
        <v>0</v>
      </c>
      <c r="BK192" s="143">
        <v>0</v>
      </c>
      <c r="BL192" s="143">
        <v>0</v>
      </c>
      <c r="BM192" s="143">
        <v>0</v>
      </c>
      <c r="BN192" s="143">
        <v>0</v>
      </c>
      <c r="BO192" s="143">
        <v>0</v>
      </c>
      <c r="BP192" s="143">
        <v>0</v>
      </c>
      <c r="BQ192" s="143">
        <v>0</v>
      </c>
      <c r="BR192" s="143">
        <v>0</v>
      </c>
      <c r="BS192" s="143">
        <v>0</v>
      </c>
      <c r="BT192" s="143">
        <v>0</v>
      </c>
      <c r="BU192" s="143">
        <v>0</v>
      </c>
      <c r="BV192" s="143">
        <v>0</v>
      </c>
      <c r="BW192" s="143">
        <v>0</v>
      </c>
      <c r="BX192" s="143">
        <v>0</v>
      </c>
      <c r="BY192" s="143">
        <v>0</v>
      </c>
      <c r="BZ192" s="995">
        <v>0</v>
      </c>
      <c r="CA192" s="143">
        <v>0</v>
      </c>
      <c r="CB192" s="143">
        <v>0</v>
      </c>
      <c r="CC192" s="143">
        <v>0</v>
      </c>
      <c r="CD192" s="143">
        <v>0</v>
      </c>
      <c r="CE192" s="143">
        <v>0</v>
      </c>
      <c r="CF192" s="143">
        <v>0</v>
      </c>
      <c r="CG192" s="143">
        <v>0</v>
      </c>
      <c r="CH192" s="143">
        <v>0</v>
      </c>
      <c r="CI192" s="143">
        <v>0</v>
      </c>
      <c r="CJ192" s="143">
        <v>0</v>
      </c>
      <c r="CK192" s="143">
        <v>0</v>
      </c>
      <c r="CL192" s="143">
        <v>0</v>
      </c>
      <c r="CM192" s="143">
        <v>0</v>
      </c>
      <c r="CN192" s="143">
        <v>0</v>
      </c>
      <c r="CO192" s="143">
        <v>0</v>
      </c>
      <c r="CP192" s="143">
        <v>0</v>
      </c>
      <c r="CQ192" s="143">
        <v>0</v>
      </c>
      <c r="CR192" s="143">
        <v>0</v>
      </c>
      <c r="CS192" s="143">
        <v>0</v>
      </c>
      <c r="CT192" s="143">
        <v>0</v>
      </c>
      <c r="CU192" s="143">
        <v>0</v>
      </c>
      <c r="CV192" s="143">
        <v>0</v>
      </c>
      <c r="CW192" s="14">
        <v>0</v>
      </c>
      <c r="CX192" s="14">
        <v>0</v>
      </c>
      <c r="CY192" s="14">
        <v>0</v>
      </c>
      <c r="CZ192" s="995">
        <v>0</v>
      </c>
      <c r="DA192" s="995">
        <v>0</v>
      </c>
      <c r="DB192" s="995">
        <v>0</v>
      </c>
      <c r="DC192">
        <v>0</v>
      </c>
      <c r="DD192">
        <v>0</v>
      </c>
      <c r="DE192">
        <v>0</v>
      </c>
      <c r="DF192">
        <v>0</v>
      </c>
      <c r="DG192">
        <v>0</v>
      </c>
      <c r="DH192">
        <v>0</v>
      </c>
      <c r="DI192">
        <v>0</v>
      </c>
      <c r="DJ192">
        <v>0</v>
      </c>
      <c r="DK192">
        <v>0</v>
      </c>
      <c r="DL192">
        <v>0</v>
      </c>
      <c r="DM192">
        <v>0</v>
      </c>
      <c r="DN192">
        <v>0</v>
      </c>
      <c r="DO192">
        <v>0</v>
      </c>
      <c r="DP192">
        <v>0</v>
      </c>
      <c r="DQ192">
        <v>35.25</v>
      </c>
    </row>
    <row r="193" spans="1:121" x14ac:dyDescent="0.2">
      <c r="A193" s="14">
        <v>35.5</v>
      </c>
      <c r="B193" s="684">
        <f t="shared" si="55"/>
        <v>7.6068840306202681E-8</v>
      </c>
      <c r="C193" s="684">
        <f t="shared" si="56"/>
        <v>7.6068840306203211E-8</v>
      </c>
      <c r="D193" s="684">
        <f t="shared" si="63"/>
        <v>1.9017210076550803E-8</v>
      </c>
      <c r="E193" s="684">
        <f t="shared" si="57"/>
        <v>8.6477314706524689E-3</v>
      </c>
      <c r="F193" s="684">
        <f t="shared" si="58"/>
        <v>0</v>
      </c>
      <c r="G193" s="684">
        <f t="shared" si="64"/>
        <v>0</v>
      </c>
      <c r="H193" s="684">
        <f t="shared" si="65"/>
        <v>0</v>
      </c>
      <c r="I193" s="1052">
        <f>HLOOKUP('Input &amp; Summary'!$B$6,TurbineProfiles,ROW(I193)-49,0)</f>
        <v>0</v>
      </c>
      <c r="J193" s="684">
        <f t="shared" si="59"/>
        <v>0</v>
      </c>
      <c r="K193" s="9">
        <f t="shared" si="60"/>
        <v>0</v>
      </c>
      <c r="L193" s="14">
        <f t="shared" si="61"/>
        <v>90164.80328939532</v>
      </c>
      <c r="M193" s="684">
        <f t="shared" si="62"/>
        <v>17451.629907252263</v>
      </c>
      <c r="N193" s="684">
        <f t="shared" si="66"/>
        <v>2117.4921141893815</v>
      </c>
      <c r="O193" s="684">
        <f t="shared" si="67"/>
        <v>0.99999991719897119</v>
      </c>
      <c r="P193" s="684">
        <f t="shared" si="68"/>
        <v>0</v>
      </c>
      <c r="Q193" s="684">
        <f t="shared" si="72"/>
        <v>2.1294120022830043E-8</v>
      </c>
      <c r="R193" s="684">
        <f t="shared" si="73"/>
        <v>1.9055182987059993E-8</v>
      </c>
      <c r="S193" s="684">
        <f t="shared" si="69"/>
        <v>0</v>
      </c>
      <c r="T193" s="684">
        <f t="shared" si="70"/>
        <v>0</v>
      </c>
      <c r="U193" s="14">
        <f t="shared" si="71"/>
        <v>0</v>
      </c>
      <c r="V193">
        <v>0</v>
      </c>
      <c r="W193">
        <v>0</v>
      </c>
      <c r="X193">
        <v>0</v>
      </c>
      <c r="Y193">
        <v>0</v>
      </c>
      <c r="Z193">
        <v>0</v>
      </c>
      <c r="AA193">
        <v>0</v>
      </c>
      <c r="AB193">
        <v>0</v>
      </c>
      <c r="AC193">
        <v>0</v>
      </c>
      <c r="AD193">
        <v>0</v>
      </c>
      <c r="AE193" s="143">
        <v>0</v>
      </c>
      <c r="AF193" s="143">
        <v>0</v>
      </c>
      <c r="AG193" s="143">
        <v>0</v>
      </c>
      <c r="AH193" s="143">
        <v>0</v>
      </c>
      <c r="AI193" s="995">
        <v>0</v>
      </c>
      <c r="AJ193" s="143">
        <v>0</v>
      </c>
      <c r="AK193" s="143">
        <v>0</v>
      </c>
      <c r="AL193" s="143">
        <v>0</v>
      </c>
      <c r="AM193" s="143">
        <v>0</v>
      </c>
      <c r="AN193" s="143">
        <v>0</v>
      </c>
      <c r="AO193" s="143">
        <v>0</v>
      </c>
      <c r="AP193" s="143">
        <v>0</v>
      </c>
      <c r="AQ193" s="143">
        <v>0</v>
      </c>
      <c r="AR193" s="143">
        <v>0</v>
      </c>
      <c r="AS193" s="143">
        <v>0</v>
      </c>
      <c r="AT193" s="143">
        <v>0</v>
      </c>
      <c r="AU193" s="143">
        <v>0</v>
      </c>
      <c r="AV193" s="143">
        <v>0</v>
      </c>
      <c r="AW193" s="143">
        <v>0</v>
      </c>
      <c r="AX193" s="143">
        <v>0</v>
      </c>
      <c r="AY193" s="143">
        <v>0</v>
      </c>
      <c r="AZ193" s="143">
        <v>0</v>
      </c>
      <c r="BA193" s="143">
        <v>0</v>
      </c>
      <c r="BB193" s="143">
        <v>0</v>
      </c>
      <c r="BC193" s="143">
        <v>0</v>
      </c>
      <c r="BD193" s="143">
        <v>0</v>
      </c>
      <c r="BE193" s="143">
        <v>0</v>
      </c>
      <c r="BF193" s="143">
        <v>0</v>
      </c>
      <c r="BG193" s="143">
        <v>0</v>
      </c>
      <c r="BH193" s="143">
        <v>0</v>
      </c>
      <c r="BI193" s="143">
        <v>0</v>
      </c>
      <c r="BJ193" s="995">
        <v>0</v>
      </c>
      <c r="BK193" s="143">
        <v>0</v>
      </c>
      <c r="BL193" s="143">
        <v>0</v>
      </c>
      <c r="BM193" s="143">
        <v>0</v>
      </c>
      <c r="BN193" s="143">
        <v>0</v>
      </c>
      <c r="BO193" s="143">
        <v>0</v>
      </c>
      <c r="BP193" s="143">
        <v>0</v>
      </c>
      <c r="BQ193" s="143">
        <v>0</v>
      </c>
      <c r="BR193" s="143">
        <v>0</v>
      </c>
      <c r="BS193" s="143">
        <v>0</v>
      </c>
      <c r="BT193" s="143">
        <v>0</v>
      </c>
      <c r="BU193" s="143">
        <v>0</v>
      </c>
      <c r="BV193" s="143">
        <v>0</v>
      </c>
      <c r="BW193" s="143">
        <v>0</v>
      </c>
      <c r="BX193" s="143">
        <v>0</v>
      </c>
      <c r="BY193" s="143">
        <v>0</v>
      </c>
      <c r="BZ193" s="995">
        <v>0</v>
      </c>
      <c r="CA193" s="143">
        <v>0</v>
      </c>
      <c r="CB193" s="143">
        <v>0</v>
      </c>
      <c r="CC193" s="143">
        <v>0</v>
      </c>
      <c r="CD193" s="143">
        <v>0</v>
      </c>
      <c r="CE193" s="143">
        <v>0</v>
      </c>
      <c r="CF193" s="143">
        <v>0</v>
      </c>
      <c r="CG193" s="143">
        <v>0</v>
      </c>
      <c r="CH193" s="143">
        <v>0</v>
      </c>
      <c r="CI193" s="143">
        <v>0</v>
      </c>
      <c r="CJ193" s="143">
        <v>0</v>
      </c>
      <c r="CK193" s="143">
        <v>0</v>
      </c>
      <c r="CL193" s="143">
        <v>0</v>
      </c>
      <c r="CM193" s="143">
        <v>0</v>
      </c>
      <c r="CN193" s="143">
        <v>0</v>
      </c>
      <c r="CO193" s="143">
        <v>0</v>
      </c>
      <c r="CP193" s="143">
        <v>0</v>
      </c>
      <c r="CQ193" s="143">
        <v>0</v>
      </c>
      <c r="CR193" s="143">
        <v>0</v>
      </c>
      <c r="CS193" s="143">
        <v>0</v>
      </c>
      <c r="CT193" s="143">
        <v>0</v>
      </c>
      <c r="CU193" s="143">
        <v>0</v>
      </c>
      <c r="CV193" s="143">
        <v>0</v>
      </c>
      <c r="CW193" s="14">
        <v>0</v>
      </c>
      <c r="CX193" s="14">
        <v>0</v>
      </c>
      <c r="CY193" s="14">
        <v>0</v>
      </c>
      <c r="CZ193" s="995">
        <v>0</v>
      </c>
      <c r="DA193" s="995">
        <v>0</v>
      </c>
      <c r="DB193" s="995">
        <v>0</v>
      </c>
      <c r="DC193">
        <v>0</v>
      </c>
      <c r="DD193">
        <v>0</v>
      </c>
      <c r="DE193">
        <v>0</v>
      </c>
      <c r="DF193">
        <v>0</v>
      </c>
      <c r="DG193">
        <v>0</v>
      </c>
      <c r="DH193">
        <v>0</v>
      </c>
      <c r="DI193">
        <v>0</v>
      </c>
      <c r="DJ193">
        <v>0</v>
      </c>
      <c r="DK193">
        <v>0</v>
      </c>
      <c r="DL193">
        <v>0</v>
      </c>
      <c r="DM193">
        <v>0</v>
      </c>
      <c r="DN193">
        <v>0</v>
      </c>
      <c r="DO193">
        <v>0</v>
      </c>
      <c r="DP193">
        <v>0</v>
      </c>
      <c r="DQ193">
        <v>35.5</v>
      </c>
    </row>
    <row r="194" spans="1:121" x14ac:dyDescent="0.2">
      <c r="A194" s="14">
        <v>35.75</v>
      </c>
      <c r="B194" s="684">
        <f t="shared" si="55"/>
        <v>6.0835529807718073E-8</v>
      </c>
      <c r="C194" s="684">
        <f t="shared" si="56"/>
        <v>6.0835529807717862E-8</v>
      </c>
      <c r="D194" s="684">
        <f t="shared" si="63"/>
        <v>1.5208882451929465E-8</v>
      </c>
      <c r="E194" s="684">
        <f t="shared" si="57"/>
        <v>7.0631068123993288E-3</v>
      </c>
      <c r="F194" s="684">
        <f t="shared" si="58"/>
        <v>0</v>
      </c>
      <c r="G194" s="684">
        <f t="shared" si="64"/>
        <v>0</v>
      </c>
      <c r="H194" s="684">
        <f t="shared" si="65"/>
        <v>0</v>
      </c>
      <c r="I194" s="1052">
        <f>HLOOKUP('Input &amp; Summary'!$B$6,TurbineProfiles,ROW(I194)-49,0)</f>
        <v>0</v>
      </c>
      <c r="J194" s="684">
        <f t="shared" si="59"/>
        <v>0</v>
      </c>
      <c r="K194" s="9">
        <f t="shared" si="60"/>
        <v>0</v>
      </c>
      <c r="L194" s="14">
        <f t="shared" si="61"/>
        <v>92083.139709478331</v>
      </c>
      <c r="M194" s="684">
        <f t="shared" si="62"/>
        <v>17602.965356843695</v>
      </c>
      <c r="N194" s="684">
        <f t="shared" si="66"/>
        <v>2117.4921141893815</v>
      </c>
      <c r="O194" s="684">
        <f t="shared" si="67"/>
        <v>0.99999993424352274</v>
      </c>
      <c r="P194" s="684">
        <f t="shared" si="68"/>
        <v>0</v>
      </c>
      <c r="Q194" s="684">
        <f t="shared" si="72"/>
        <v>1.7044551547940046E-8</v>
      </c>
      <c r="R194" s="684">
        <f t="shared" si="73"/>
        <v>1.5239723927251703E-8</v>
      </c>
      <c r="S194" s="684">
        <f t="shared" si="69"/>
        <v>0</v>
      </c>
      <c r="T194" s="684">
        <f t="shared" si="70"/>
        <v>0</v>
      </c>
      <c r="U194" s="14">
        <f t="shared" si="71"/>
        <v>0</v>
      </c>
      <c r="V194">
        <v>0</v>
      </c>
      <c r="W194">
        <v>0</v>
      </c>
      <c r="X194">
        <v>0</v>
      </c>
      <c r="Y194">
        <v>0</v>
      </c>
      <c r="Z194">
        <v>0</v>
      </c>
      <c r="AA194">
        <v>0</v>
      </c>
      <c r="AB194">
        <v>0</v>
      </c>
      <c r="AC194">
        <v>0</v>
      </c>
      <c r="AD194">
        <v>0</v>
      </c>
      <c r="AE194" s="143">
        <v>0</v>
      </c>
      <c r="AF194" s="143">
        <v>0</v>
      </c>
      <c r="AG194" s="143">
        <v>0</v>
      </c>
      <c r="AH194" s="143">
        <v>0</v>
      </c>
      <c r="AI194" s="995">
        <v>0</v>
      </c>
      <c r="AJ194" s="143">
        <v>0</v>
      </c>
      <c r="AK194" s="143">
        <v>0</v>
      </c>
      <c r="AL194" s="143">
        <v>0</v>
      </c>
      <c r="AM194" s="143">
        <v>0</v>
      </c>
      <c r="AN194" s="143">
        <v>0</v>
      </c>
      <c r="AO194" s="143">
        <v>0</v>
      </c>
      <c r="AP194" s="143">
        <v>0</v>
      </c>
      <c r="AQ194" s="143">
        <v>0</v>
      </c>
      <c r="AR194" s="143">
        <v>0</v>
      </c>
      <c r="AS194" s="143">
        <v>0</v>
      </c>
      <c r="AT194" s="143">
        <v>0</v>
      </c>
      <c r="AU194" s="143">
        <v>0</v>
      </c>
      <c r="AV194" s="143">
        <v>0</v>
      </c>
      <c r="AW194" s="143">
        <v>0</v>
      </c>
      <c r="AX194" s="143">
        <v>0</v>
      </c>
      <c r="AY194" s="143">
        <v>0</v>
      </c>
      <c r="AZ194" s="143">
        <v>0</v>
      </c>
      <c r="BA194" s="143">
        <v>0</v>
      </c>
      <c r="BB194" s="143">
        <v>0</v>
      </c>
      <c r="BC194" s="143">
        <v>0</v>
      </c>
      <c r="BD194" s="143">
        <v>0</v>
      </c>
      <c r="BE194" s="143">
        <v>0</v>
      </c>
      <c r="BF194" s="143">
        <v>0</v>
      </c>
      <c r="BG194" s="143">
        <v>0</v>
      </c>
      <c r="BH194" s="143">
        <v>0</v>
      </c>
      <c r="BI194" s="143">
        <v>0</v>
      </c>
      <c r="BJ194" s="995">
        <v>0</v>
      </c>
      <c r="BK194" s="143">
        <v>0</v>
      </c>
      <c r="BL194" s="143">
        <v>0</v>
      </c>
      <c r="BM194" s="143">
        <v>0</v>
      </c>
      <c r="BN194" s="143">
        <v>0</v>
      </c>
      <c r="BO194" s="143">
        <v>0</v>
      </c>
      <c r="BP194" s="143">
        <v>0</v>
      </c>
      <c r="BQ194" s="143">
        <v>0</v>
      </c>
      <c r="BR194" s="143">
        <v>0</v>
      </c>
      <c r="BS194" s="143">
        <v>0</v>
      </c>
      <c r="BT194" s="143">
        <v>0</v>
      </c>
      <c r="BU194" s="143">
        <v>0</v>
      </c>
      <c r="BV194" s="143">
        <v>0</v>
      </c>
      <c r="BW194" s="143">
        <v>0</v>
      </c>
      <c r="BX194" s="143">
        <v>0</v>
      </c>
      <c r="BY194" s="143">
        <v>0</v>
      </c>
      <c r="BZ194" s="995">
        <v>0</v>
      </c>
      <c r="CA194" s="143">
        <v>0</v>
      </c>
      <c r="CB194" s="143">
        <v>0</v>
      </c>
      <c r="CC194" s="143">
        <v>0</v>
      </c>
      <c r="CD194" s="143">
        <v>0</v>
      </c>
      <c r="CE194" s="143">
        <v>0</v>
      </c>
      <c r="CF194" s="143">
        <v>0</v>
      </c>
      <c r="CG194" s="143">
        <v>0</v>
      </c>
      <c r="CH194" s="143">
        <v>0</v>
      </c>
      <c r="CI194" s="143">
        <v>0</v>
      </c>
      <c r="CJ194" s="143">
        <v>0</v>
      </c>
      <c r="CK194" s="143">
        <v>0</v>
      </c>
      <c r="CL194" s="143">
        <v>0</v>
      </c>
      <c r="CM194" s="143">
        <v>0</v>
      </c>
      <c r="CN194" s="143">
        <v>0</v>
      </c>
      <c r="CO194" s="143">
        <v>0</v>
      </c>
      <c r="CP194" s="143">
        <v>0</v>
      </c>
      <c r="CQ194" s="143">
        <v>0</v>
      </c>
      <c r="CR194" s="143">
        <v>0</v>
      </c>
      <c r="CS194" s="143">
        <v>0</v>
      </c>
      <c r="CT194" s="143">
        <v>0</v>
      </c>
      <c r="CU194" s="143">
        <v>0</v>
      </c>
      <c r="CV194" s="143">
        <v>0</v>
      </c>
      <c r="CW194" s="14">
        <v>0</v>
      </c>
      <c r="CX194" s="14">
        <v>0</v>
      </c>
      <c r="CY194" s="14">
        <v>0</v>
      </c>
      <c r="CZ194" s="995">
        <v>0</v>
      </c>
      <c r="DA194" s="995">
        <v>0</v>
      </c>
      <c r="DB194" s="995">
        <v>0</v>
      </c>
      <c r="DC194">
        <v>0</v>
      </c>
      <c r="DD194">
        <v>0</v>
      </c>
      <c r="DE194">
        <v>0</v>
      </c>
      <c r="DF194">
        <v>0</v>
      </c>
      <c r="DG194">
        <v>0</v>
      </c>
      <c r="DH194">
        <v>0</v>
      </c>
      <c r="DI194">
        <v>0</v>
      </c>
      <c r="DJ194">
        <v>0</v>
      </c>
      <c r="DK194">
        <v>0</v>
      </c>
      <c r="DL194">
        <v>0</v>
      </c>
      <c r="DM194">
        <v>0</v>
      </c>
      <c r="DN194">
        <v>0</v>
      </c>
      <c r="DO194">
        <v>0</v>
      </c>
      <c r="DP194">
        <v>0</v>
      </c>
      <c r="DQ194">
        <v>35.75</v>
      </c>
    </row>
    <row r="195" spans="1:121" x14ac:dyDescent="0.2">
      <c r="A195" s="14">
        <v>36</v>
      </c>
      <c r="B195" s="684">
        <f t="shared" si="55"/>
        <v>4.857179115194291E-8</v>
      </c>
      <c r="C195" s="684">
        <f t="shared" si="56"/>
        <v>4.8571791151942731E-8</v>
      </c>
      <c r="D195" s="684">
        <f t="shared" si="63"/>
        <v>1.2142947787985683E-8</v>
      </c>
      <c r="E195" s="684">
        <f t="shared" si="57"/>
        <v>5.7584017621634571E-3</v>
      </c>
      <c r="F195" s="684">
        <f t="shared" si="58"/>
        <v>0</v>
      </c>
      <c r="G195" s="684">
        <f t="shared" si="64"/>
        <v>0</v>
      </c>
      <c r="H195" s="684">
        <f t="shared" si="65"/>
        <v>0</v>
      </c>
      <c r="I195" s="1052">
        <f>HLOOKUP('Input &amp; Summary'!$B$6,TurbineProfiles,ROW(I195)-49,0)</f>
        <v>0</v>
      </c>
      <c r="J195" s="684">
        <f t="shared" si="59"/>
        <v>0</v>
      </c>
      <c r="K195" s="9">
        <f t="shared" si="60"/>
        <v>0</v>
      </c>
      <c r="L195" s="14">
        <f t="shared" si="61"/>
        <v>94028.49450885893</v>
      </c>
      <c r="M195" s="684">
        <f t="shared" si="62"/>
        <v>17754.300806435127</v>
      </c>
      <c r="N195" s="684">
        <f t="shared" si="66"/>
        <v>2117.4921141893815</v>
      </c>
      <c r="O195" s="684">
        <f t="shared" si="67"/>
        <v>0.99999994786385582</v>
      </c>
      <c r="P195" s="684">
        <f t="shared" si="68"/>
        <v>0</v>
      </c>
      <c r="Q195" s="684">
        <f t="shared" si="72"/>
        <v>1.3620333083608216E-8</v>
      </c>
      <c r="R195" s="684">
        <f t="shared" si="73"/>
        <v>1.2167952423425277E-8</v>
      </c>
      <c r="S195" s="684">
        <f t="shared" si="69"/>
        <v>0</v>
      </c>
      <c r="T195" s="684">
        <f t="shared" si="70"/>
        <v>0</v>
      </c>
      <c r="U195" s="14">
        <f t="shared" si="71"/>
        <v>0</v>
      </c>
      <c r="V195">
        <v>0</v>
      </c>
      <c r="W195">
        <v>0</v>
      </c>
      <c r="X195">
        <v>0</v>
      </c>
      <c r="Y195">
        <v>0</v>
      </c>
      <c r="Z195">
        <v>0</v>
      </c>
      <c r="AA195">
        <v>0</v>
      </c>
      <c r="AB195">
        <v>0</v>
      </c>
      <c r="AC195">
        <v>0</v>
      </c>
      <c r="AD195">
        <v>0</v>
      </c>
      <c r="AE195" s="143">
        <v>0</v>
      </c>
      <c r="AF195" s="143">
        <v>0</v>
      </c>
      <c r="AG195" s="143">
        <v>0</v>
      </c>
      <c r="AH195" s="143">
        <v>0</v>
      </c>
      <c r="AI195" s="995">
        <v>0</v>
      </c>
      <c r="AJ195" s="143">
        <v>0</v>
      </c>
      <c r="AK195" s="143">
        <v>0</v>
      </c>
      <c r="AL195" s="143">
        <v>0</v>
      </c>
      <c r="AM195" s="143">
        <v>0</v>
      </c>
      <c r="AN195" s="143">
        <v>0</v>
      </c>
      <c r="AO195" s="143">
        <v>0</v>
      </c>
      <c r="AP195" s="143">
        <v>0</v>
      </c>
      <c r="AQ195" s="143">
        <v>0</v>
      </c>
      <c r="AR195" s="143">
        <v>0</v>
      </c>
      <c r="AS195" s="143">
        <v>0</v>
      </c>
      <c r="AT195" s="143">
        <v>0</v>
      </c>
      <c r="AU195" s="143">
        <v>0</v>
      </c>
      <c r="AV195" s="143">
        <v>0</v>
      </c>
      <c r="AW195" s="143">
        <v>0</v>
      </c>
      <c r="AX195" s="143">
        <v>0</v>
      </c>
      <c r="AY195" s="143">
        <v>0</v>
      </c>
      <c r="AZ195" s="143">
        <v>0</v>
      </c>
      <c r="BA195" s="143">
        <v>0</v>
      </c>
      <c r="BB195" s="143">
        <v>0</v>
      </c>
      <c r="BC195" s="143">
        <v>0</v>
      </c>
      <c r="BD195" s="143">
        <v>0</v>
      </c>
      <c r="BE195" s="143">
        <v>0</v>
      </c>
      <c r="BF195" s="143">
        <v>0</v>
      </c>
      <c r="BG195" s="143">
        <v>0</v>
      </c>
      <c r="BH195" s="143">
        <v>0</v>
      </c>
      <c r="BI195" s="143">
        <v>0</v>
      </c>
      <c r="BJ195" s="995">
        <v>0</v>
      </c>
      <c r="BK195" s="143">
        <v>0</v>
      </c>
      <c r="BL195" s="143">
        <v>0</v>
      </c>
      <c r="BM195" s="143">
        <v>0</v>
      </c>
      <c r="BN195" s="143">
        <v>0</v>
      </c>
      <c r="BO195" s="143">
        <v>0</v>
      </c>
      <c r="BP195" s="143">
        <v>0</v>
      </c>
      <c r="BQ195" s="143">
        <v>0</v>
      </c>
      <c r="BR195" s="143">
        <v>0</v>
      </c>
      <c r="BS195" s="143">
        <v>0</v>
      </c>
      <c r="BT195" s="143">
        <v>0</v>
      </c>
      <c r="BU195" s="143">
        <v>0</v>
      </c>
      <c r="BV195" s="143">
        <v>0</v>
      </c>
      <c r="BW195" s="143">
        <v>0</v>
      </c>
      <c r="BX195" s="143">
        <v>0</v>
      </c>
      <c r="BY195" s="143">
        <v>0</v>
      </c>
      <c r="BZ195" s="995">
        <v>0</v>
      </c>
      <c r="CA195" s="143">
        <v>0</v>
      </c>
      <c r="CB195" s="143">
        <v>0</v>
      </c>
      <c r="CC195" s="143">
        <v>0</v>
      </c>
      <c r="CD195" s="143">
        <v>0</v>
      </c>
      <c r="CE195" s="143">
        <v>0</v>
      </c>
      <c r="CF195" s="143">
        <v>0</v>
      </c>
      <c r="CG195" s="143">
        <v>0</v>
      </c>
      <c r="CH195" s="143">
        <v>0</v>
      </c>
      <c r="CI195" s="143">
        <v>0</v>
      </c>
      <c r="CJ195" s="143">
        <v>0</v>
      </c>
      <c r="CK195" s="143">
        <v>0</v>
      </c>
      <c r="CL195" s="143">
        <v>0</v>
      </c>
      <c r="CM195" s="143">
        <v>0</v>
      </c>
      <c r="CN195" s="143">
        <v>0</v>
      </c>
      <c r="CO195" s="143">
        <v>0</v>
      </c>
      <c r="CP195" s="143">
        <v>0</v>
      </c>
      <c r="CQ195" s="143">
        <v>0</v>
      </c>
      <c r="CR195" s="143">
        <v>0</v>
      </c>
      <c r="CS195" s="143">
        <v>0</v>
      </c>
      <c r="CT195" s="143">
        <v>0</v>
      </c>
      <c r="CU195" s="143">
        <v>0</v>
      </c>
      <c r="CV195" s="143">
        <v>0</v>
      </c>
      <c r="CW195" s="14">
        <v>0</v>
      </c>
      <c r="CX195" s="14">
        <v>0</v>
      </c>
      <c r="CY195" s="14">
        <v>0</v>
      </c>
      <c r="CZ195" s="995">
        <v>0</v>
      </c>
      <c r="DA195" s="995">
        <v>0</v>
      </c>
      <c r="DB195" s="995">
        <v>0</v>
      </c>
      <c r="DC195">
        <v>0</v>
      </c>
      <c r="DD195">
        <v>0</v>
      </c>
      <c r="DE195">
        <v>0</v>
      </c>
      <c r="DF195">
        <v>0</v>
      </c>
      <c r="DG195">
        <v>0</v>
      </c>
      <c r="DH195">
        <v>0</v>
      </c>
      <c r="DI195">
        <v>0</v>
      </c>
      <c r="DJ195">
        <v>0</v>
      </c>
      <c r="DK195">
        <v>0</v>
      </c>
      <c r="DL195">
        <v>0</v>
      </c>
      <c r="DM195">
        <v>0</v>
      </c>
      <c r="DN195">
        <v>0</v>
      </c>
      <c r="DO195">
        <v>0</v>
      </c>
      <c r="DP195">
        <v>0</v>
      </c>
      <c r="DQ195">
        <v>36</v>
      </c>
    </row>
    <row r="196" spans="1:121" x14ac:dyDescent="0.2">
      <c r="A196" s="14">
        <v>36.25</v>
      </c>
      <c r="B196" s="684">
        <f t="shared" si="55"/>
        <v>3.8715739800594505E-8</v>
      </c>
      <c r="C196" s="684">
        <f t="shared" si="56"/>
        <v>3.8715739800594227E-8</v>
      </c>
      <c r="D196" s="684">
        <f t="shared" si="63"/>
        <v>9.6789349501485568E-9</v>
      </c>
      <c r="E196" s="684">
        <f t="shared" si="57"/>
        <v>4.686212045973615E-3</v>
      </c>
      <c r="F196" s="684">
        <f t="shared" si="58"/>
        <v>0</v>
      </c>
      <c r="G196" s="684">
        <f t="shared" si="64"/>
        <v>0</v>
      </c>
      <c r="H196" s="684">
        <f t="shared" si="65"/>
        <v>0</v>
      </c>
      <c r="I196" s="1052">
        <f>HLOOKUP('Input &amp; Summary'!$B$6,TurbineProfiles,ROW(I196)-49,0)</f>
        <v>0</v>
      </c>
      <c r="J196" s="684">
        <f t="shared" si="59"/>
        <v>0</v>
      </c>
      <c r="K196" s="9">
        <f t="shared" si="60"/>
        <v>0</v>
      </c>
      <c r="L196" s="14">
        <f t="shared" si="61"/>
        <v>96001.056627252561</v>
      </c>
      <c r="M196" s="684">
        <f t="shared" si="62"/>
        <v>17905.636256026562</v>
      </c>
      <c r="N196" s="684">
        <f t="shared" si="66"/>
        <v>2117.4921141893815</v>
      </c>
      <c r="O196" s="684">
        <f t="shared" si="67"/>
        <v>0.99999995872977443</v>
      </c>
      <c r="P196" s="684">
        <f t="shared" si="68"/>
        <v>0</v>
      </c>
      <c r="Q196" s="684">
        <f t="shared" si="72"/>
        <v>1.0865918609326286E-8</v>
      </c>
      <c r="R196" s="684">
        <f t="shared" si="73"/>
        <v>9.6991709108706914E-9</v>
      </c>
      <c r="S196" s="684">
        <f t="shared" si="69"/>
        <v>0</v>
      </c>
      <c r="T196" s="684">
        <f t="shared" si="70"/>
        <v>0</v>
      </c>
      <c r="U196" s="14">
        <f t="shared" si="71"/>
        <v>0</v>
      </c>
      <c r="V196">
        <v>0</v>
      </c>
      <c r="W196">
        <v>0</v>
      </c>
      <c r="X196">
        <v>0</v>
      </c>
      <c r="Y196">
        <v>0</v>
      </c>
      <c r="Z196">
        <v>0</v>
      </c>
      <c r="AA196">
        <v>0</v>
      </c>
      <c r="AB196">
        <v>0</v>
      </c>
      <c r="AC196">
        <v>0</v>
      </c>
      <c r="AD196">
        <v>0</v>
      </c>
      <c r="AE196" s="143">
        <v>0</v>
      </c>
      <c r="AF196" s="143">
        <v>0</v>
      </c>
      <c r="AG196" s="143">
        <v>0</v>
      </c>
      <c r="AH196" s="143">
        <v>0</v>
      </c>
      <c r="AI196" s="995">
        <v>0</v>
      </c>
      <c r="AJ196" s="143">
        <v>0</v>
      </c>
      <c r="AK196" s="143">
        <v>0</v>
      </c>
      <c r="AL196" s="143">
        <v>0</v>
      </c>
      <c r="AM196" s="143">
        <v>0</v>
      </c>
      <c r="AN196" s="143">
        <v>0</v>
      </c>
      <c r="AO196" s="143">
        <v>0</v>
      </c>
      <c r="AP196" s="143">
        <v>0</v>
      </c>
      <c r="AQ196" s="143">
        <v>0</v>
      </c>
      <c r="AR196" s="143">
        <v>0</v>
      </c>
      <c r="AS196" s="143">
        <v>0</v>
      </c>
      <c r="AT196" s="143">
        <v>0</v>
      </c>
      <c r="AU196" s="143">
        <v>0</v>
      </c>
      <c r="AV196" s="143">
        <v>0</v>
      </c>
      <c r="AW196" s="143">
        <v>0</v>
      </c>
      <c r="AX196" s="143">
        <v>0</v>
      </c>
      <c r="AY196" s="143">
        <v>0</v>
      </c>
      <c r="AZ196" s="143">
        <v>0</v>
      </c>
      <c r="BA196" s="143">
        <v>0</v>
      </c>
      <c r="BB196" s="143">
        <v>0</v>
      </c>
      <c r="BC196" s="143">
        <v>0</v>
      </c>
      <c r="BD196" s="143">
        <v>0</v>
      </c>
      <c r="BE196" s="143">
        <v>0</v>
      </c>
      <c r="BF196" s="143">
        <v>0</v>
      </c>
      <c r="BG196" s="143">
        <v>0</v>
      </c>
      <c r="BH196" s="143">
        <v>0</v>
      </c>
      <c r="BI196" s="143">
        <v>0</v>
      </c>
      <c r="BJ196" s="995">
        <v>0</v>
      </c>
      <c r="BK196" s="143">
        <v>0</v>
      </c>
      <c r="BL196" s="143">
        <v>0</v>
      </c>
      <c r="BM196" s="143">
        <v>0</v>
      </c>
      <c r="BN196" s="143">
        <v>0</v>
      </c>
      <c r="BO196" s="143">
        <v>0</v>
      </c>
      <c r="BP196" s="143">
        <v>0</v>
      </c>
      <c r="BQ196" s="143">
        <v>0</v>
      </c>
      <c r="BR196" s="143">
        <v>0</v>
      </c>
      <c r="BS196" s="143">
        <v>0</v>
      </c>
      <c r="BT196" s="143">
        <v>0</v>
      </c>
      <c r="BU196" s="143">
        <v>0</v>
      </c>
      <c r="BV196" s="143">
        <v>0</v>
      </c>
      <c r="BW196" s="143">
        <v>0</v>
      </c>
      <c r="BX196" s="143">
        <v>0</v>
      </c>
      <c r="BY196" s="143">
        <v>0</v>
      </c>
      <c r="BZ196" s="995">
        <v>0</v>
      </c>
      <c r="CA196" s="143">
        <v>0</v>
      </c>
      <c r="CB196" s="143">
        <v>0</v>
      </c>
      <c r="CC196" s="143">
        <v>0</v>
      </c>
      <c r="CD196" s="143">
        <v>0</v>
      </c>
      <c r="CE196" s="143">
        <v>0</v>
      </c>
      <c r="CF196" s="143">
        <v>0</v>
      </c>
      <c r="CG196" s="143">
        <v>0</v>
      </c>
      <c r="CH196" s="143">
        <v>0</v>
      </c>
      <c r="CI196" s="143">
        <v>0</v>
      </c>
      <c r="CJ196" s="143">
        <v>0</v>
      </c>
      <c r="CK196" s="143">
        <v>0</v>
      </c>
      <c r="CL196" s="143">
        <v>0</v>
      </c>
      <c r="CM196" s="143">
        <v>0</v>
      </c>
      <c r="CN196" s="143">
        <v>0</v>
      </c>
      <c r="CO196" s="143">
        <v>0</v>
      </c>
      <c r="CP196" s="143">
        <v>0</v>
      </c>
      <c r="CQ196" s="143">
        <v>0</v>
      </c>
      <c r="CR196" s="143">
        <v>0</v>
      </c>
      <c r="CS196" s="143">
        <v>0</v>
      </c>
      <c r="CT196" s="143">
        <v>0</v>
      </c>
      <c r="CU196" s="143">
        <v>0</v>
      </c>
      <c r="CV196" s="143">
        <v>0</v>
      </c>
      <c r="CW196" s="14">
        <v>0</v>
      </c>
      <c r="CX196" s="14">
        <v>0</v>
      </c>
      <c r="CY196" s="14">
        <v>0</v>
      </c>
      <c r="CZ196" s="995">
        <v>0</v>
      </c>
      <c r="DA196" s="995">
        <v>0</v>
      </c>
      <c r="DB196" s="995">
        <v>0</v>
      </c>
      <c r="DC196">
        <v>0</v>
      </c>
      <c r="DD196">
        <v>0</v>
      </c>
      <c r="DE196">
        <v>0</v>
      </c>
      <c r="DF196">
        <v>0</v>
      </c>
      <c r="DG196">
        <v>0</v>
      </c>
      <c r="DH196">
        <v>0</v>
      </c>
      <c r="DI196">
        <v>0</v>
      </c>
      <c r="DJ196">
        <v>0</v>
      </c>
      <c r="DK196">
        <v>0</v>
      </c>
      <c r="DL196">
        <v>0</v>
      </c>
      <c r="DM196">
        <v>0</v>
      </c>
      <c r="DN196">
        <v>0</v>
      </c>
      <c r="DO196">
        <v>0</v>
      </c>
      <c r="DP196">
        <v>0</v>
      </c>
      <c r="DQ196">
        <v>36.25</v>
      </c>
    </row>
    <row r="197" spans="1:121" x14ac:dyDescent="0.2">
      <c r="A197" s="14">
        <v>36.5</v>
      </c>
      <c r="B197" s="684">
        <f t="shared" si="55"/>
        <v>3.0808312638244925E-8</v>
      </c>
      <c r="C197" s="684">
        <f t="shared" si="56"/>
        <v>3.0808312638244706E-8</v>
      </c>
      <c r="D197" s="684">
        <f t="shared" si="63"/>
        <v>7.7020781595611766E-9</v>
      </c>
      <c r="E197" s="684">
        <f t="shared" si="57"/>
        <v>3.8067718318298897E-3</v>
      </c>
      <c r="F197" s="684">
        <f t="shared" si="58"/>
        <v>0</v>
      </c>
      <c r="G197" s="684">
        <f t="shared" si="64"/>
        <v>0</v>
      </c>
      <c r="H197" s="684">
        <f t="shared" si="65"/>
        <v>0</v>
      </c>
      <c r="I197" s="1052">
        <f>HLOOKUP('Input &amp; Summary'!$B$6,TurbineProfiles,ROW(I197)-49,0)</f>
        <v>0</v>
      </c>
      <c r="J197" s="684">
        <f t="shared" si="59"/>
        <v>0</v>
      </c>
      <c r="K197" s="9">
        <f t="shared" si="60"/>
        <v>0</v>
      </c>
      <c r="L197" s="14">
        <f t="shared" si="61"/>
        <v>98001.015004374553</v>
      </c>
      <c r="M197" s="684">
        <f t="shared" si="62"/>
        <v>18056.971705617994</v>
      </c>
      <c r="N197" s="684">
        <f t="shared" si="66"/>
        <v>2117.4921141893815</v>
      </c>
      <c r="O197" s="684">
        <f t="shared" si="67"/>
        <v>0.99999996738387675</v>
      </c>
      <c r="P197" s="684">
        <f t="shared" si="68"/>
        <v>0</v>
      </c>
      <c r="Q197" s="684">
        <f t="shared" si="72"/>
        <v>8.6541023236463843E-9</v>
      </c>
      <c r="R197" s="684">
        <f t="shared" si="73"/>
        <v>7.7184255653506284E-9</v>
      </c>
      <c r="S197" s="684">
        <f t="shared" si="69"/>
        <v>0</v>
      </c>
      <c r="T197" s="684">
        <f t="shared" si="70"/>
        <v>0</v>
      </c>
      <c r="U197" s="14">
        <f t="shared" si="71"/>
        <v>0</v>
      </c>
      <c r="V197">
        <v>0</v>
      </c>
      <c r="W197">
        <v>0</v>
      </c>
      <c r="X197">
        <v>0</v>
      </c>
      <c r="Y197">
        <v>0</v>
      </c>
      <c r="Z197">
        <v>0</v>
      </c>
      <c r="AA197">
        <v>0</v>
      </c>
      <c r="AB197">
        <v>0</v>
      </c>
      <c r="AC197">
        <v>0</v>
      </c>
      <c r="AD197">
        <v>0</v>
      </c>
      <c r="AE197" s="143">
        <v>0</v>
      </c>
      <c r="AF197" s="143">
        <v>0</v>
      </c>
      <c r="AG197" s="143">
        <v>0</v>
      </c>
      <c r="AH197" s="143">
        <v>0</v>
      </c>
      <c r="AI197" s="995">
        <v>0</v>
      </c>
      <c r="AJ197" s="143">
        <v>0</v>
      </c>
      <c r="AK197" s="143">
        <v>0</v>
      </c>
      <c r="AL197" s="143">
        <v>0</v>
      </c>
      <c r="AM197" s="143">
        <v>0</v>
      </c>
      <c r="AN197" s="143">
        <v>0</v>
      </c>
      <c r="AO197" s="143">
        <v>0</v>
      </c>
      <c r="AP197" s="143">
        <v>0</v>
      </c>
      <c r="AQ197" s="143">
        <v>0</v>
      </c>
      <c r="AR197" s="143">
        <v>0</v>
      </c>
      <c r="AS197" s="143">
        <v>0</v>
      </c>
      <c r="AT197" s="143">
        <v>0</v>
      </c>
      <c r="AU197" s="143">
        <v>0</v>
      </c>
      <c r="AV197" s="143">
        <v>0</v>
      </c>
      <c r="AW197" s="143">
        <v>0</v>
      </c>
      <c r="AX197" s="143">
        <v>0</v>
      </c>
      <c r="AY197" s="143">
        <v>0</v>
      </c>
      <c r="AZ197" s="143">
        <v>0</v>
      </c>
      <c r="BA197" s="143">
        <v>0</v>
      </c>
      <c r="BB197" s="143">
        <v>0</v>
      </c>
      <c r="BC197" s="143">
        <v>0</v>
      </c>
      <c r="BD197" s="143">
        <v>0</v>
      </c>
      <c r="BE197" s="143">
        <v>0</v>
      </c>
      <c r="BF197" s="143">
        <v>0</v>
      </c>
      <c r="BG197" s="143">
        <v>0</v>
      </c>
      <c r="BH197" s="143">
        <v>0</v>
      </c>
      <c r="BI197" s="143">
        <v>0</v>
      </c>
      <c r="BJ197" s="995">
        <v>0</v>
      </c>
      <c r="BK197" s="143">
        <v>0</v>
      </c>
      <c r="BL197" s="143">
        <v>0</v>
      </c>
      <c r="BM197" s="143">
        <v>0</v>
      </c>
      <c r="BN197" s="143">
        <v>0</v>
      </c>
      <c r="BO197" s="143">
        <v>0</v>
      </c>
      <c r="BP197" s="143">
        <v>0</v>
      </c>
      <c r="BQ197" s="143">
        <v>0</v>
      </c>
      <c r="BR197" s="143">
        <v>0</v>
      </c>
      <c r="BS197" s="143">
        <v>0</v>
      </c>
      <c r="BT197" s="143">
        <v>0</v>
      </c>
      <c r="BU197" s="143">
        <v>0</v>
      </c>
      <c r="BV197" s="143">
        <v>0</v>
      </c>
      <c r="BW197" s="143">
        <v>0</v>
      </c>
      <c r="BX197" s="143">
        <v>0</v>
      </c>
      <c r="BY197" s="143">
        <v>0</v>
      </c>
      <c r="BZ197" s="995">
        <v>0</v>
      </c>
      <c r="CA197" s="143">
        <v>0</v>
      </c>
      <c r="CB197" s="143">
        <v>0</v>
      </c>
      <c r="CC197" s="143">
        <v>0</v>
      </c>
      <c r="CD197" s="143">
        <v>0</v>
      </c>
      <c r="CE197" s="143">
        <v>0</v>
      </c>
      <c r="CF197" s="143">
        <v>0</v>
      </c>
      <c r="CG197" s="143">
        <v>0</v>
      </c>
      <c r="CH197" s="143">
        <v>0</v>
      </c>
      <c r="CI197" s="143">
        <v>0</v>
      </c>
      <c r="CJ197" s="143">
        <v>0</v>
      </c>
      <c r="CK197" s="143">
        <v>0</v>
      </c>
      <c r="CL197" s="143">
        <v>0</v>
      </c>
      <c r="CM197" s="143">
        <v>0</v>
      </c>
      <c r="CN197" s="143">
        <v>0</v>
      </c>
      <c r="CO197" s="143">
        <v>0</v>
      </c>
      <c r="CP197" s="143">
        <v>0</v>
      </c>
      <c r="CQ197" s="143">
        <v>0</v>
      </c>
      <c r="CR197" s="143">
        <v>0</v>
      </c>
      <c r="CS197" s="143">
        <v>0</v>
      </c>
      <c r="CT197" s="143">
        <v>0</v>
      </c>
      <c r="CU197" s="143">
        <v>0</v>
      </c>
      <c r="CV197" s="143">
        <v>0</v>
      </c>
      <c r="CW197" s="14">
        <v>0</v>
      </c>
      <c r="CX197" s="14">
        <v>0</v>
      </c>
      <c r="CY197" s="14">
        <v>0</v>
      </c>
      <c r="CZ197" s="995">
        <v>0</v>
      </c>
      <c r="DA197" s="995">
        <v>0</v>
      </c>
      <c r="DB197" s="995">
        <v>0</v>
      </c>
      <c r="DC197">
        <v>0</v>
      </c>
      <c r="DD197">
        <v>0</v>
      </c>
      <c r="DE197">
        <v>0</v>
      </c>
      <c r="DF197">
        <v>0</v>
      </c>
      <c r="DG197">
        <v>0</v>
      </c>
      <c r="DH197">
        <v>0</v>
      </c>
      <c r="DI197">
        <v>0</v>
      </c>
      <c r="DJ197">
        <v>0</v>
      </c>
      <c r="DK197">
        <v>0</v>
      </c>
      <c r="DL197">
        <v>0</v>
      </c>
      <c r="DM197">
        <v>0</v>
      </c>
      <c r="DN197">
        <v>0</v>
      </c>
      <c r="DO197">
        <v>0</v>
      </c>
      <c r="DP197">
        <v>0</v>
      </c>
      <c r="DQ197">
        <v>36.5</v>
      </c>
    </row>
    <row r="198" spans="1:121" x14ac:dyDescent="0.2">
      <c r="A198" s="14">
        <v>36.75</v>
      </c>
      <c r="B198" s="684">
        <f t="shared" si="55"/>
        <v>2.4475155073205139E-8</v>
      </c>
      <c r="C198" s="684">
        <f t="shared" si="56"/>
        <v>2.4475155073205222E-8</v>
      </c>
      <c r="D198" s="684">
        <f t="shared" si="63"/>
        <v>6.1187887683013054E-9</v>
      </c>
      <c r="E198" s="684">
        <f t="shared" si="57"/>
        <v>3.086795250424876E-3</v>
      </c>
      <c r="F198" s="684">
        <f t="shared" si="58"/>
        <v>0</v>
      </c>
      <c r="G198" s="684">
        <f t="shared" si="64"/>
        <v>0</v>
      </c>
      <c r="H198" s="684">
        <f t="shared" si="65"/>
        <v>0</v>
      </c>
      <c r="I198" s="1052">
        <f>HLOOKUP('Input &amp; Summary'!$B$6,TurbineProfiles,ROW(I198)-49,0)</f>
        <v>0</v>
      </c>
      <c r="J198" s="684">
        <f t="shared" si="59"/>
        <v>0</v>
      </c>
      <c r="K198" s="9">
        <f t="shared" si="60"/>
        <v>0</v>
      </c>
      <c r="L198" s="14">
        <f t="shared" si="61"/>
        <v>100028.55857994023</v>
      </c>
      <c r="M198" s="684">
        <f t="shared" si="62"/>
        <v>18208.307155209426</v>
      </c>
      <c r="N198" s="684">
        <f t="shared" si="66"/>
        <v>2117.4921141893815</v>
      </c>
      <c r="O198" s="684">
        <f t="shared" si="67"/>
        <v>0.99999997426492726</v>
      </c>
      <c r="P198" s="684">
        <f t="shared" si="68"/>
        <v>0</v>
      </c>
      <c r="Q198" s="684">
        <f t="shared" si="72"/>
        <v>6.8810505071681405E-9</v>
      </c>
      <c r="R198" s="684">
        <f t="shared" si="73"/>
        <v>6.1319714861340913E-9</v>
      </c>
      <c r="S198" s="684">
        <f t="shared" si="69"/>
        <v>0</v>
      </c>
      <c r="T198" s="684">
        <f t="shared" si="70"/>
        <v>0</v>
      </c>
      <c r="U198" s="14">
        <f t="shared" si="71"/>
        <v>0</v>
      </c>
      <c r="V198">
        <v>0</v>
      </c>
      <c r="W198">
        <v>0</v>
      </c>
      <c r="X198">
        <v>0</v>
      </c>
      <c r="Y198">
        <v>0</v>
      </c>
      <c r="Z198">
        <v>0</v>
      </c>
      <c r="AA198">
        <v>0</v>
      </c>
      <c r="AB198">
        <v>0</v>
      </c>
      <c r="AC198">
        <v>0</v>
      </c>
      <c r="AD198">
        <v>0</v>
      </c>
      <c r="AE198" s="143">
        <v>0</v>
      </c>
      <c r="AF198" s="143">
        <v>0</v>
      </c>
      <c r="AG198" s="143">
        <v>0</v>
      </c>
      <c r="AH198" s="143">
        <v>0</v>
      </c>
      <c r="AI198" s="995">
        <v>0</v>
      </c>
      <c r="AJ198" s="143">
        <v>0</v>
      </c>
      <c r="AK198" s="143">
        <v>0</v>
      </c>
      <c r="AL198" s="143">
        <v>0</v>
      </c>
      <c r="AM198" s="143">
        <v>0</v>
      </c>
      <c r="AN198" s="143">
        <v>0</v>
      </c>
      <c r="AO198" s="143">
        <v>0</v>
      </c>
      <c r="AP198" s="143">
        <v>0</v>
      </c>
      <c r="AQ198" s="143">
        <v>0</v>
      </c>
      <c r="AR198" s="143">
        <v>0</v>
      </c>
      <c r="AS198" s="143">
        <v>0</v>
      </c>
      <c r="AT198" s="143">
        <v>0</v>
      </c>
      <c r="AU198" s="143">
        <v>0</v>
      </c>
      <c r="AV198" s="143">
        <v>0</v>
      </c>
      <c r="AW198" s="143">
        <v>0</v>
      </c>
      <c r="AX198" s="143">
        <v>0</v>
      </c>
      <c r="AY198" s="143">
        <v>0</v>
      </c>
      <c r="AZ198" s="143">
        <v>0</v>
      </c>
      <c r="BA198" s="143">
        <v>0</v>
      </c>
      <c r="BB198" s="143">
        <v>0</v>
      </c>
      <c r="BC198" s="143">
        <v>0</v>
      </c>
      <c r="BD198" s="143">
        <v>0</v>
      </c>
      <c r="BE198" s="143">
        <v>0</v>
      </c>
      <c r="BF198" s="143">
        <v>0</v>
      </c>
      <c r="BG198" s="143">
        <v>0</v>
      </c>
      <c r="BH198" s="143">
        <v>0</v>
      </c>
      <c r="BI198" s="143">
        <v>0</v>
      </c>
      <c r="BJ198" s="995">
        <v>0</v>
      </c>
      <c r="BK198" s="143">
        <v>0</v>
      </c>
      <c r="BL198" s="143">
        <v>0</v>
      </c>
      <c r="BM198" s="143">
        <v>0</v>
      </c>
      <c r="BN198" s="143">
        <v>0</v>
      </c>
      <c r="BO198" s="143">
        <v>0</v>
      </c>
      <c r="BP198" s="143">
        <v>0</v>
      </c>
      <c r="BQ198" s="143">
        <v>0</v>
      </c>
      <c r="BR198" s="143">
        <v>0</v>
      </c>
      <c r="BS198" s="143">
        <v>0</v>
      </c>
      <c r="BT198" s="143">
        <v>0</v>
      </c>
      <c r="BU198" s="143">
        <v>0</v>
      </c>
      <c r="BV198" s="143">
        <v>0</v>
      </c>
      <c r="BW198" s="143">
        <v>0</v>
      </c>
      <c r="BX198" s="143">
        <v>0</v>
      </c>
      <c r="BY198" s="143">
        <v>0</v>
      </c>
      <c r="BZ198" s="995">
        <v>0</v>
      </c>
      <c r="CA198" s="143">
        <v>0</v>
      </c>
      <c r="CB198" s="143">
        <v>0</v>
      </c>
      <c r="CC198" s="143">
        <v>0</v>
      </c>
      <c r="CD198" s="143">
        <v>0</v>
      </c>
      <c r="CE198" s="143">
        <v>0</v>
      </c>
      <c r="CF198" s="143">
        <v>0</v>
      </c>
      <c r="CG198" s="143">
        <v>0</v>
      </c>
      <c r="CH198" s="143">
        <v>0</v>
      </c>
      <c r="CI198" s="143">
        <v>0</v>
      </c>
      <c r="CJ198" s="143">
        <v>0</v>
      </c>
      <c r="CK198" s="143">
        <v>0</v>
      </c>
      <c r="CL198" s="143">
        <v>0</v>
      </c>
      <c r="CM198" s="143">
        <v>0</v>
      </c>
      <c r="CN198" s="143">
        <v>0</v>
      </c>
      <c r="CO198" s="143">
        <v>0</v>
      </c>
      <c r="CP198" s="143">
        <v>0</v>
      </c>
      <c r="CQ198" s="143">
        <v>0</v>
      </c>
      <c r="CR198" s="143">
        <v>0</v>
      </c>
      <c r="CS198" s="143">
        <v>0</v>
      </c>
      <c r="CT198" s="143">
        <v>0</v>
      </c>
      <c r="CU198" s="143">
        <v>0</v>
      </c>
      <c r="CV198" s="143">
        <v>0</v>
      </c>
      <c r="CW198" s="14">
        <v>0</v>
      </c>
      <c r="CX198" s="14">
        <v>0</v>
      </c>
      <c r="CY198" s="14">
        <v>0</v>
      </c>
      <c r="CZ198" s="995">
        <v>0</v>
      </c>
      <c r="DA198" s="995">
        <v>0</v>
      </c>
      <c r="DB198" s="995">
        <v>0</v>
      </c>
      <c r="DC198">
        <v>0</v>
      </c>
      <c r="DD198">
        <v>0</v>
      </c>
      <c r="DE198">
        <v>0</v>
      </c>
      <c r="DF198">
        <v>0</v>
      </c>
      <c r="DG198">
        <v>0</v>
      </c>
      <c r="DH198">
        <v>0</v>
      </c>
      <c r="DI198">
        <v>0</v>
      </c>
      <c r="DJ198">
        <v>0</v>
      </c>
      <c r="DK198">
        <v>0</v>
      </c>
      <c r="DL198">
        <v>0</v>
      </c>
      <c r="DM198">
        <v>0</v>
      </c>
      <c r="DN198">
        <v>0</v>
      </c>
      <c r="DO198">
        <v>0</v>
      </c>
      <c r="DP198">
        <v>0</v>
      </c>
      <c r="DQ198">
        <v>36.75</v>
      </c>
    </row>
    <row r="199" spans="1:121" x14ac:dyDescent="0.2">
      <c r="A199" s="14">
        <v>37</v>
      </c>
      <c r="B199" s="684">
        <f t="shared" si="55"/>
        <v>1.941156080888625E-8</v>
      </c>
      <c r="C199" s="684">
        <f t="shared" si="56"/>
        <v>1.9411560808886243E-8</v>
      </c>
      <c r="D199" s="684">
        <f t="shared" si="63"/>
        <v>4.8528902022215609E-9</v>
      </c>
      <c r="E199" s="684">
        <f t="shared" si="57"/>
        <v>2.4984805324271692E-3</v>
      </c>
      <c r="F199" s="684">
        <f t="shared" si="58"/>
        <v>0</v>
      </c>
      <c r="G199" s="684">
        <f t="shared" si="64"/>
        <v>0</v>
      </c>
      <c r="H199" s="684">
        <f t="shared" si="65"/>
        <v>0</v>
      </c>
      <c r="I199" s="1052">
        <f>HLOOKUP('Input &amp; Summary'!$B$6,TurbineProfiles,ROW(I199)-49,0)</f>
        <v>0</v>
      </c>
      <c r="J199" s="684">
        <f t="shared" si="59"/>
        <v>0</v>
      </c>
      <c r="K199" s="9">
        <f t="shared" si="60"/>
        <v>0</v>
      </c>
      <c r="L199" s="14">
        <f t="shared" si="61"/>
        <v>102083.87629366499</v>
      </c>
      <c r="M199" s="684">
        <f t="shared" si="62"/>
        <v>18359.642604800858</v>
      </c>
      <c r="N199" s="684">
        <f t="shared" si="66"/>
        <v>2117.4921141893815</v>
      </c>
      <c r="O199" s="684">
        <f t="shared" si="67"/>
        <v>0.9999999797270932</v>
      </c>
      <c r="P199" s="684">
        <f t="shared" si="68"/>
        <v>0</v>
      </c>
      <c r="Q199" s="684">
        <f t="shared" si="72"/>
        <v>5.462165941771957E-9</v>
      </c>
      <c r="R199" s="684">
        <f t="shared" si="73"/>
        <v>4.8635017124709634E-9</v>
      </c>
      <c r="S199" s="684">
        <f t="shared" si="69"/>
        <v>0</v>
      </c>
      <c r="T199" s="684">
        <f t="shared" si="70"/>
        <v>0</v>
      </c>
      <c r="U199" s="14">
        <f t="shared" si="71"/>
        <v>0</v>
      </c>
      <c r="V199">
        <v>0</v>
      </c>
      <c r="W199">
        <v>0</v>
      </c>
      <c r="X199">
        <v>0</v>
      </c>
      <c r="Y199">
        <v>0</v>
      </c>
      <c r="Z199">
        <v>0</v>
      </c>
      <c r="AA199">
        <v>0</v>
      </c>
      <c r="AB199">
        <v>0</v>
      </c>
      <c r="AC199">
        <v>0</v>
      </c>
      <c r="AD199">
        <v>0</v>
      </c>
      <c r="AE199" s="143">
        <v>0</v>
      </c>
      <c r="AF199" s="143">
        <v>0</v>
      </c>
      <c r="AG199" s="143">
        <v>0</v>
      </c>
      <c r="AH199" s="143">
        <v>0</v>
      </c>
      <c r="AI199" s="995">
        <v>0</v>
      </c>
      <c r="AJ199" s="143">
        <v>0</v>
      </c>
      <c r="AK199" s="143">
        <v>0</v>
      </c>
      <c r="AL199" s="143">
        <v>0</v>
      </c>
      <c r="AM199" s="143">
        <v>0</v>
      </c>
      <c r="AN199" s="143">
        <v>0</v>
      </c>
      <c r="AO199" s="143">
        <v>0</v>
      </c>
      <c r="AP199" s="143">
        <v>0</v>
      </c>
      <c r="AQ199" s="143">
        <v>0</v>
      </c>
      <c r="AR199" s="143">
        <v>0</v>
      </c>
      <c r="AS199" s="143">
        <v>0</v>
      </c>
      <c r="AT199" s="143">
        <v>0</v>
      </c>
      <c r="AU199" s="143">
        <v>0</v>
      </c>
      <c r="AV199" s="143">
        <v>0</v>
      </c>
      <c r="AW199" s="143">
        <v>0</v>
      </c>
      <c r="AX199" s="143">
        <v>0</v>
      </c>
      <c r="AY199" s="143">
        <v>0</v>
      </c>
      <c r="AZ199" s="143">
        <v>0</v>
      </c>
      <c r="BA199" s="143">
        <v>0</v>
      </c>
      <c r="BB199" s="143">
        <v>0</v>
      </c>
      <c r="BC199" s="143">
        <v>0</v>
      </c>
      <c r="BD199" s="143">
        <v>0</v>
      </c>
      <c r="BE199" s="143">
        <v>0</v>
      </c>
      <c r="BF199" s="143">
        <v>0</v>
      </c>
      <c r="BG199" s="143">
        <v>0</v>
      </c>
      <c r="BH199" s="143">
        <v>0</v>
      </c>
      <c r="BI199" s="143">
        <v>0</v>
      </c>
      <c r="BJ199" s="995">
        <v>0</v>
      </c>
      <c r="BK199" s="143">
        <v>0</v>
      </c>
      <c r="BL199" s="143">
        <v>0</v>
      </c>
      <c r="BM199" s="143">
        <v>0</v>
      </c>
      <c r="BN199" s="143">
        <v>0</v>
      </c>
      <c r="BO199" s="143">
        <v>0</v>
      </c>
      <c r="BP199" s="143">
        <v>0</v>
      </c>
      <c r="BQ199" s="143">
        <v>0</v>
      </c>
      <c r="BR199" s="143">
        <v>0</v>
      </c>
      <c r="BS199" s="143">
        <v>0</v>
      </c>
      <c r="BT199" s="143">
        <v>0</v>
      </c>
      <c r="BU199" s="143">
        <v>0</v>
      </c>
      <c r="BV199" s="143">
        <v>0</v>
      </c>
      <c r="BW199" s="143">
        <v>0</v>
      </c>
      <c r="BX199" s="143">
        <v>0</v>
      </c>
      <c r="BY199" s="143">
        <v>0</v>
      </c>
      <c r="BZ199" s="995">
        <v>0</v>
      </c>
      <c r="CA199" s="143">
        <v>0</v>
      </c>
      <c r="CB199" s="143">
        <v>0</v>
      </c>
      <c r="CC199" s="143">
        <v>0</v>
      </c>
      <c r="CD199" s="143">
        <v>0</v>
      </c>
      <c r="CE199" s="143">
        <v>0</v>
      </c>
      <c r="CF199" s="143">
        <v>0</v>
      </c>
      <c r="CG199" s="143">
        <v>0</v>
      </c>
      <c r="CH199" s="143">
        <v>0</v>
      </c>
      <c r="CI199" s="143">
        <v>0</v>
      </c>
      <c r="CJ199" s="143">
        <v>0</v>
      </c>
      <c r="CK199" s="143">
        <v>0</v>
      </c>
      <c r="CL199" s="143">
        <v>0</v>
      </c>
      <c r="CM199" s="143">
        <v>0</v>
      </c>
      <c r="CN199" s="143">
        <v>0</v>
      </c>
      <c r="CO199" s="143">
        <v>0</v>
      </c>
      <c r="CP199" s="143">
        <v>0</v>
      </c>
      <c r="CQ199" s="143">
        <v>0</v>
      </c>
      <c r="CR199" s="143">
        <v>0</v>
      </c>
      <c r="CS199" s="143">
        <v>0</v>
      </c>
      <c r="CT199" s="143">
        <v>0</v>
      </c>
      <c r="CU199" s="143">
        <v>0</v>
      </c>
      <c r="CV199" s="143">
        <v>0</v>
      </c>
      <c r="CW199" s="14">
        <v>0</v>
      </c>
      <c r="CX199" s="14">
        <v>0</v>
      </c>
      <c r="CY199" s="14">
        <v>0</v>
      </c>
      <c r="CZ199" s="995">
        <v>0</v>
      </c>
      <c r="DA199" s="995">
        <v>0</v>
      </c>
      <c r="DB199" s="995">
        <v>0</v>
      </c>
      <c r="DC199">
        <v>0</v>
      </c>
      <c r="DD199">
        <v>0</v>
      </c>
      <c r="DE199">
        <v>0</v>
      </c>
      <c r="DF199">
        <v>0</v>
      </c>
      <c r="DG199">
        <v>0</v>
      </c>
      <c r="DH199">
        <v>0</v>
      </c>
      <c r="DI199">
        <v>0</v>
      </c>
      <c r="DJ199">
        <v>0</v>
      </c>
      <c r="DK199">
        <v>0</v>
      </c>
      <c r="DL199">
        <v>0</v>
      </c>
      <c r="DM199">
        <v>0</v>
      </c>
      <c r="DN199">
        <v>0</v>
      </c>
      <c r="DO199">
        <v>0</v>
      </c>
      <c r="DP199">
        <v>0</v>
      </c>
      <c r="DQ199">
        <v>37</v>
      </c>
    </row>
    <row r="200" spans="1:121" x14ac:dyDescent="0.2">
      <c r="A200" s="14">
        <v>37.25</v>
      </c>
      <c r="B200" s="684">
        <f t="shared" si="55"/>
        <v>1.5369976279505345E-8</v>
      </c>
      <c r="C200" s="684">
        <f t="shared" si="56"/>
        <v>1.5369976279505342E-8</v>
      </c>
      <c r="D200" s="684">
        <f t="shared" si="63"/>
        <v>3.8424940698763354E-9</v>
      </c>
      <c r="E200" s="684">
        <f t="shared" si="57"/>
        <v>2.0186562439766967E-3</v>
      </c>
      <c r="F200" s="684">
        <f t="shared" si="58"/>
        <v>0</v>
      </c>
      <c r="G200" s="684">
        <f t="shared" si="64"/>
        <v>0</v>
      </c>
      <c r="H200" s="684">
        <f t="shared" si="65"/>
        <v>0</v>
      </c>
      <c r="I200" s="1052">
        <f>HLOOKUP('Input &amp; Summary'!$B$6,TurbineProfiles,ROW(I200)-49,0)</f>
        <v>0</v>
      </c>
      <c r="J200" s="684">
        <f t="shared" si="59"/>
        <v>0</v>
      </c>
      <c r="K200" s="9">
        <f t="shared" si="60"/>
        <v>0</v>
      </c>
      <c r="L200" s="14">
        <f t="shared" si="61"/>
        <v>104167.15708526416</v>
      </c>
      <c r="M200" s="684">
        <f t="shared" si="62"/>
        <v>18510.97805439229</v>
      </c>
      <c r="N200" s="684">
        <f t="shared" si="66"/>
        <v>2117.4921141893815</v>
      </c>
      <c r="O200" s="684">
        <f t="shared" si="67"/>
        <v>0.99999998405574575</v>
      </c>
      <c r="P200" s="684">
        <f t="shared" si="68"/>
        <v>0</v>
      </c>
      <c r="Q200" s="684">
        <f t="shared" si="72"/>
        <v>4.3286525475139115E-9</v>
      </c>
      <c r="R200" s="684">
        <f t="shared" si="73"/>
        <v>3.8510208355546638E-9</v>
      </c>
      <c r="S200" s="684">
        <f t="shared" si="69"/>
        <v>0</v>
      </c>
      <c r="T200" s="684">
        <f t="shared" si="70"/>
        <v>0</v>
      </c>
      <c r="U200" s="14">
        <f t="shared" si="71"/>
        <v>0</v>
      </c>
      <c r="V200">
        <v>0</v>
      </c>
      <c r="W200">
        <v>0</v>
      </c>
      <c r="X200">
        <v>0</v>
      </c>
      <c r="Y200">
        <v>0</v>
      </c>
      <c r="Z200">
        <v>0</v>
      </c>
      <c r="AA200">
        <v>0</v>
      </c>
      <c r="AB200">
        <v>0</v>
      </c>
      <c r="AC200">
        <v>0</v>
      </c>
      <c r="AD200">
        <v>0</v>
      </c>
      <c r="AE200" s="143">
        <v>0</v>
      </c>
      <c r="AF200" s="143">
        <v>0</v>
      </c>
      <c r="AG200" s="143">
        <v>0</v>
      </c>
      <c r="AH200" s="143">
        <v>0</v>
      </c>
      <c r="AI200" s="995">
        <v>0</v>
      </c>
      <c r="AJ200" s="143">
        <v>0</v>
      </c>
      <c r="AK200" s="143">
        <v>0</v>
      </c>
      <c r="AL200" s="143">
        <v>0</v>
      </c>
      <c r="AM200" s="143">
        <v>0</v>
      </c>
      <c r="AN200" s="143">
        <v>0</v>
      </c>
      <c r="AO200" s="143">
        <v>0</v>
      </c>
      <c r="AP200" s="143">
        <v>0</v>
      </c>
      <c r="AQ200" s="143">
        <v>0</v>
      </c>
      <c r="AR200" s="143">
        <v>0</v>
      </c>
      <c r="AS200" s="143">
        <v>0</v>
      </c>
      <c r="AT200" s="143">
        <v>0</v>
      </c>
      <c r="AU200" s="143">
        <v>0</v>
      </c>
      <c r="AV200" s="143">
        <v>0</v>
      </c>
      <c r="AW200" s="143">
        <v>0</v>
      </c>
      <c r="AX200" s="143">
        <v>0</v>
      </c>
      <c r="AY200" s="143">
        <v>0</v>
      </c>
      <c r="AZ200" s="143">
        <v>0</v>
      </c>
      <c r="BA200" s="143">
        <v>0</v>
      </c>
      <c r="BB200" s="143">
        <v>0</v>
      </c>
      <c r="BC200" s="143">
        <v>0</v>
      </c>
      <c r="BD200" s="143">
        <v>0</v>
      </c>
      <c r="BE200" s="143">
        <v>0</v>
      </c>
      <c r="BF200" s="143">
        <v>0</v>
      </c>
      <c r="BG200" s="143">
        <v>0</v>
      </c>
      <c r="BH200" s="143">
        <v>0</v>
      </c>
      <c r="BI200" s="143">
        <v>0</v>
      </c>
      <c r="BJ200" s="995">
        <v>0</v>
      </c>
      <c r="BK200" s="143">
        <v>0</v>
      </c>
      <c r="BL200" s="143">
        <v>0</v>
      </c>
      <c r="BM200" s="143">
        <v>0</v>
      </c>
      <c r="BN200" s="143">
        <v>0</v>
      </c>
      <c r="BO200" s="143">
        <v>0</v>
      </c>
      <c r="BP200" s="143">
        <v>0</v>
      </c>
      <c r="BQ200" s="143">
        <v>0</v>
      </c>
      <c r="BR200" s="143">
        <v>0</v>
      </c>
      <c r="BS200" s="143">
        <v>0</v>
      </c>
      <c r="BT200" s="143">
        <v>0</v>
      </c>
      <c r="BU200" s="143">
        <v>0</v>
      </c>
      <c r="BV200" s="143">
        <v>0</v>
      </c>
      <c r="BW200" s="143">
        <v>0</v>
      </c>
      <c r="BX200" s="143">
        <v>0</v>
      </c>
      <c r="BY200" s="143">
        <v>0</v>
      </c>
      <c r="BZ200" s="995">
        <v>0</v>
      </c>
      <c r="CA200" s="143">
        <v>0</v>
      </c>
      <c r="CB200" s="143">
        <v>0</v>
      </c>
      <c r="CC200" s="143">
        <v>0</v>
      </c>
      <c r="CD200" s="143">
        <v>0</v>
      </c>
      <c r="CE200" s="143">
        <v>0</v>
      </c>
      <c r="CF200" s="143">
        <v>0</v>
      </c>
      <c r="CG200" s="143">
        <v>0</v>
      </c>
      <c r="CH200" s="143">
        <v>0</v>
      </c>
      <c r="CI200" s="143">
        <v>0</v>
      </c>
      <c r="CJ200" s="143">
        <v>0</v>
      </c>
      <c r="CK200" s="143">
        <v>0</v>
      </c>
      <c r="CL200" s="143">
        <v>0</v>
      </c>
      <c r="CM200" s="143">
        <v>0</v>
      </c>
      <c r="CN200" s="143">
        <v>0</v>
      </c>
      <c r="CO200" s="143">
        <v>0</v>
      </c>
      <c r="CP200" s="143">
        <v>0</v>
      </c>
      <c r="CQ200" s="143">
        <v>0</v>
      </c>
      <c r="CR200" s="143">
        <v>0</v>
      </c>
      <c r="CS200" s="143">
        <v>0</v>
      </c>
      <c r="CT200" s="143">
        <v>0</v>
      </c>
      <c r="CU200" s="143">
        <v>0</v>
      </c>
      <c r="CV200" s="143">
        <v>0</v>
      </c>
      <c r="CW200" s="14">
        <v>0</v>
      </c>
      <c r="CX200" s="14">
        <v>0</v>
      </c>
      <c r="CY200" s="14">
        <v>0</v>
      </c>
      <c r="CZ200" s="995">
        <v>0</v>
      </c>
      <c r="DA200" s="995">
        <v>0</v>
      </c>
      <c r="DB200" s="995">
        <v>0</v>
      </c>
      <c r="DC200">
        <v>0</v>
      </c>
      <c r="DD200">
        <v>0</v>
      </c>
      <c r="DE200">
        <v>0</v>
      </c>
      <c r="DF200">
        <v>0</v>
      </c>
      <c r="DG200">
        <v>0</v>
      </c>
      <c r="DH200">
        <v>0</v>
      </c>
      <c r="DI200">
        <v>0</v>
      </c>
      <c r="DJ200">
        <v>0</v>
      </c>
      <c r="DK200">
        <v>0</v>
      </c>
      <c r="DL200">
        <v>0</v>
      </c>
      <c r="DM200">
        <v>0</v>
      </c>
      <c r="DN200">
        <v>0</v>
      </c>
      <c r="DO200">
        <v>0</v>
      </c>
      <c r="DP200">
        <v>0</v>
      </c>
      <c r="DQ200">
        <v>37.25</v>
      </c>
    </row>
    <row r="201" spans="1:121" x14ac:dyDescent="0.2">
      <c r="A201" s="14">
        <v>37.5</v>
      </c>
      <c r="B201" s="684">
        <f t="shared" si="55"/>
        <v>1.2149654804290391E-8</v>
      </c>
      <c r="C201" s="684">
        <f t="shared" si="56"/>
        <v>1.2149654804290346E-8</v>
      </c>
      <c r="D201" s="684">
        <f t="shared" si="63"/>
        <v>3.0374137010725866E-9</v>
      </c>
      <c r="E201" s="684">
        <f t="shared" si="57"/>
        <v>1.6280512911638733E-3</v>
      </c>
      <c r="F201" s="684">
        <f t="shared" si="58"/>
        <v>0</v>
      </c>
      <c r="G201" s="684">
        <f t="shared" si="64"/>
        <v>0</v>
      </c>
      <c r="H201" s="684">
        <f t="shared" si="65"/>
        <v>0</v>
      </c>
      <c r="I201" s="1052">
        <f>HLOOKUP('Input &amp; Summary'!$B$6,TurbineProfiles,ROW(I201)-49,0)</f>
        <v>0</v>
      </c>
      <c r="J201" s="684">
        <f t="shared" si="59"/>
        <v>0</v>
      </c>
      <c r="K201" s="9">
        <f t="shared" si="60"/>
        <v>0</v>
      </c>
      <c r="L201" s="14">
        <f t="shared" si="61"/>
        <v>106278.58989445319</v>
      </c>
      <c r="M201" s="684">
        <f t="shared" si="62"/>
        <v>18662.313503983722</v>
      </c>
      <c r="N201" s="684">
        <f t="shared" si="66"/>
        <v>2117.4921141893815</v>
      </c>
      <c r="O201" s="684">
        <f t="shared" si="67"/>
        <v>0.99999998748041419</v>
      </c>
      <c r="P201" s="684">
        <f t="shared" si="68"/>
        <v>0</v>
      </c>
      <c r="Q201" s="684">
        <f t="shared" si="72"/>
        <v>3.4246684377237102E-9</v>
      </c>
      <c r="R201" s="684">
        <f t="shared" si="73"/>
        <v>3.044253071848857E-9</v>
      </c>
      <c r="S201" s="684">
        <f t="shared" si="69"/>
        <v>0</v>
      </c>
      <c r="T201" s="684">
        <f t="shared" si="70"/>
        <v>0</v>
      </c>
      <c r="U201" s="14">
        <f t="shared" si="71"/>
        <v>0</v>
      </c>
      <c r="V201">
        <v>0</v>
      </c>
      <c r="W201">
        <v>0</v>
      </c>
      <c r="X201">
        <v>0</v>
      </c>
      <c r="Y201">
        <v>0</v>
      </c>
      <c r="Z201">
        <v>0</v>
      </c>
      <c r="AA201">
        <v>0</v>
      </c>
      <c r="AB201">
        <v>0</v>
      </c>
      <c r="AC201">
        <v>0</v>
      </c>
      <c r="AD201">
        <v>0</v>
      </c>
      <c r="AE201" s="143">
        <v>0</v>
      </c>
      <c r="AF201" s="143">
        <v>0</v>
      </c>
      <c r="AG201" s="143">
        <v>0</v>
      </c>
      <c r="AH201" s="143">
        <v>0</v>
      </c>
      <c r="AI201" s="995">
        <v>0</v>
      </c>
      <c r="AJ201" s="143">
        <v>0</v>
      </c>
      <c r="AK201" s="143">
        <v>0</v>
      </c>
      <c r="AL201" s="143">
        <v>0</v>
      </c>
      <c r="AM201" s="143">
        <v>0</v>
      </c>
      <c r="AN201" s="143">
        <v>0</v>
      </c>
      <c r="AO201" s="143">
        <v>0</v>
      </c>
      <c r="AP201" s="143">
        <v>0</v>
      </c>
      <c r="AQ201" s="143">
        <v>0</v>
      </c>
      <c r="AR201" s="143">
        <v>0</v>
      </c>
      <c r="AS201" s="143">
        <v>0</v>
      </c>
      <c r="AT201" s="143">
        <v>0</v>
      </c>
      <c r="AU201" s="143">
        <v>0</v>
      </c>
      <c r="AV201" s="143">
        <v>0</v>
      </c>
      <c r="AW201" s="143">
        <v>0</v>
      </c>
      <c r="AX201" s="143">
        <v>0</v>
      </c>
      <c r="AY201" s="143">
        <v>0</v>
      </c>
      <c r="AZ201" s="143">
        <v>0</v>
      </c>
      <c r="BA201" s="143">
        <v>0</v>
      </c>
      <c r="BB201" s="143">
        <v>0</v>
      </c>
      <c r="BC201" s="143">
        <v>0</v>
      </c>
      <c r="BD201" s="143">
        <v>0</v>
      </c>
      <c r="BE201" s="143">
        <v>0</v>
      </c>
      <c r="BF201" s="143">
        <v>0</v>
      </c>
      <c r="BG201" s="143">
        <v>0</v>
      </c>
      <c r="BH201" s="143">
        <v>0</v>
      </c>
      <c r="BI201" s="143">
        <v>0</v>
      </c>
      <c r="BJ201" s="995">
        <v>0</v>
      </c>
      <c r="BK201" s="143">
        <v>0</v>
      </c>
      <c r="BL201" s="143">
        <v>0</v>
      </c>
      <c r="BM201" s="143">
        <v>0</v>
      </c>
      <c r="BN201" s="143">
        <v>0</v>
      </c>
      <c r="BO201" s="143">
        <v>0</v>
      </c>
      <c r="BP201" s="143">
        <v>0</v>
      </c>
      <c r="BQ201" s="143">
        <v>0</v>
      </c>
      <c r="BR201" s="143">
        <v>0</v>
      </c>
      <c r="BS201" s="143">
        <v>0</v>
      </c>
      <c r="BT201" s="143">
        <v>0</v>
      </c>
      <c r="BU201" s="143">
        <v>0</v>
      </c>
      <c r="BV201" s="143">
        <v>0</v>
      </c>
      <c r="BW201" s="143">
        <v>0</v>
      </c>
      <c r="BX201" s="143">
        <v>0</v>
      </c>
      <c r="BY201" s="143">
        <v>0</v>
      </c>
      <c r="BZ201" s="995">
        <v>0</v>
      </c>
      <c r="CA201" s="143">
        <v>0</v>
      </c>
      <c r="CB201" s="143">
        <v>0</v>
      </c>
      <c r="CC201" s="143">
        <v>0</v>
      </c>
      <c r="CD201" s="143">
        <v>0</v>
      </c>
      <c r="CE201" s="143">
        <v>0</v>
      </c>
      <c r="CF201" s="143">
        <v>0</v>
      </c>
      <c r="CG201" s="143">
        <v>0</v>
      </c>
      <c r="CH201" s="143">
        <v>0</v>
      </c>
      <c r="CI201" s="143">
        <v>0</v>
      </c>
      <c r="CJ201" s="143">
        <v>0</v>
      </c>
      <c r="CK201" s="143">
        <v>0</v>
      </c>
      <c r="CL201" s="143">
        <v>0</v>
      </c>
      <c r="CM201" s="143">
        <v>0</v>
      </c>
      <c r="CN201" s="143">
        <v>0</v>
      </c>
      <c r="CO201" s="143">
        <v>0</v>
      </c>
      <c r="CP201" s="143">
        <v>0</v>
      </c>
      <c r="CQ201" s="143">
        <v>0</v>
      </c>
      <c r="CR201" s="143">
        <v>0</v>
      </c>
      <c r="CS201" s="143">
        <v>0</v>
      </c>
      <c r="CT201" s="143">
        <v>0</v>
      </c>
      <c r="CU201" s="143">
        <v>0</v>
      </c>
      <c r="CV201" s="143">
        <v>0</v>
      </c>
      <c r="CW201" s="14">
        <v>0</v>
      </c>
      <c r="CX201" s="14">
        <v>0</v>
      </c>
      <c r="CY201" s="14">
        <v>0</v>
      </c>
      <c r="CZ201" s="995">
        <v>0</v>
      </c>
      <c r="DA201" s="995">
        <v>0</v>
      </c>
      <c r="DB201" s="995">
        <v>0</v>
      </c>
      <c r="DC201">
        <v>0</v>
      </c>
      <c r="DD201">
        <v>0</v>
      </c>
      <c r="DE201">
        <v>0</v>
      </c>
      <c r="DF201">
        <v>0</v>
      </c>
      <c r="DG201">
        <v>0</v>
      </c>
      <c r="DH201">
        <v>0</v>
      </c>
      <c r="DI201">
        <v>0</v>
      </c>
      <c r="DJ201">
        <v>0</v>
      </c>
      <c r="DK201">
        <v>0</v>
      </c>
      <c r="DL201">
        <v>0</v>
      </c>
      <c r="DM201">
        <v>0</v>
      </c>
      <c r="DN201">
        <v>0</v>
      </c>
      <c r="DO201">
        <v>0</v>
      </c>
      <c r="DP201">
        <v>0</v>
      </c>
      <c r="DQ201">
        <v>37.5</v>
      </c>
    </row>
    <row r="202" spans="1:121" x14ac:dyDescent="0.2">
      <c r="A202" s="14">
        <v>37.75</v>
      </c>
      <c r="B202" s="684">
        <f t="shared" si="55"/>
        <v>9.5881085413576387E-9</v>
      </c>
      <c r="C202" s="684">
        <f t="shared" si="56"/>
        <v>9.5881085413576371E-9</v>
      </c>
      <c r="D202" s="684">
        <f t="shared" si="63"/>
        <v>2.3970271353394093E-9</v>
      </c>
      <c r="E202" s="684">
        <f t="shared" si="57"/>
        <v>1.3106723891663343E-3</v>
      </c>
      <c r="F202" s="684">
        <f t="shared" si="58"/>
        <v>0</v>
      </c>
      <c r="G202" s="684">
        <f t="shared" si="64"/>
        <v>0</v>
      </c>
      <c r="H202" s="684">
        <f t="shared" si="65"/>
        <v>0</v>
      </c>
      <c r="I202" s="1052">
        <f>HLOOKUP('Input &amp; Summary'!$B$6,TurbineProfiles,ROW(I202)-49,0)</f>
        <v>0</v>
      </c>
      <c r="J202" s="684">
        <f t="shared" si="59"/>
        <v>0</v>
      </c>
      <c r="K202" s="9">
        <f t="shared" si="60"/>
        <v>0</v>
      </c>
      <c r="L202" s="14">
        <f t="shared" si="61"/>
        <v>108418.36366094743</v>
      </c>
      <c r="M202" s="684">
        <f t="shared" si="62"/>
        <v>18813.648953575153</v>
      </c>
      <c r="N202" s="684">
        <f t="shared" si="66"/>
        <v>2117.4921141893815</v>
      </c>
      <c r="O202" s="684">
        <f t="shared" si="67"/>
        <v>0.99999999018538477</v>
      </c>
      <c r="P202" s="684">
        <f t="shared" si="68"/>
        <v>0</v>
      </c>
      <c r="Q202" s="684">
        <f t="shared" si="72"/>
        <v>2.7049705808579461E-9</v>
      </c>
      <c r="R202" s="684">
        <f t="shared" si="73"/>
        <v>2.4025031963859078E-9</v>
      </c>
      <c r="S202" s="684">
        <f t="shared" si="69"/>
        <v>0</v>
      </c>
      <c r="T202" s="684">
        <f t="shared" si="70"/>
        <v>0</v>
      </c>
      <c r="U202" s="14">
        <f t="shared" si="71"/>
        <v>0</v>
      </c>
      <c r="V202">
        <v>0</v>
      </c>
      <c r="W202">
        <v>0</v>
      </c>
      <c r="X202">
        <v>0</v>
      </c>
      <c r="Y202">
        <v>0</v>
      </c>
      <c r="Z202">
        <v>0</v>
      </c>
      <c r="AA202">
        <v>0</v>
      </c>
      <c r="AB202">
        <v>0</v>
      </c>
      <c r="AC202">
        <v>0</v>
      </c>
      <c r="AD202">
        <v>0</v>
      </c>
      <c r="AE202" s="143">
        <v>0</v>
      </c>
      <c r="AF202" s="143">
        <v>0</v>
      </c>
      <c r="AG202" s="143">
        <v>0</v>
      </c>
      <c r="AH202" s="143">
        <v>0</v>
      </c>
      <c r="AI202" s="995">
        <v>0</v>
      </c>
      <c r="AJ202" s="143">
        <v>0</v>
      </c>
      <c r="AK202" s="143">
        <v>0</v>
      </c>
      <c r="AL202" s="143">
        <v>0</v>
      </c>
      <c r="AM202" s="143">
        <v>0</v>
      </c>
      <c r="AN202" s="143">
        <v>0</v>
      </c>
      <c r="AO202" s="143">
        <v>0</v>
      </c>
      <c r="AP202" s="143">
        <v>0</v>
      </c>
      <c r="AQ202" s="143">
        <v>0</v>
      </c>
      <c r="AR202" s="143">
        <v>0</v>
      </c>
      <c r="AS202" s="143">
        <v>0</v>
      </c>
      <c r="AT202" s="143">
        <v>0</v>
      </c>
      <c r="AU202" s="143">
        <v>0</v>
      </c>
      <c r="AV202" s="143">
        <v>0</v>
      </c>
      <c r="AW202" s="143">
        <v>0</v>
      </c>
      <c r="AX202" s="143">
        <v>0</v>
      </c>
      <c r="AY202" s="143">
        <v>0</v>
      </c>
      <c r="AZ202" s="143">
        <v>0</v>
      </c>
      <c r="BA202" s="143">
        <v>0</v>
      </c>
      <c r="BB202" s="143">
        <v>0</v>
      </c>
      <c r="BC202" s="143">
        <v>0</v>
      </c>
      <c r="BD202" s="143">
        <v>0</v>
      </c>
      <c r="BE202" s="143">
        <v>0</v>
      </c>
      <c r="BF202" s="143">
        <v>0</v>
      </c>
      <c r="BG202" s="143">
        <v>0</v>
      </c>
      <c r="BH202" s="143">
        <v>0</v>
      </c>
      <c r="BI202" s="143">
        <v>0</v>
      </c>
      <c r="BJ202" s="995">
        <v>0</v>
      </c>
      <c r="BK202" s="143">
        <v>0</v>
      </c>
      <c r="BL202" s="143">
        <v>0</v>
      </c>
      <c r="BM202" s="143">
        <v>0</v>
      </c>
      <c r="BN202" s="143">
        <v>0</v>
      </c>
      <c r="BO202" s="143">
        <v>0</v>
      </c>
      <c r="BP202" s="143">
        <v>0</v>
      </c>
      <c r="BQ202" s="143">
        <v>0</v>
      </c>
      <c r="BR202" s="143">
        <v>0</v>
      </c>
      <c r="BS202" s="143">
        <v>0</v>
      </c>
      <c r="BT202" s="143">
        <v>0</v>
      </c>
      <c r="BU202" s="143">
        <v>0</v>
      </c>
      <c r="BV202" s="143">
        <v>0</v>
      </c>
      <c r="BW202" s="143">
        <v>0</v>
      </c>
      <c r="BX202" s="143">
        <v>0</v>
      </c>
      <c r="BY202" s="143">
        <v>0</v>
      </c>
      <c r="BZ202" s="995">
        <v>0</v>
      </c>
      <c r="CA202" s="143">
        <v>0</v>
      </c>
      <c r="CB202" s="143">
        <v>0</v>
      </c>
      <c r="CC202" s="143">
        <v>0</v>
      </c>
      <c r="CD202" s="143">
        <v>0</v>
      </c>
      <c r="CE202" s="143">
        <v>0</v>
      </c>
      <c r="CF202" s="143">
        <v>0</v>
      </c>
      <c r="CG202" s="143">
        <v>0</v>
      </c>
      <c r="CH202" s="143">
        <v>0</v>
      </c>
      <c r="CI202" s="143">
        <v>0</v>
      </c>
      <c r="CJ202" s="143">
        <v>0</v>
      </c>
      <c r="CK202" s="143">
        <v>0</v>
      </c>
      <c r="CL202" s="143">
        <v>0</v>
      </c>
      <c r="CM202" s="143">
        <v>0</v>
      </c>
      <c r="CN202" s="143">
        <v>0</v>
      </c>
      <c r="CO202" s="143">
        <v>0</v>
      </c>
      <c r="CP202" s="143">
        <v>0</v>
      </c>
      <c r="CQ202" s="143">
        <v>0</v>
      </c>
      <c r="CR202" s="143">
        <v>0</v>
      </c>
      <c r="CS202" s="143">
        <v>0</v>
      </c>
      <c r="CT202" s="143">
        <v>0</v>
      </c>
      <c r="CU202" s="143">
        <v>0</v>
      </c>
      <c r="CV202" s="143">
        <v>0</v>
      </c>
      <c r="CW202" s="14">
        <v>0</v>
      </c>
      <c r="CX202" s="14">
        <v>0</v>
      </c>
      <c r="CY202" s="14">
        <v>0</v>
      </c>
      <c r="CZ202" s="995">
        <v>0</v>
      </c>
      <c r="DA202" s="995">
        <v>0</v>
      </c>
      <c r="DB202" s="995">
        <v>0</v>
      </c>
      <c r="DC202">
        <v>0</v>
      </c>
      <c r="DD202">
        <v>0</v>
      </c>
      <c r="DE202">
        <v>0</v>
      </c>
      <c r="DF202">
        <v>0</v>
      </c>
      <c r="DG202">
        <v>0</v>
      </c>
      <c r="DH202">
        <v>0</v>
      </c>
      <c r="DI202">
        <v>0</v>
      </c>
      <c r="DJ202">
        <v>0</v>
      </c>
      <c r="DK202">
        <v>0</v>
      </c>
      <c r="DL202">
        <v>0</v>
      </c>
      <c r="DM202">
        <v>0</v>
      </c>
      <c r="DN202">
        <v>0</v>
      </c>
      <c r="DO202">
        <v>0</v>
      </c>
      <c r="DP202">
        <v>0</v>
      </c>
      <c r="DQ202">
        <v>37.75</v>
      </c>
    </row>
    <row r="203" spans="1:121" x14ac:dyDescent="0.2">
      <c r="A203" s="14">
        <v>38</v>
      </c>
      <c r="B203" s="684">
        <f t="shared" si="55"/>
        <v>7.5540605320741239E-9</v>
      </c>
      <c r="C203" s="684">
        <f t="shared" si="56"/>
        <v>7.5540605320741487E-9</v>
      </c>
      <c r="D203" s="684">
        <f t="shared" si="63"/>
        <v>1.8885151330185372E-9</v>
      </c>
      <c r="E203" s="684">
        <f t="shared" si="57"/>
        <v>1.0532745519424226E-3</v>
      </c>
      <c r="F203" s="684">
        <f t="shared" si="58"/>
        <v>0</v>
      </c>
      <c r="G203" s="684">
        <f t="shared" si="64"/>
        <v>0</v>
      </c>
      <c r="H203" s="684">
        <f t="shared" si="65"/>
        <v>0</v>
      </c>
      <c r="I203" s="1052">
        <f>HLOOKUP('Input &amp; Summary'!$B$6,TurbineProfiles,ROW(I203)-49,0)</f>
        <v>0</v>
      </c>
      <c r="J203" s="684">
        <f t="shared" si="59"/>
        <v>0</v>
      </c>
      <c r="K203" s="9">
        <f t="shared" si="60"/>
        <v>0</v>
      </c>
      <c r="L203" s="14">
        <f t="shared" si="61"/>
        <v>110586.66732446222</v>
      </c>
      <c r="M203" s="684">
        <f t="shared" si="62"/>
        <v>18964.984403166585</v>
      </c>
      <c r="N203" s="684">
        <f t="shared" si="66"/>
        <v>2117.4921141893815</v>
      </c>
      <c r="O203" s="684">
        <f t="shared" si="67"/>
        <v>0.99999999231835635</v>
      </c>
      <c r="P203" s="684">
        <f t="shared" si="68"/>
        <v>0</v>
      </c>
      <c r="Q203" s="684">
        <f t="shared" si="72"/>
        <v>2.132971577140097E-9</v>
      </c>
      <c r="R203" s="684">
        <f t="shared" si="73"/>
        <v>1.8928920653138448E-9</v>
      </c>
      <c r="S203" s="684">
        <f t="shared" si="69"/>
        <v>0</v>
      </c>
      <c r="T203" s="684">
        <f t="shared" si="70"/>
        <v>0</v>
      </c>
      <c r="U203" s="14">
        <f t="shared" si="71"/>
        <v>0</v>
      </c>
      <c r="V203">
        <v>0</v>
      </c>
      <c r="W203">
        <v>0</v>
      </c>
      <c r="X203">
        <v>0</v>
      </c>
      <c r="Y203">
        <v>0</v>
      </c>
      <c r="Z203">
        <v>0</v>
      </c>
      <c r="AA203">
        <v>0</v>
      </c>
      <c r="AB203">
        <v>0</v>
      </c>
      <c r="AC203">
        <v>0</v>
      </c>
      <c r="AD203">
        <v>0</v>
      </c>
      <c r="AE203" s="143">
        <v>0</v>
      </c>
      <c r="AF203" s="143">
        <v>0</v>
      </c>
      <c r="AG203" s="143">
        <v>0</v>
      </c>
      <c r="AH203" s="143">
        <v>0</v>
      </c>
      <c r="AI203" s="995">
        <v>0</v>
      </c>
      <c r="AJ203" s="143">
        <v>0</v>
      </c>
      <c r="AK203" s="143">
        <v>0</v>
      </c>
      <c r="AL203" s="143">
        <v>0</v>
      </c>
      <c r="AM203" s="143">
        <v>0</v>
      </c>
      <c r="AN203" s="143">
        <v>0</v>
      </c>
      <c r="AO203" s="143">
        <v>0</v>
      </c>
      <c r="AP203" s="143">
        <v>0</v>
      </c>
      <c r="AQ203" s="143">
        <v>0</v>
      </c>
      <c r="AR203" s="143">
        <v>0</v>
      </c>
      <c r="AS203" s="143">
        <v>0</v>
      </c>
      <c r="AT203" s="143">
        <v>0</v>
      </c>
      <c r="AU203" s="143">
        <v>0</v>
      </c>
      <c r="AV203" s="143">
        <v>0</v>
      </c>
      <c r="AW203" s="143">
        <v>0</v>
      </c>
      <c r="AX203" s="143">
        <v>0</v>
      </c>
      <c r="AY203" s="143">
        <v>0</v>
      </c>
      <c r="AZ203" s="143">
        <v>0</v>
      </c>
      <c r="BA203" s="143">
        <v>0</v>
      </c>
      <c r="BB203" s="143">
        <v>0</v>
      </c>
      <c r="BC203" s="143">
        <v>0</v>
      </c>
      <c r="BD203" s="143">
        <v>0</v>
      </c>
      <c r="BE203" s="143">
        <v>0</v>
      </c>
      <c r="BF203" s="143">
        <v>0</v>
      </c>
      <c r="BG203" s="143">
        <v>0</v>
      </c>
      <c r="BH203" s="143">
        <v>0</v>
      </c>
      <c r="BI203" s="143">
        <v>0</v>
      </c>
      <c r="BJ203" s="995">
        <v>0</v>
      </c>
      <c r="BK203" s="143">
        <v>0</v>
      </c>
      <c r="BL203" s="143">
        <v>0</v>
      </c>
      <c r="BM203" s="143">
        <v>0</v>
      </c>
      <c r="BN203" s="143">
        <v>0</v>
      </c>
      <c r="BO203" s="143">
        <v>0</v>
      </c>
      <c r="BP203" s="143">
        <v>0</v>
      </c>
      <c r="BQ203" s="143">
        <v>0</v>
      </c>
      <c r="BR203" s="143">
        <v>0</v>
      </c>
      <c r="BS203" s="143">
        <v>0</v>
      </c>
      <c r="BT203" s="143">
        <v>0</v>
      </c>
      <c r="BU203" s="143">
        <v>0</v>
      </c>
      <c r="BV203" s="143">
        <v>0</v>
      </c>
      <c r="BW203" s="143">
        <v>0</v>
      </c>
      <c r="BX203" s="143">
        <v>0</v>
      </c>
      <c r="BY203" s="143">
        <v>0</v>
      </c>
      <c r="BZ203" s="995">
        <v>0</v>
      </c>
      <c r="CA203" s="143">
        <v>0</v>
      </c>
      <c r="CB203" s="143">
        <v>0</v>
      </c>
      <c r="CC203" s="143">
        <v>0</v>
      </c>
      <c r="CD203" s="143">
        <v>0</v>
      </c>
      <c r="CE203" s="143">
        <v>0</v>
      </c>
      <c r="CF203" s="143">
        <v>0</v>
      </c>
      <c r="CG203" s="143">
        <v>0</v>
      </c>
      <c r="CH203" s="143">
        <v>0</v>
      </c>
      <c r="CI203" s="143">
        <v>0</v>
      </c>
      <c r="CJ203" s="143">
        <v>0</v>
      </c>
      <c r="CK203" s="143">
        <v>0</v>
      </c>
      <c r="CL203" s="143">
        <v>0</v>
      </c>
      <c r="CM203" s="143">
        <v>0</v>
      </c>
      <c r="CN203" s="143">
        <v>0</v>
      </c>
      <c r="CO203" s="143">
        <v>0</v>
      </c>
      <c r="CP203" s="143">
        <v>0</v>
      </c>
      <c r="CQ203" s="143">
        <v>0</v>
      </c>
      <c r="CR203" s="143">
        <v>0</v>
      </c>
      <c r="CS203" s="143">
        <v>0</v>
      </c>
      <c r="CT203" s="143">
        <v>0</v>
      </c>
      <c r="CU203" s="143">
        <v>0</v>
      </c>
      <c r="CV203" s="143">
        <v>0</v>
      </c>
      <c r="CW203" s="14">
        <v>0</v>
      </c>
      <c r="CX203" s="14">
        <v>0</v>
      </c>
      <c r="CY203" s="14">
        <v>0</v>
      </c>
      <c r="CZ203" s="995">
        <v>0</v>
      </c>
      <c r="DA203" s="995">
        <v>0</v>
      </c>
      <c r="DB203" s="995">
        <v>0</v>
      </c>
      <c r="DC203">
        <v>0</v>
      </c>
      <c r="DD203">
        <v>0</v>
      </c>
      <c r="DE203">
        <v>0</v>
      </c>
      <c r="DF203">
        <v>0</v>
      </c>
      <c r="DG203">
        <v>0</v>
      </c>
      <c r="DH203">
        <v>0</v>
      </c>
      <c r="DI203">
        <v>0</v>
      </c>
      <c r="DJ203">
        <v>0</v>
      </c>
      <c r="DK203">
        <v>0</v>
      </c>
      <c r="DL203">
        <v>0</v>
      </c>
      <c r="DM203">
        <v>0</v>
      </c>
      <c r="DN203">
        <v>0</v>
      </c>
      <c r="DO203">
        <v>0</v>
      </c>
      <c r="DP203">
        <v>0</v>
      </c>
      <c r="DQ203">
        <v>38</v>
      </c>
    </row>
    <row r="204" spans="1:121" x14ac:dyDescent="0.2">
      <c r="A204" s="14">
        <v>38.25</v>
      </c>
      <c r="B204" s="684">
        <f t="shared" si="55"/>
        <v>5.9416456162750208E-9</v>
      </c>
      <c r="C204" s="684">
        <f t="shared" si="56"/>
        <v>5.94164561627502E-9</v>
      </c>
      <c r="D204" s="684">
        <f t="shared" si="63"/>
        <v>1.485411404068755E-9</v>
      </c>
      <c r="E204" s="684">
        <f t="shared" si="57"/>
        <v>8.4491185656022331E-4</v>
      </c>
      <c r="F204" s="684">
        <f t="shared" si="58"/>
        <v>0</v>
      </c>
      <c r="G204" s="684">
        <f t="shared" si="64"/>
        <v>0</v>
      </c>
      <c r="H204" s="684">
        <f t="shared" si="65"/>
        <v>0</v>
      </c>
      <c r="I204" s="1052">
        <f>HLOOKUP('Input &amp; Summary'!$B$6,TurbineProfiles,ROW(I204)-49,0)</f>
        <v>0</v>
      </c>
      <c r="J204" s="684">
        <f t="shared" si="59"/>
        <v>0</v>
      </c>
      <c r="K204" s="9">
        <f t="shared" si="60"/>
        <v>0</v>
      </c>
      <c r="L204" s="14">
        <f t="shared" si="61"/>
        <v>112783.68982471288</v>
      </c>
      <c r="M204" s="684">
        <f t="shared" si="62"/>
        <v>19116.319852758017</v>
      </c>
      <c r="N204" s="684">
        <f t="shared" si="66"/>
        <v>2117.4921141893815</v>
      </c>
      <c r="O204" s="684">
        <f t="shared" si="67"/>
        <v>0.99999999399749406</v>
      </c>
      <c r="P204" s="684">
        <f t="shared" si="68"/>
        <v>0</v>
      </c>
      <c r="Q204" s="684">
        <f t="shared" si="72"/>
        <v>1.6791377177582945E-9</v>
      </c>
      <c r="R204" s="684">
        <f t="shared" si="73"/>
        <v>1.4889034449794281E-9</v>
      </c>
      <c r="S204" s="684">
        <f t="shared" si="69"/>
        <v>0</v>
      </c>
      <c r="T204" s="684">
        <f t="shared" si="70"/>
        <v>0</v>
      </c>
      <c r="U204" s="14">
        <f t="shared" si="71"/>
        <v>0</v>
      </c>
      <c r="V204">
        <v>0</v>
      </c>
      <c r="W204">
        <v>0</v>
      </c>
      <c r="X204">
        <v>0</v>
      </c>
      <c r="Y204">
        <v>0</v>
      </c>
      <c r="Z204">
        <v>0</v>
      </c>
      <c r="AA204">
        <v>0</v>
      </c>
      <c r="AB204">
        <v>0</v>
      </c>
      <c r="AC204">
        <v>0</v>
      </c>
      <c r="AD204">
        <v>0</v>
      </c>
      <c r="AE204" s="143">
        <v>0</v>
      </c>
      <c r="AF204" s="143">
        <v>0</v>
      </c>
      <c r="AG204" s="143">
        <v>0</v>
      </c>
      <c r="AH204" s="143">
        <v>0</v>
      </c>
      <c r="AI204" s="995">
        <v>0</v>
      </c>
      <c r="AJ204" s="143">
        <v>0</v>
      </c>
      <c r="AK204" s="143">
        <v>0</v>
      </c>
      <c r="AL204" s="143">
        <v>0</v>
      </c>
      <c r="AM204" s="143">
        <v>0</v>
      </c>
      <c r="AN204" s="143">
        <v>0</v>
      </c>
      <c r="AO204" s="143">
        <v>0</v>
      </c>
      <c r="AP204" s="143">
        <v>0</v>
      </c>
      <c r="AQ204" s="143">
        <v>0</v>
      </c>
      <c r="AR204" s="143">
        <v>0</v>
      </c>
      <c r="AS204" s="143">
        <v>0</v>
      </c>
      <c r="AT204" s="143">
        <v>0</v>
      </c>
      <c r="AU204" s="143">
        <v>0</v>
      </c>
      <c r="AV204" s="143">
        <v>0</v>
      </c>
      <c r="AW204" s="143">
        <v>0</v>
      </c>
      <c r="AX204" s="143">
        <v>0</v>
      </c>
      <c r="AY204" s="143">
        <v>0</v>
      </c>
      <c r="AZ204" s="143">
        <v>0</v>
      </c>
      <c r="BA204" s="143">
        <v>0</v>
      </c>
      <c r="BB204" s="143">
        <v>0</v>
      </c>
      <c r="BC204" s="143">
        <v>0</v>
      </c>
      <c r="BD204" s="143">
        <v>0</v>
      </c>
      <c r="BE204" s="143">
        <v>0</v>
      </c>
      <c r="BF204" s="143">
        <v>0</v>
      </c>
      <c r="BG204" s="143">
        <v>0</v>
      </c>
      <c r="BH204" s="143">
        <v>0</v>
      </c>
      <c r="BI204" s="143">
        <v>0</v>
      </c>
      <c r="BJ204" s="995">
        <v>0</v>
      </c>
      <c r="BK204" s="143">
        <v>0</v>
      </c>
      <c r="BL204" s="143">
        <v>0</v>
      </c>
      <c r="BM204" s="143">
        <v>0</v>
      </c>
      <c r="BN204" s="143">
        <v>0</v>
      </c>
      <c r="BO204" s="143">
        <v>0</v>
      </c>
      <c r="BP204" s="143">
        <v>0</v>
      </c>
      <c r="BQ204" s="143">
        <v>0</v>
      </c>
      <c r="BR204" s="143">
        <v>0</v>
      </c>
      <c r="BS204" s="143">
        <v>0</v>
      </c>
      <c r="BT204" s="143">
        <v>0</v>
      </c>
      <c r="BU204" s="143">
        <v>0</v>
      </c>
      <c r="BV204" s="143">
        <v>0</v>
      </c>
      <c r="BW204" s="143">
        <v>0</v>
      </c>
      <c r="BX204" s="143">
        <v>0</v>
      </c>
      <c r="BY204" s="143">
        <v>0</v>
      </c>
      <c r="BZ204" s="995">
        <v>0</v>
      </c>
      <c r="CA204" s="143">
        <v>0</v>
      </c>
      <c r="CB204" s="143">
        <v>0</v>
      </c>
      <c r="CC204" s="143">
        <v>0</v>
      </c>
      <c r="CD204" s="143">
        <v>0</v>
      </c>
      <c r="CE204" s="143">
        <v>0</v>
      </c>
      <c r="CF204" s="143">
        <v>0</v>
      </c>
      <c r="CG204" s="143">
        <v>0</v>
      </c>
      <c r="CH204" s="143">
        <v>0</v>
      </c>
      <c r="CI204" s="143">
        <v>0</v>
      </c>
      <c r="CJ204" s="143">
        <v>0</v>
      </c>
      <c r="CK204" s="143">
        <v>0</v>
      </c>
      <c r="CL204" s="143">
        <v>0</v>
      </c>
      <c r="CM204" s="143">
        <v>0</v>
      </c>
      <c r="CN204" s="143">
        <v>0</v>
      </c>
      <c r="CO204" s="143">
        <v>0</v>
      </c>
      <c r="CP204" s="143">
        <v>0</v>
      </c>
      <c r="CQ204" s="143">
        <v>0</v>
      </c>
      <c r="CR204" s="143">
        <v>0</v>
      </c>
      <c r="CS204" s="143">
        <v>0</v>
      </c>
      <c r="CT204" s="143">
        <v>0</v>
      </c>
      <c r="CU204" s="143">
        <v>0</v>
      </c>
      <c r="CV204" s="143">
        <v>0</v>
      </c>
      <c r="CW204" s="14">
        <v>0</v>
      </c>
      <c r="CX204" s="14">
        <v>0</v>
      </c>
      <c r="CY204" s="14">
        <v>0</v>
      </c>
      <c r="CZ204" s="995">
        <v>0</v>
      </c>
      <c r="DA204" s="995">
        <v>0</v>
      </c>
      <c r="DB204" s="995">
        <v>0</v>
      </c>
      <c r="DC204">
        <v>0</v>
      </c>
      <c r="DD204">
        <v>0</v>
      </c>
      <c r="DE204">
        <v>0</v>
      </c>
      <c r="DF204">
        <v>0</v>
      </c>
      <c r="DG204">
        <v>0</v>
      </c>
      <c r="DH204">
        <v>0</v>
      </c>
      <c r="DI204">
        <v>0</v>
      </c>
      <c r="DJ204">
        <v>0</v>
      </c>
      <c r="DK204">
        <v>0</v>
      </c>
      <c r="DL204">
        <v>0</v>
      </c>
      <c r="DM204">
        <v>0</v>
      </c>
      <c r="DN204">
        <v>0</v>
      </c>
      <c r="DO204">
        <v>0</v>
      </c>
      <c r="DP204">
        <v>0</v>
      </c>
      <c r="DQ204">
        <v>38.25</v>
      </c>
    </row>
    <row r="205" spans="1:121" x14ac:dyDescent="0.2">
      <c r="A205" s="14">
        <v>38.5</v>
      </c>
      <c r="B205" s="684">
        <f t="shared" si="55"/>
        <v>4.6656487532060932E-9</v>
      </c>
      <c r="C205" s="684">
        <f t="shared" si="56"/>
        <v>4.6656487532061098E-9</v>
      </c>
      <c r="D205" s="684">
        <f t="shared" si="63"/>
        <v>1.1664121883015274E-9</v>
      </c>
      <c r="E205" s="684">
        <f t="shared" si="57"/>
        <v>6.7655727739369563E-4</v>
      </c>
      <c r="F205" s="684">
        <f t="shared" si="58"/>
        <v>0</v>
      </c>
      <c r="G205" s="684">
        <f t="shared" si="64"/>
        <v>0</v>
      </c>
      <c r="H205" s="684">
        <f t="shared" si="65"/>
        <v>0</v>
      </c>
      <c r="I205" s="1052">
        <f>HLOOKUP('Input &amp; Summary'!$B$6,TurbineProfiles,ROW(I205)-49,0)</f>
        <v>0</v>
      </c>
      <c r="J205" s="684">
        <f t="shared" si="59"/>
        <v>0</v>
      </c>
      <c r="K205" s="9">
        <f t="shared" si="60"/>
        <v>0</v>
      </c>
      <c r="L205" s="14">
        <f t="shared" si="61"/>
        <v>115009.62010141485</v>
      </c>
      <c r="M205" s="684">
        <f t="shared" si="62"/>
        <v>19267.655302349449</v>
      </c>
      <c r="N205" s="684">
        <f t="shared" si="66"/>
        <v>2117.4921141893815</v>
      </c>
      <c r="O205" s="684">
        <f t="shared" si="67"/>
        <v>0.99999999531716777</v>
      </c>
      <c r="P205" s="684">
        <f t="shared" si="68"/>
        <v>0</v>
      </c>
      <c r="Q205" s="684">
        <f t="shared" si="72"/>
        <v>1.3196737036480499E-9</v>
      </c>
      <c r="R205" s="684">
        <f t="shared" si="73"/>
        <v>1.1691934087565414E-9</v>
      </c>
      <c r="S205" s="684">
        <f t="shared" si="69"/>
        <v>0</v>
      </c>
      <c r="T205" s="684">
        <f t="shared" si="70"/>
        <v>0</v>
      </c>
      <c r="U205" s="14">
        <f t="shared" si="71"/>
        <v>0</v>
      </c>
      <c r="V205">
        <v>0</v>
      </c>
      <c r="W205">
        <v>0</v>
      </c>
      <c r="X205">
        <v>0</v>
      </c>
      <c r="Y205">
        <v>0</v>
      </c>
      <c r="Z205">
        <v>0</v>
      </c>
      <c r="AA205">
        <v>0</v>
      </c>
      <c r="AB205">
        <v>0</v>
      </c>
      <c r="AC205">
        <v>0</v>
      </c>
      <c r="AD205">
        <v>0</v>
      </c>
      <c r="AE205" s="143">
        <v>0</v>
      </c>
      <c r="AF205" s="143">
        <v>0</v>
      </c>
      <c r="AG205" s="143">
        <v>0</v>
      </c>
      <c r="AH205" s="143">
        <v>0</v>
      </c>
      <c r="AI205" s="995">
        <v>0</v>
      </c>
      <c r="AJ205" s="143">
        <v>0</v>
      </c>
      <c r="AK205" s="143">
        <v>0</v>
      </c>
      <c r="AL205" s="143">
        <v>0</v>
      </c>
      <c r="AM205" s="143">
        <v>0</v>
      </c>
      <c r="AN205" s="143">
        <v>0</v>
      </c>
      <c r="AO205" s="143">
        <v>0</v>
      </c>
      <c r="AP205" s="143">
        <v>0</v>
      </c>
      <c r="AQ205" s="143">
        <v>0</v>
      </c>
      <c r="AR205" s="143">
        <v>0</v>
      </c>
      <c r="AS205" s="143">
        <v>0</v>
      </c>
      <c r="AT205" s="143">
        <v>0</v>
      </c>
      <c r="AU205" s="143">
        <v>0</v>
      </c>
      <c r="AV205" s="143">
        <v>0</v>
      </c>
      <c r="AW205" s="143">
        <v>0</v>
      </c>
      <c r="AX205" s="143">
        <v>0</v>
      </c>
      <c r="AY205" s="143">
        <v>0</v>
      </c>
      <c r="AZ205" s="143">
        <v>0</v>
      </c>
      <c r="BA205" s="143">
        <v>0</v>
      </c>
      <c r="BB205" s="143">
        <v>0</v>
      </c>
      <c r="BC205" s="143">
        <v>0</v>
      </c>
      <c r="BD205" s="143">
        <v>0</v>
      </c>
      <c r="BE205" s="143">
        <v>0</v>
      </c>
      <c r="BF205" s="143">
        <v>0</v>
      </c>
      <c r="BG205" s="143">
        <v>0</v>
      </c>
      <c r="BH205" s="143">
        <v>0</v>
      </c>
      <c r="BI205" s="143">
        <v>0</v>
      </c>
      <c r="BJ205" s="995">
        <v>0</v>
      </c>
      <c r="BK205" s="143">
        <v>0</v>
      </c>
      <c r="BL205" s="143">
        <v>0</v>
      </c>
      <c r="BM205" s="143">
        <v>0</v>
      </c>
      <c r="BN205" s="143">
        <v>0</v>
      </c>
      <c r="BO205" s="143">
        <v>0</v>
      </c>
      <c r="BP205" s="143">
        <v>0</v>
      </c>
      <c r="BQ205" s="143">
        <v>0</v>
      </c>
      <c r="BR205" s="143">
        <v>0</v>
      </c>
      <c r="BS205" s="143">
        <v>0</v>
      </c>
      <c r="BT205" s="143">
        <v>0</v>
      </c>
      <c r="BU205" s="143">
        <v>0</v>
      </c>
      <c r="BV205" s="143">
        <v>0</v>
      </c>
      <c r="BW205" s="143">
        <v>0</v>
      </c>
      <c r="BX205" s="143">
        <v>0</v>
      </c>
      <c r="BY205" s="143">
        <v>0</v>
      </c>
      <c r="BZ205" s="995">
        <v>0</v>
      </c>
      <c r="CA205" s="143">
        <v>0</v>
      </c>
      <c r="CB205" s="143">
        <v>0</v>
      </c>
      <c r="CC205" s="143">
        <v>0</v>
      </c>
      <c r="CD205" s="143">
        <v>0</v>
      </c>
      <c r="CE205" s="143">
        <v>0</v>
      </c>
      <c r="CF205" s="143">
        <v>0</v>
      </c>
      <c r="CG205" s="143">
        <v>0</v>
      </c>
      <c r="CH205" s="143">
        <v>0</v>
      </c>
      <c r="CI205" s="143">
        <v>0</v>
      </c>
      <c r="CJ205" s="143">
        <v>0</v>
      </c>
      <c r="CK205" s="143">
        <v>0</v>
      </c>
      <c r="CL205" s="143">
        <v>0</v>
      </c>
      <c r="CM205" s="143">
        <v>0</v>
      </c>
      <c r="CN205" s="143">
        <v>0</v>
      </c>
      <c r="CO205" s="143">
        <v>0</v>
      </c>
      <c r="CP205" s="143">
        <v>0</v>
      </c>
      <c r="CQ205" s="143">
        <v>0</v>
      </c>
      <c r="CR205" s="143">
        <v>0</v>
      </c>
      <c r="CS205" s="143">
        <v>0</v>
      </c>
      <c r="CT205" s="143">
        <v>0</v>
      </c>
      <c r="CU205" s="143">
        <v>0</v>
      </c>
      <c r="CV205" s="143">
        <v>0</v>
      </c>
      <c r="CW205" s="14">
        <v>0</v>
      </c>
      <c r="CX205" s="14">
        <v>0</v>
      </c>
      <c r="CY205" s="14">
        <v>0</v>
      </c>
      <c r="CZ205" s="995">
        <v>0</v>
      </c>
      <c r="DA205" s="995">
        <v>0</v>
      </c>
      <c r="DB205" s="995">
        <v>0</v>
      </c>
      <c r="DC205">
        <v>0</v>
      </c>
      <c r="DD205">
        <v>0</v>
      </c>
      <c r="DE205">
        <v>0</v>
      </c>
      <c r="DF205">
        <v>0</v>
      </c>
      <c r="DG205">
        <v>0</v>
      </c>
      <c r="DH205">
        <v>0</v>
      </c>
      <c r="DI205">
        <v>0</v>
      </c>
      <c r="DJ205">
        <v>0</v>
      </c>
      <c r="DK205">
        <v>0</v>
      </c>
      <c r="DL205">
        <v>0</v>
      </c>
      <c r="DM205">
        <v>0</v>
      </c>
      <c r="DN205">
        <v>0</v>
      </c>
      <c r="DO205">
        <v>0</v>
      </c>
      <c r="DP205">
        <v>0</v>
      </c>
      <c r="DQ205">
        <v>38.5</v>
      </c>
    </row>
    <row r="206" spans="1:121" x14ac:dyDescent="0.2">
      <c r="A206" s="14">
        <v>38.75</v>
      </c>
      <c r="B206" s="684">
        <f t="shared" si="55"/>
        <v>3.6576031823790748E-9</v>
      </c>
      <c r="C206" s="684">
        <f t="shared" si="56"/>
        <v>3.6576031823790479E-9</v>
      </c>
      <c r="D206" s="684">
        <f t="shared" si="63"/>
        <v>9.1440079559476198E-10</v>
      </c>
      <c r="E206" s="684">
        <f t="shared" si="57"/>
        <v>5.4078177638153832E-4</v>
      </c>
      <c r="F206" s="684">
        <f t="shared" si="58"/>
        <v>0</v>
      </c>
      <c r="G206" s="684">
        <f t="shared" si="64"/>
        <v>0</v>
      </c>
      <c r="H206" s="684">
        <f t="shared" si="65"/>
        <v>0</v>
      </c>
      <c r="I206" s="1052">
        <f>HLOOKUP('Input &amp; Summary'!$B$6,TurbineProfiles,ROW(I206)-49,0)</f>
        <v>0</v>
      </c>
      <c r="J206" s="684">
        <f t="shared" si="59"/>
        <v>0</v>
      </c>
      <c r="K206" s="9">
        <f t="shared" si="60"/>
        <v>0</v>
      </c>
      <c r="L206" s="14">
        <f t="shared" si="61"/>
        <v>117264.64709428354</v>
      </c>
      <c r="M206" s="684">
        <f t="shared" si="62"/>
        <v>19418.990751940881</v>
      </c>
      <c r="N206" s="684">
        <f t="shared" si="66"/>
        <v>2117.4921141893815</v>
      </c>
      <c r="O206" s="684">
        <f t="shared" si="67"/>
        <v>0.99999999635261028</v>
      </c>
      <c r="P206" s="684">
        <f t="shared" si="68"/>
        <v>0</v>
      </c>
      <c r="Q206" s="684">
        <f t="shared" si="72"/>
        <v>1.0354425095115971E-9</v>
      </c>
      <c r="R206" s="684">
        <f t="shared" si="73"/>
        <v>9.1661189749459027E-10</v>
      </c>
      <c r="S206" s="684">
        <f t="shared" si="69"/>
        <v>0</v>
      </c>
      <c r="T206" s="684">
        <f t="shared" si="70"/>
        <v>0</v>
      </c>
      <c r="U206" s="14">
        <f t="shared" si="71"/>
        <v>0</v>
      </c>
      <c r="V206">
        <v>0</v>
      </c>
      <c r="W206">
        <v>0</v>
      </c>
      <c r="X206">
        <v>0</v>
      </c>
      <c r="Y206">
        <v>0</v>
      </c>
      <c r="Z206">
        <v>0</v>
      </c>
      <c r="AA206">
        <v>0</v>
      </c>
      <c r="AB206">
        <v>0</v>
      </c>
      <c r="AC206">
        <v>0</v>
      </c>
      <c r="AD206">
        <v>0</v>
      </c>
      <c r="AE206" s="143">
        <v>0</v>
      </c>
      <c r="AF206" s="143">
        <v>0</v>
      </c>
      <c r="AG206" s="143">
        <v>0</v>
      </c>
      <c r="AH206" s="143">
        <v>0</v>
      </c>
      <c r="AI206" s="995">
        <v>0</v>
      </c>
      <c r="AJ206" s="143">
        <v>0</v>
      </c>
      <c r="AK206" s="143">
        <v>0</v>
      </c>
      <c r="AL206" s="143">
        <v>0</v>
      </c>
      <c r="AM206" s="143">
        <v>0</v>
      </c>
      <c r="AN206" s="143">
        <v>0</v>
      </c>
      <c r="AO206" s="143">
        <v>0</v>
      </c>
      <c r="AP206" s="143">
        <v>0</v>
      </c>
      <c r="AQ206" s="143">
        <v>0</v>
      </c>
      <c r="AR206" s="143">
        <v>0</v>
      </c>
      <c r="AS206" s="143">
        <v>0</v>
      </c>
      <c r="AT206" s="143">
        <v>0</v>
      </c>
      <c r="AU206" s="143">
        <v>0</v>
      </c>
      <c r="AV206" s="143">
        <v>0</v>
      </c>
      <c r="AW206" s="143">
        <v>0</v>
      </c>
      <c r="AX206" s="143">
        <v>0</v>
      </c>
      <c r="AY206" s="143">
        <v>0</v>
      </c>
      <c r="AZ206" s="143">
        <v>0</v>
      </c>
      <c r="BA206" s="143">
        <v>0</v>
      </c>
      <c r="BB206" s="143">
        <v>0</v>
      </c>
      <c r="BC206" s="143">
        <v>0</v>
      </c>
      <c r="BD206" s="143">
        <v>0</v>
      </c>
      <c r="BE206" s="143">
        <v>0</v>
      </c>
      <c r="BF206" s="143">
        <v>0</v>
      </c>
      <c r="BG206" s="143">
        <v>0</v>
      </c>
      <c r="BH206" s="143">
        <v>0</v>
      </c>
      <c r="BI206" s="143">
        <v>0</v>
      </c>
      <c r="BJ206" s="995">
        <v>0</v>
      </c>
      <c r="BK206" s="143">
        <v>0</v>
      </c>
      <c r="BL206" s="143">
        <v>0</v>
      </c>
      <c r="BM206" s="143">
        <v>0</v>
      </c>
      <c r="BN206" s="143">
        <v>0</v>
      </c>
      <c r="BO206" s="143">
        <v>0</v>
      </c>
      <c r="BP206" s="143">
        <v>0</v>
      </c>
      <c r="BQ206" s="143">
        <v>0</v>
      </c>
      <c r="BR206" s="143">
        <v>0</v>
      </c>
      <c r="BS206" s="143">
        <v>0</v>
      </c>
      <c r="BT206" s="143">
        <v>0</v>
      </c>
      <c r="BU206" s="143">
        <v>0</v>
      </c>
      <c r="BV206" s="143">
        <v>0</v>
      </c>
      <c r="BW206" s="143">
        <v>0</v>
      </c>
      <c r="BX206" s="143">
        <v>0</v>
      </c>
      <c r="BY206" s="143">
        <v>0</v>
      </c>
      <c r="BZ206" s="995">
        <v>0</v>
      </c>
      <c r="CA206" s="143">
        <v>0</v>
      </c>
      <c r="CB206" s="143">
        <v>0</v>
      </c>
      <c r="CC206" s="143">
        <v>0</v>
      </c>
      <c r="CD206" s="143">
        <v>0</v>
      </c>
      <c r="CE206" s="143">
        <v>0</v>
      </c>
      <c r="CF206" s="143">
        <v>0</v>
      </c>
      <c r="CG206" s="143">
        <v>0</v>
      </c>
      <c r="CH206" s="143">
        <v>0</v>
      </c>
      <c r="CI206" s="143">
        <v>0</v>
      </c>
      <c r="CJ206" s="143">
        <v>0</v>
      </c>
      <c r="CK206" s="143">
        <v>0</v>
      </c>
      <c r="CL206" s="143">
        <v>0</v>
      </c>
      <c r="CM206" s="143">
        <v>0</v>
      </c>
      <c r="CN206" s="143">
        <v>0</v>
      </c>
      <c r="CO206" s="143">
        <v>0</v>
      </c>
      <c r="CP206" s="143">
        <v>0</v>
      </c>
      <c r="CQ206" s="143">
        <v>0</v>
      </c>
      <c r="CR206" s="143">
        <v>0</v>
      </c>
      <c r="CS206" s="143">
        <v>0</v>
      </c>
      <c r="CT206" s="143">
        <v>0</v>
      </c>
      <c r="CU206" s="143">
        <v>0</v>
      </c>
      <c r="CV206" s="143">
        <v>0</v>
      </c>
      <c r="CW206" s="14">
        <v>0</v>
      </c>
      <c r="CX206" s="14">
        <v>0</v>
      </c>
      <c r="CY206" s="14">
        <v>0</v>
      </c>
      <c r="CZ206" s="995">
        <v>0</v>
      </c>
      <c r="DA206" s="995">
        <v>0</v>
      </c>
      <c r="DB206" s="995">
        <v>0</v>
      </c>
      <c r="DC206">
        <v>0</v>
      </c>
      <c r="DD206">
        <v>0</v>
      </c>
      <c r="DE206">
        <v>0</v>
      </c>
      <c r="DF206">
        <v>0</v>
      </c>
      <c r="DG206">
        <v>0</v>
      </c>
      <c r="DH206">
        <v>0</v>
      </c>
      <c r="DI206">
        <v>0</v>
      </c>
      <c r="DJ206">
        <v>0</v>
      </c>
      <c r="DK206">
        <v>0</v>
      </c>
      <c r="DL206">
        <v>0</v>
      </c>
      <c r="DM206">
        <v>0</v>
      </c>
      <c r="DN206">
        <v>0</v>
      </c>
      <c r="DO206">
        <v>0</v>
      </c>
      <c r="DP206">
        <v>0</v>
      </c>
      <c r="DQ206">
        <v>38.75</v>
      </c>
    </row>
    <row r="207" spans="1:121" x14ac:dyDescent="0.2">
      <c r="A207" s="14">
        <v>39</v>
      </c>
      <c r="B207" s="684">
        <f t="shared" si="55"/>
        <v>2.8625996848378231E-9</v>
      </c>
      <c r="C207" s="684">
        <f t="shared" si="56"/>
        <v>2.8625996848378128E-9</v>
      </c>
      <c r="D207" s="684">
        <f t="shared" si="63"/>
        <v>7.156499212094532E-10</v>
      </c>
      <c r="E207" s="684">
        <f t="shared" si="57"/>
        <v>4.314840844546549E-4</v>
      </c>
      <c r="F207" s="684">
        <f t="shared" si="58"/>
        <v>0</v>
      </c>
      <c r="G207" s="684">
        <f t="shared" si="64"/>
        <v>0</v>
      </c>
      <c r="H207" s="684">
        <f t="shared" si="65"/>
        <v>0</v>
      </c>
      <c r="I207" s="1052">
        <f>HLOOKUP('Input &amp; Summary'!$B$6,TurbineProfiles,ROW(I207)-49,0)</f>
        <v>0</v>
      </c>
      <c r="J207" s="684">
        <f t="shared" si="59"/>
        <v>0</v>
      </c>
      <c r="K207" s="9">
        <f t="shared" si="60"/>
        <v>0</v>
      </c>
      <c r="L207" s="14">
        <f t="shared" si="61"/>
        <v>119548.95974303424</v>
      </c>
      <c r="M207" s="684">
        <f t="shared" si="62"/>
        <v>19570.326201532313</v>
      </c>
      <c r="N207" s="684">
        <f t="shared" si="66"/>
        <v>2117.4921141893815</v>
      </c>
      <c r="O207" s="684">
        <f t="shared" si="67"/>
        <v>0.99999999716369259</v>
      </c>
      <c r="P207" s="684">
        <f t="shared" si="68"/>
        <v>0</v>
      </c>
      <c r="Q207" s="684">
        <f t="shared" si="72"/>
        <v>8.1108231242410511E-10</v>
      </c>
      <c r="R207" s="684">
        <f t="shared" si="73"/>
        <v>7.1740480223070335E-10</v>
      </c>
      <c r="S207" s="684">
        <f t="shared" si="69"/>
        <v>0</v>
      </c>
      <c r="T207" s="684">
        <f t="shared" si="70"/>
        <v>0</v>
      </c>
      <c r="U207" s="14">
        <f t="shared" si="71"/>
        <v>0</v>
      </c>
      <c r="V207">
        <v>0</v>
      </c>
      <c r="W207">
        <v>0</v>
      </c>
      <c r="X207">
        <v>0</v>
      </c>
      <c r="Y207">
        <v>0</v>
      </c>
      <c r="Z207">
        <v>0</v>
      </c>
      <c r="AA207">
        <v>0</v>
      </c>
      <c r="AB207">
        <v>0</v>
      </c>
      <c r="AC207">
        <v>0</v>
      </c>
      <c r="AD207">
        <v>0</v>
      </c>
      <c r="AE207" s="143">
        <v>0</v>
      </c>
      <c r="AF207" s="143">
        <v>0</v>
      </c>
      <c r="AG207" s="143">
        <v>0</v>
      </c>
      <c r="AH207" s="143">
        <v>0</v>
      </c>
      <c r="AI207" s="995">
        <v>0</v>
      </c>
      <c r="AJ207" s="143">
        <v>0</v>
      </c>
      <c r="AK207" s="143">
        <v>0</v>
      </c>
      <c r="AL207" s="143">
        <v>0</v>
      </c>
      <c r="AM207" s="143">
        <v>0</v>
      </c>
      <c r="AN207" s="143">
        <v>0</v>
      </c>
      <c r="AO207" s="143">
        <v>0</v>
      </c>
      <c r="AP207" s="143">
        <v>0</v>
      </c>
      <c r="AQ207" s="143">
        <v>0</v>
      </c>
      <c r="AR207" s="143">
        <v>0</v>
      </c>
      <c r="AS207" s="143">
        <v>0</v>
      </c>
      <c r="AT207" s="143">
        <v>0</v>
      </c>
      <c r="AU207" s="143">
        <v>0</v>
      </c>
      <c r="AV207" s="143">
        <v>0</v>
      </c>
      <c r="AW207" s="143">
        <v>0</v>
      </c>
      <c r="AX207" s="143">
        <v>0</v>
      </c>
      <c r="AY207" s="143">
        <v>0</v>
      </c>
      <c r="AZ207" s="143">
        <v>0</v>
      </c>
      <c r="BA207" s="143">
        <v>0</v>
      </c>
      <c r="BB207" s="143">
        <v>0</v>
      </c>
      <c r="BC207" s="143">
        <v>0</v>
      </c>
      <c r="BD207" s="143">
        <v>0</v>
      </c>
      <c r="BE207" s="143">
        <v>0</v>
      </c>
      <c r="BF207" s="143">
        <v>0</v>
      </c>
      <c r="BG207" s="143">
        <v>0</v>
      </c>
      <c r="BH207" s="143">
        <v>0</v>
      </c>
      <c r="BI207" s="143">
        <v>0</v>
      </c>
      <c r="BJ207" s="995">
        <v>0</v>
      </c>
      <c r="BK207" s="143">
        <v>0</v>
      </c>
      <c r="BL207" s="143">
        <v>0</v>
      </c>
      <c r="BM207" s="143">
        <v>0</v>
      </c>
      <c r="BN207" s="143">
        <v>0</v>
      </c>
      <c r="BO207" s="143">
        <v>0</v>
      </c>
      <c r="BP207" s="143">
        <v>0</v>
      </c>
      <c r="BQ207" s="143">
        <v>0</v>
      </c>
      <c r="BR207" s="143">
        <v>0</v>
      </c>
      <c r="BS207" s="143">
        <v>0</v>
      </c>
      <c r="BT207" s="143">
        <v>0</v>
      </c>
      <c r="BU207" s="143">
        <v>0</v>
      </c>
      <c r="BV207" s="143">
        <v>0</v>
      </c>
      <c r="BW207" s="143">
        <v>0</v>
      </c>
      <c r="BX207" s="143">
        <v>0</v>
      </c>
      <c r="BY207" s="143">
        <v>0</v>
      </c>
      <c r="BZ207" s="995">
        <v>0</v>
      </c>
      <c r="CA207" s="143">
        <v>0</v>
      </c>
      <c r="CB207" s="143">
        <v>0</v>
      </c>
      <c r="CC207" s="143">
        <v>0</v>
      </c>
      <c r="CD207" s="143">
        <v>0</v>
      </c>
      <c r="CE207" s="143">
        <v>0</v>
      </c>
      <c r="CF207" s="143">
        <v>0</v>
      </c>
      <c r="CG207" s="143">
        <v>0</v>
      </c>
      <c r="CH207" s="143">
        <v>0</v>
      </c>
      <c r="CI207" s="143">
        <v>0</v>
      </c>
      <c r="CJ207" s="143">
        <v>0</v>
      </c>
      <c r="CK207" s="143">
        <v>0</v>
      </c>
      <c r="CL207" s="143">
        <v>0</v>
      </c>
      <c r="CM207" s="143">
        <v>0</v>
      </c>
      <c r="CN207" s="143">
        <v>0</v>
      </c>
      <c r="CO207" s="143">
        <v>0</v>
      </c>
      <c r="CP207" s="143">
        <v>0</v>
      </c>
      <c r="CQ207" s="143">
        <v>0</v>
      </c>
      <c r="CR207" s="143">
        <v>0</v>
      </c>
      <c r="CS207" s="143">
        <v>0</v>
      </c>
      <c r="CT207" s="143">
        <v>0</v>
      </c>
      <c r="CU207" s="143">
        <v>0</v>
      </c>
      <c r="CV207" s="143">
        <v>0</v>
      </c>
      <c r="CW207" s="14">
        <v>0</v>
      </c>
      <c r="CX207" s="14">
        <v>0</v>
      </c>
      <c r="CY207" s="14">
        <v>0</v>
      </c>
      <c r="CZ207" s="995">
        <v>0</v>
      </c>
      <c r="DA207" s="995">
        <v>0</v>
      </c>
      <c r="DB207" s="995">
        <v>0</v>
      </c>
      <c r="DC207">
        <v>0</v>
      </c>
      <c r="DD207">
        <v>0</v>
      </c>
      <c r="DE207">
        <v>0</v>
      </c>
      <c r="DF207">
        <v>0</v>
      </c>
      <c r="DG207">
        <v>0</v>
      </c>
      <c r="DH207">
        <v>0</v>
      </c>
      <c r="DI207">
        <v>0</v>
      </c>
      <c r="DJ207">
        <v>0</v>
      </c>
      <c r="DK207">
        <v>0</v>
      </c>
      <c r="DL207">
        <v>0</v>
      </c>
      <c r="DM207">
        <v>0</v>
      </c>
      <c r="DN207">
        <v>0</v>
      </c>
      <c r="DO207">
        <v>0</v>
      </c>
      <c r="DP207">
        <v>0</v>
      </c>
      <c r="DQ207">
        <v>39</v>
      </c>
    </row>
    <row r="208" spans="1:121" x14ac:dyDescent="0.2">
      <c r="A208" s="14">
        <v>39.25</v>
      </c>
      <c r="B208" s="684">
        <f t="shared" si="55"/>
        <v>2.2366826508640119E-9</v>
      </c>
      <c r="C208" s="684">
        <f t="shared" si="56"/>
        <v>2.2366826508640197E-9</v>
      </c>
      <c r="D208" s="684">
        <f t="shared" si="63"/>
        <v>5.5917066271600493E-10</v>
      </c>
      <c r="E208" s="684">
        <f t="shared" si="57"/>
        <v>3.4366372510425167E-4</v>
      </c>
      <c r="F208" s="684">
        <f t="shared" si="58"/>
        <v>0</v>
      </c>
      <c r="G208" s="684">
        <f t="shared" si="64"/>
        <v>0</v>
      </c>
      <c r="H208" s="684">
        <f t="shared" si="65"/>
        <v>0</v>
      </c>
      <c r="I208" s="1052">
        <f>HLOOKUP('Input &amp; Summary'!$B$6,TurbineProfiles,ROW(I208)-49,0)</f>
        <v>0</v>
      </c>
      <c r="J208" s="684">
        <f t="shared" si="59"/>
        <v>0</v>
      </c>
      <c r="K208" s="9">
        <f t="shared" si="60"/>
        <v>0</v>
      </c>
      <c r="L208" s="14">
        <f t="shared" si="61"/>
        <v>121862.7469873823</v>
      </c>
      <c r="M208" s="684">
        <f t="shared" si="62"/>
        <v>19721.661651123744</v>
      </c>
      <c r="N208" s="684">
        <f t="shared" si="66"/>
        <v>2117.4921141893815</v>
      </c>
      <c r="O208" s="684">
        <f t="shared" si="67"/>
        <v>0.99999999779797621</v>
      </c>
      <c r="P208" s="684">
        <f t="shared" si="68"/>
        <v>0</v>
      </c>
      <c r="Q208" s="684">
        <f t="shared" si="72"/>
        <v>6.3428362562234497E-10</v>
      </c>
      <c r="R208" s="684">
        <f t="shared" si="73"/>
        <v>5.6056081998434593E-10</v>
      </c>
      <c r="S208" s="684">
        <f t="shared" si="69"/>
        <v>0</v>
      </c>
      <c r="T208" s="684">
        <f t="shared" si="70"/>
        <v>0</v>
      </c>
      <c r="U208" s="14">
        <f t="shared" si="71"/>
        <v>0</v>
      </c>
      <c r="V208">
        <v>0</v>
      </c>
      <c r="W208">
        <v>0</v>
      </c>
      <c r="X208">
        <v>0</v>
      </c>
      <c r="Y208">
        <v>0</v>
      </c>
      <c r="Z208">
        <v>0</v>
      </c>
      <c r="AA208">
        <v>0</v>
      </c>
      <c r="AB208">
        <v>0</v>
      </c>
      <c r="AC208">
        <v>0</v>
      </c>
      <c r="AD208">
        <v>0</v>
      </c>
      <c r="AE208" s="143">
        <v>0</v>
      </c>
      <c r="AF208" s="143">
        <v>0</v>
      </c>
      <c r="AG208" s="143">
        <v>0</v>
      </c>
      <c r="AH208" s="143">
        <v>0</v>
      </c>
      <c r="AI208" s="995">
        <v>0</v>
      </c>
      <c r="AJ208" s="143">
        <v>0</v>
      </c>
      <c r="AK208" s="143">
        <v>0</v>
      </c>
      <c r="AL208" s="143">
        <v>0</v>
      </c>
      <c r="AM208" s="143">
        <v>0</v>
      </c>
      <c r="AN208" s="143">
        <v>0</v>
      </c>
      <c r="AO208" s="143">
        <v>0</v>
      </c>
      <c r="AP208" s="143">
        <v>0</v>
      </c>
      <c r="AQ208" s="143">
        <v>0</v>
      </c>
      <c r="AR208" s="143">
        <v>0</v>
      </c>
      <c r="AS208" s="143">
        <v>0</v>
      </c>
      <c r="AT208" s="143">
        <v>0</v>
      </c>
      <c r="AU208" s="143">
        <v>0</v>
      </c>
      <c r="AV208" s="143">
        <v>0</v>
      </c>
      <c r="AW208" s="143">
        <v>0</v>
      </c>
      <c r="AX208" s="143">
        <v>0</v>
      </c>
      <c r="AY208" s="143">
        <v>0</v>
      </c>
      <c r="AZ208" s="143">
        <v>0</v>
      </c>
      <c r="BA208" s="143">
        <v>0</v>
      </c>
      <c r="BB208" s="143">
        <v>0</v>
      </c>
      <c r="BC208" s="143">
        <v>0</v>
      </c>
      <c r="BD208" s="143">
        <v>0</v>
      </c>
      <c r="BE208" s="143">
        <v>0</v>
      </c>
      <c r="BF208" s="143">
        <v>0</v>
      </c>
      <c r="BG208" s="143">
        <v>0</v>
      </c>
      <c r="BH208" s="143">
        <v>0</v>
      </c>
      <c r="BI208" s="143">
        <v>0</v>
      </c>
      <c r="BJ208" s="995">
        <v>0</v>
      </c>
      <c r="BK208" s="143">
        <v>0</v>
      </c>
      <c r="BL208" s="143">
        <v>0</v>
      </c>
      <c r="BM208" s="143">
        <v>0</v>
      </c>
      <c r="BN208" s="143">
        <v>0</v>
      </c>
      <c r="BO208" s="143">
        <v>0</v>
      </c>
      <c r="BP208" s="143">
        <v>0</v>
      </c>
      <c r="BQ208" s="143">
        <v>0</v>
      </c>
      <c r="BR208" s="143">
        <v>0</v>
      </c>
      <c r="BS208" s="143">
        <v>0</v>
      </c>
      <c r="BT208" s="143">
        <v>0</v>
      </c>
      <c r="BU208" s="143">
        <v>0</v>
      </c>
      <c r="BV208" s="143">
        <v>0</v>
      </c>
      <c r="BW208" s="143">
        <v>0</v>
      </c>
      <c r="BX208" s="143">
        <v>0</v>
      </c>
      <c r="BY208" s="143">
        <v>0</v>
      </c>
      <c r="BZ208" s="995">
        <v>0</v>
      </c>
      <c r="CA208" s="143">
        <v>0</v>
      </c>
      <c r="CB208" s="143">
        <v>0</v>
      </c>
      <c r="CC208" s="143">
        <v>0</v>
      </c>
      <c r="CD208" s="143">
        <v>0</v>
      </c>
      <c r="CE208" s="143">
        <v>0</v>
      </c>
      <c r="CF208" s="143">
        <v>0</v>
      </c>
      <c r="CG208" s="143">
        <v>0</v>
      </c>
      <c r="CH208" s="143">
        <v>0</v>
      </c>
      <c r="CI208" s="143">
        <v>0</v>
      </c>
      <c r="CJ208" s="143">
        <v>0</v>
      </c>
      <c r="CK208" s="143">
        <v>0</v>
      </c>
      <c r="CL208" s="143">
        <v>0</v>
      </c>
      <c r="CM208" s="143">
        <v>0</v>
      </c>
      <c r="CN208" s="143">
        <v>0</v>
      </c>
      <c r="CO208" s="143">
        <v>0</v>
      </c>
      <c r="CP208" s="143">
        <v>0</v>
      </c>
      <c r="CQ208" s="143">
        <v>0</v>
      </c>
      <c r="CR208" s="143">
        <v>0</v>
      </c>
      <c r="CS208" s="143">
        <v>0</v>
      </c>
      <c r="CT208" s="143">
        <v>0</v>
      </c>
      <c r="CU208" s="143">
        <v>0</v>
      </c>
      <c r="CV208" s="143">
        <v>0</v>
      </c>
      <c r="CW208" s="14">
        <v>0</v>
      </c>
      <c r="CX208" s="14">
        <v>0</v>
      </c>
      <c r="CY208" s="14">
        <v>0</v>
      </c>
      <c r="CZ208" s="995">
        <v>0</v>
      </c>
      <c r="DA208" s="995">
        <v>0</v>
      </c>
      <c r="DB208" s="995">
        <v>0</v>
      </c>
      <c r="DC208">
        <v>0</v>
      </c>
      <c r="DD208">
        <v>0</v>
      </c>
      <c r="DE208">
        <v>0</v>
      </c>
      <c r="DF208">
        <v>0</v>
      </c>
      <c r="DG208">
        <v>0</v>
      </c>
      <c r="DH208">
        <v>0</v>
      </c>
      <c r="DI208">
        <v>0</v>
      </c>
      <c r="DJ208">
        <v>0</v>
      </c>
      <c r="DK208">
        <v>0</v>
      </c>
      <c r="DL208">
        <v>0</v>
      </c>
      <c r="DM208">
        <v>0</v>
      </c>
      <c r="DN208">
        <v>0</v>
      </c>
      <c r="DO208">
        <v>0</v>
      </c>
      <c r="DP208">
        <v>0</v>
      </c>
      <c r="DQ208">
        <v>39.25</v>
      </c>
    </row>
    <row r="209" spans="1:121" x14ac:dyDescent="0.2">
      <c r="A209" s="14">
        <v>39.5</v>
      </c>
      <c r="B209" s="684">
        <f t="shared" si="55"/>
        <v>1.7447293348733211E-9</v>
      </c>
      <c r="C209" s="684">
        <f t="shared" si="56"/>
        <v>1.7447293348733207E-9</v>
      </c>
      <c r="D209" s="684">
        <f t="shared" si="63"/>
        <v>4.3618233371833017E-10</v>
      </c>
      <c r="E209" s="684">
        <f t="shared" si="57"/>
        <v>2.732308234102283E-4</v>
      </c>
      <c r="F209" s="684">
        <f t="shared" si="58"/>
        <v>0</v>
      </c>
      <c r="G209" s="684">
        <f t="shared" si="64"/>
        <v>0</v>
      </c>
      <c r="H209" s="684">
        <f t="shared" si="65"/>
        <v>0</v>
      </c>
      <c r="I209" s="1052">
        <f>HLOOKUP('Input &amp; Summary'!$B$6,TurbineProfiles,ROW(I209)-49,0)</f>
        <v>0</v>
      </c>
      <c r="J209" s="684">
        <f t="shared" si="59"/>
        <v>0</v>
      </c>
      <c r="K209" s="9">
        <f t="shared" si="60"/>
        <v>0</v>
      </c>
      <c r="L209" s="14">
        <f t="shared" si="61"/>
        <v>124206.19776704309</v>
      </c>
      <c r="M209" s="684">
        <f t="shared" si="62"/>
        <v>19872.997100715176</v>
      </c>
      <c r="N209" s="684">
        <f t="shared" si="66"/>
        <v>2117.4921141893815</v>
      </c>
      <c r="O209" s="684">
        <f t="shared" si="67"/>
        <v>0.99999999829317787</v>
      </c>
      <c r="P209" s="684">
        <f t="shared" si="68"/>
        <v>0</v>
      </c>
      <c r="Q209" s="684">
        <f t="shared" si="72"/>
        <v>4.9520165745775557E-10</v>
      </c>
      <c r="R209" s="684">
        <f t="shared" si="73"/>
        <v>4.3728187737457347E-10</v>
      </c>
      <c r="S209" s="684">
        <f t="shared" si="69"/>
        <v>0</v>
      </c>
      <c r="T209" s="684">
        <f t="shared" si="70"/>
        <v>0</v>
      </c>
      <c r="U209" s="14">
        <f t="shared" si="71"/>
        <v>0</v>
      </c>
      <c r="V209">
        <v>0</v>
      </c>
      <c r="W209">
        <v>0</v>
      </c>
      <c r="X209">
        <v>0</v>
      </c>
      <c r="Y209">
        <v>0</v>
      </c>
      <c r="Z209">
        <v>0</v>
      </c>
      <c r="AA209">
        <v>0</v>
      </c>
      <c r="AB209">
        <v>0</v>
      </c>
      <c r="AC209">
        <v>0</v>
      </c>
      <c r="AD209">
        <v>0</v>
      </c>
      <c r="AE209" s="143">
        <v>0</v>
      </c>
      <c r="AF209" s="143">
        <v>0</v>
      </c>
      <c r="AG209" s="143">
        <v>0</v>
      </c>
      <c r="AH209" s="143">
        <v>0</v>
      </c>
      <c r="AI209" s="995">
        <v>0</v>
      </c>
      <c r="AJ209" s="143">
        <v>0</v>
      </c>
      <c r="AK209" s="143">
        <v>0</v>
      </c>
      <c r="AL209" s="143">
        <v>0</v>
      </c>
      <c r="AM209" s="143">
        <v>0</v>
      </c>
      <c r="AN209" s="143">
        <v>0</v>
      </c>
      <c r="AO209" s="143">
        <v>0</v>
      </c>
      <c r="AP209" s="143">
        <v>0</v>
      </c>
      <c r="AQ209" s="143">
        <v>0</v>
      </c>
      <c r="AR209" s="143">
        <v>0</v>
      </c>
      <c r="AS209" s="143">
        <v>0</v>
      </c>
      <c r="AT209" s="143">
        <v>0</v>
      </c>
      <c r="AU209" s="143">
        <v>0</v>
      </c>
      <c r="AV209" s="143">
        <v>0</v>
      </c>
      <c r="AW209" s="143">
        <v>0</v>
      </c>
      <c r="AX209" s="143">
        <v>0</v>
      </c>
      <c r="AY209" s="143">
        <v>0</v>
      </c>
      <c r="AZ209" s="143">
        <v>0</v>
      </c>
      <c r="BA209" s="143">
        <v>0</v>
      </c>
      <c r="BB209" s="143">
        <v>0</v>
      </c>
      <c r="BC209" s="143">
        <v>0</v>
      </c>
      <c r="BD209" s="143">
        <v>0</v>
      </c>
      <c r="BE209" s="143">
        <v>0</v>
      </c>
      <c r="BF209" s="143">
        <v>0</v>
      </c>
      <c r="BG209" s="143">
        <v>0</v>
      </c>
      <c r="BH209" s="143">
        <v>0</v>
      </c>
      <c r="BI209" s="143">
        <v>0</v>
      </c>
      <c r="BJ209" s="995">
        <v>0</v>
      </c>
      <c r="BK209" s="143">
        <v>0</v>
      </c>
      <c r="BL209" s="143">
        <v>0</v>
      </c>
      <c r="BM209" s="143">
        <v>0</v>
      </c>
      <c r="BN209" s="143">
        <v>0</v>
      </c>
      <c r="BO209" s="143">
        <v>0</v>
      </c>
      <c r="BP209" s="143">
        <v>0</v>
      </c>
      <c r="BQ209" s="143">
        <v>0</v>
      </c>
      <c r="BR209" s="143">
        <v>0</v>
      </c>
      <c r="BS209" s="143">
        <v>0</v>
      </c>
      <c r="BT209" s="143">
        <v>0</v>
      </c>
      <c r="BU209" s="143">
        <v>0</v>
      </c>
      <c r="BV209" s="143">
        <v>0</v>
      </c>
      <c r="BW209" s="143">
        <v>0</v>
      </c>
      <c r="BX209" s="143">
        <v>0</v>
      </c>
      <c r="BY209" s="143">
        <v>0</v>
      </c>
      <c r="BZ209" s="995">
        <v>0</v>
      </c>
      <c r="CA209" s="143">
        <v>0</v>
      </c>
      <c r="CB209" s="143">
        <v>0</v>
      </c>
      <c r="CC209" s="143">
        <v>0</v>
      </c>
      <c r="CD209" s="143">
        <v>0</v>
      </c>
      <c r="CE209" s="143">
        <v>0</v>
      </c>
      <c r="CF209" s="143">
        <v>0</v>
      </c>
      <c r="CG209" s="143">
        <v>0</v>
      </c>
      <c r="CH209" s="143">
        <v>0</v>
      </c>
      <c r="CI209" s="143">
        <v>0</v>
      </c>
      <c r="CJ209" s="143">
        <v>0</v>
      </c>
      <c r="CK209" s="143">
        <v>0</v>
      </c>
      <c r="CL209" s="143">
        <v>0</v>
      </c>
      <c r="CM209" s="143">
        <v>0</v>
      </c>
      <c r="CN209" s="143">
        <v>0</v>
      </c>
      <c r="CO209" s="143">
        <v>0</v>
      </c>
      <c r="CP209" s="143">
        <v>0</v>
      </c>
      <c r="CQ209" s="143">
        <v>0</v>
      </c>
      <c r="CR209" s="143">
        <v>0</v>
      </c>
      <c r="CS209" s="143">
        <v>0</v>
      </c>
      <c r="CT209" s="143">
        <v>0</v>
      </c>
      <c r="CU209" s="143">
        <v>0</v>
      </c>
      <c r="CV209" s="143">
        <v>0</v>
      </c>
      <c r="CW209" s="14">
        <v>0</v>
      </c>
      <c r="CX209" s="14">
        <v>0</v>
      </c>
      <c r="CY209" s="14">
        <v>0</v>
      </c>
      <c r="CZ209" s="995">
        <v>0</v>
      </c>
      <c r="DA209" s="995">
        <v>0</v>
      </c>
      <c r="DB209" s="995">
        <v>0</v>
      </c>
      <c r="DC209">
        <v>0</v>
      </c>
      <c r="DD209">
        <v>0</v>
      </c>
      <c r="DE209">
        <v>0</v>
      </c>
      <c r="DF209">
        <v>0</v>
      </c>
      <c r="DG209">
        <v>0</v>
      </c>
      <c r="DH209">
        <v>0</v>
      </c>
      <c r="DI209">
        <v>0</v>
      </c>
      <c r="DJ209">
        <v>0</v>
      </c>
      <c r="DK209">
        <v>0</v>
      </c>
      <c r="DL209">
        <v>0</v>
      </c>
      <c r="DM209">
        <v>0</v>
      </c>
      <c r="DN209">
        <v>0</v>
      </c>
      <c r="DO209">
        <v>0</v>
      </c>
      <c r="DP209">
        <v>0</v>
      </c>
      <c r="DQ209">
        <v>39.5</v>
      </c>
    </row>
    <row r="210" spans="1:121" x14ac:dyDescent="0.2">
      <c r="A210" s="14">
        <v>39.75</v>
      </c>
      <c r="B210" s="684">
        <f t="shared" si="55"/>
        <v>1.3587261174314251E-9</v>
      </c>
      <c r="C210" s="684">
        <f t="shared" si="56"/>
        <v>1.3587261174314249E-9</v>
      </c>
      <c r="D210" s="684">
        <f t="shared" si="63"/>
        <v>3.3968152935785623E-10</v>
      </c>
      <c r="E210" s="684">
        <f t="shared" si="57"/>
        <v>2.1684712242038158E-4</v>
      </c>
      <c r="F210" s="684">
        <f t="shared" si="58"/>
        <v>0</v>
      </c>
      <c r="G210" s="684">
        <f t="shared" si="64"/>
        <v>0</v>
      </c>
      <c r="H210" s="684">
        <f t="shared" si="65"/>
        <v>0</v>
      </c>
      <c r="I210" s="1052">
        <f>HLOOKUP('Input &amp; Summary'!$B$6,TurbineProfiles,ROW(I210)-49,0)</f>
        <v>0</v>
      </c>
      <c r="J210" s="684">
        <f t="shared" si="59"/>
        <v>0</v>
      </c>
      <c r="K210" s="9">
        <f t="shared" si="60"/>
        <v>0</v>
      </c>
      <c r="L210" s="14">
        <f t="shared" si="61"/>
        <v>126579.50102173207</v>
      </c>
      <c r="M210" s="684">
        <f t="shared" si="62"/>
        <v>20024.332550306608</v>
      </c>
      <c r="N210" s="684">
        <f t="shared" si="66"/>
        <v>2117.4921141893815</v>
      </c>
      <c r="O210" s="684">
        <f t="shared" si="67"/>
        <v>0.99999999867915434</v>
      </c>
      <c r="P210" s="684">
        <f t="shared" si="68"/>
        <v>0</v>
      </c>
      <c r="Q210" s="684">
        <f t="shared" si="72"/>
        <v>3.8597647300520066E-10</v>
      </c>
      <c r="R210" s="684">
        <f t="shared" si="73"/>
        <v>3.4054947750661313E-10</v>
      </c>
      <c r="S210" s="684">
        <f t="shared" si="69"/>
        <v>0</v>
      </c>
      <c r="T210" s="684">
        <f t="shared" si="70"/>
        <v>0</v>
      </c>
      <c r="U210" s="14">
        <f t="shared" si="71"/>
        <v>0</v>
      </c>
      <c r="V210">
        <v>0</v>
      </c>
      <c r="W210">
        <v>0</v>
      </c>
      <c r="X210">
        <v>0</v>
      </c>
      <c r="Y210">
        <v>0</v>
      </c>
      <c r="Z210">
        <v>0</v>
      </c>
      <c r="AA210">
        <v>0</v>
      </c>
      <c r="AB210">
        <v>0</v>
      </c>
      <c r="AC210">
        <v>0</v>
      </c>
      <c r="AD210">
        <v>0</v>
      </c>
      <c r="AE210" s="143">
        <v>0</v>
      </c>
      <c r="AF210" s="143">
        <v>0</v>
      </c>
      <c r="AG210" s="143">
        <v>0</v>
      </c>
      <c r="AH210" s="143">
        <v>0</v>
      </c>
      <c r="AI210" s="995">
        <v>0</v>
      </c>
      <c r="AJ210" s="143">
        <v>0</v>
      </c>
      <c r="AK210" s="143">
        <v>0</v>
      </c>
      <c r="AL210" s="143">
        <v>0</v>
      </c>
      <c r="AM210" s="143">
        <v>0</v>
      </c>
      <c r="AN210" s="143">
        <v>0</v>
      </c>
      <c r="AO210" s="143">
        <v>0</v>
      </c>
      <c r="AP210" s="143">
        <v>0</v>
      </c>
      <c r="AQ210" s="143">
        <v>0</v>
      </c>
      <c r="AR210" s="143">
        <v>0</v>
      </c>
      <c r="AS210" s="143">
        <v>0</v>
      </c>
      <c r="AT210" s="143">
        <v>0</v>
      </c>
      <c r="AU210" s="143">
        <v>0</v>
      </c>
      <c r="AV210" s="143">
        <v>0</v>
      </c>
      <c r="AW210" s="143">
        <v>0</v>
      </c>
      <c r="AX210" s="143">
        <v>0</v>
      </c>
      <c r="AY210" s="143">
        <v>0</v>
      </c>
      <c r="AZ210" s="143">
        <v>0</v>
      </c>
      <c r="BA210" s="143">
        <v>0</v>
      </c>
      <c r="BB210" s="143">
        <v>0</v>
      </c>
      <c r="BC210" s="143">
        <v>0</v>
      </c>
      <c r="BD210" s="143">
        <v>0</v>
      </c>
      <c r="BE210" s="143">
        <v>0</v>
      </c>
      <c r="BF210" s="143">
        <v>0</v>
      </c>
      <c r="BG210" s="143">
        <v>0</v>
      </c>
      <c r="BH210" s="143">
        <v>0</v>
      </c>
      <c r="BI210" s="143">
        <v>0</v>
      </c>
      <c r="BJ210" s="995">
        <v>0</v>
      </c>
      <c r="BK210" s="143">
        <v>0</v>
      </c>
      <c r="BL210" s="143">
        <v>0</v>
      </c>
      <c r="BM210" s="143">
        <v>0</v>
      </c>
      <c r="BN210" s="143">
        <v>0</v>
      </c>
      <c r="BO210" s="143">
        <v>0</v>
      </c>
      <c r="BP210" s="143">
        <v>0</v>
      </c>
      <c r="BQ210" s="143">
        <v>0</v>
      </c>
      <c r="BR210" s="143">
        <v>0</v>
      </c>
      <c r="BS210" s="143">
        <v>0</v>
      </c>
      <c r="BT210" s="143">
        <v>0</v>
      </c>
      <c r="BU210" s="143">
        <v>0</v>
      </c>
      <c r="BV210" s="143">
        <v>0</v>
      </c>
      <c r="BW210" s="143">
        <v>0</v>
      </c>
      <c r="BX210" s="143">
        <v>0</v>
      </c>
      <c r="BY210" s="143">
        <v>0</v>
      </c>
      <c r="BZ210" s="995">
        <v>0</v>
      </c>
      <c r="CA210" s="143">
        <v>0</v>
      </c>
      <c r="CB210" s="143">
        <v>0</v>
      </c>
      <c r="CC210" s="143">
        <v>0</v>
      </c>
      <c r="CD210" s="143">
        <v>0</v>
      </c>
      <c r="CE210" s="143">
        <v>0</v>
      </c>
      <c r="CF210" s="143">
        <v>0</v>
      </c>
      <c r="CG210" s="143">
        <v>0</v>
      </c>
      <c r="CH210" s="143">
        <v>0</v>
      </c>
      <c r="CI210" s="143">
        <v>0</v>
      </c>
      <c r="CJ210" s="143">
        <v>0</v>
      </c>
      <c r="CK210" s="143">
        <v>0</v>
      </c>
      <c r="CL210" s="143">
        <v>0</v>
      </c>
      <c r="CM210" s="143">
        <v>0</v>
      </c>
      <c r="CN210" s="143">
        <v>0</v>
      </c>
      <c r="CO210" s="143">
        <v>0</v>
      </c>
      <c r="CP210" s="143">
        <v>0</v>
      </c>
      <c r="CQ210" s="143">
        <v>0</v>
      </c>
      <c r="CR210" s="143">
        <v>0</v>
      </c>
      <c r="CS210" s="143">
        <v>0</v>
      </c>
      <c r="CT210" s="143">
        <v>0</v>
      </c>
      <c r="CU210" s="143">
        <v>0</v>
      </c>
      <c r="CV210" s="143">
        <v>0</v>
      </c>
      <c r="CW210" s="14">
        <v>0</v>
      </c>
      <c r="CX210" s="14">
        <v>0</v>
      </c>
      <c r="CY210" s="14">
        <v>0</v>
      </c>
      <c r="CZ210" s="995">
        <v>0</v>
      </c>
      <c r="DA210" s="995">
        <v>0</v>
      </c>
      <c r="DB210" s="995">
        <v>0</v>
      </c>
      <c r="DC210">
        <v>0</v>
      </c>
      <c r="DD210">
        <v>0</v>
      </c>
      <c r="DE210">
        <v>0</v>
      </c>
      <c r="DF210">
        <v>0</v>
      </c>
      <c r="DG210">
        <v>0</v>
      </c>
      <c r="DH210">
        <v>0</v>
      </c>
      <c r="DI210">
        <v>0</v>
      </c>
      <c r="DJ210">
        <v>0</v>
      </c>
      <c r="DK210">
        <v>0</v>
      </c>
      <c r="DL210">
        <v>0</v>
      </c>
      <c r="DM210">
        <v>0</v>
      </c>
      <c r="DN210">
        <v>0</v>
      </c>
      <c r="DO210">
        <v>0</v>
      </c>
      <c r="DP210">
        <v>0</v>
      </c>
      <c r="DQ210">
        <v>39.75</v>
      </c>
    </row>
    <row r="211" spans="1:121" x14ac:dyDescent="0.2">
      <c r="A211" s="14">
        <v>40</v>
      </c>
      <c r="B211" s="684">
        <f t="shared" si="55"/>
        <v>1.056370265801009E-9</v>
      </c>
      <c r="C211" s="684">
        <f t="shared" si="56"/>
        <v>1.0563702658010049E-9</v>
      </c>
      <c r="D211" s="684">
        <f t="shared" si="63"/>
        <v>2.6409256645025122E-10</v>
      </c>
      <c r="E211" s="684">
        <f>((0.5*$B$15*0.25*PI()*$B$4^2*A211^3)*C211/(1000))*16/27</f>
        <v>1.717934032927288E-4</v>
      </c>
      <c r="F211" s="684">
        <f t="shared" si="58"/>
        <v>0</v>
      </c>
      <c r="G211" s="684">
        <f t="shared" si="64"/>
        <v>0</v>
      </c>
      <c r="H211" s="684">
        <f t="shared" si="65"/>
        <v>0</v>
      </c>
      <c r="I211" s="1052">
        <f>HLOOKUP('Input &amp; Summary'!$B$6,TurbineProfiles,ROW(I211)-49,0)</f>
        <v>0</v>
      </c>
      <c r="J211" s="684">
        <f t="shared" si="59"/>
        <v>0</v>
      </c>
      <c r="K211" s="9">
        <f>IF(ISERROR(((J211/$B$17)-($B$19+$B$20*(J211/$B$17)+$B$21*(J211/$B$17)^2))/(J211/$B$17)),0,((J211/$B$17)-($B$19+$B$20*(J211/$B$17)+$B$21*(J211/$B$17)^2))/(J211/$B$17))</f>
        <v>0</v>
      </c>
      <c r="L211" s="14">
        <f t="shared" si="61"/>
        <v>128982.84569116455</v>
      </c>
      <c r="M211" s="684">
        <f t="shared" si="62"/>
        <v>20175.66799989804</v>
      </c>
      <c r="N211" s="684">
        <f t="shared" si="66"/>
        <v>2117.4921141893815</v>
      </c>
      <c r="O211" s="684">
        <f t="shared" si="67"/>
        <v>0.99999999897949887</v>
      </c>
      <c r="P211" s="684">
        <f t="shared" si="68"/>
        <v>0</v>
      </c>
      <c r="Q211" s="684">
        <f t="shared" si="72"/>
        <v>3.0034452702665249E-10</v>
      </c>
      <c r="R211" s="684">
        <f t="shared" si="73"/>
        <v>2.6477653403134127E-10</v>
      </c>
      <c r="S211" s="684">
        <f t="shared" si="69"/>
        <v>0</v>
      </c>
      <c r="T211" s="684">
        <f t="shared" si="70"/>
        <v>0</v>
      </c>
      <c r="U211" s="14">
        <f t="shared" si="71"/>
        <v>0</v>
      </c>
      <c r="V211">
        <v>0</v>
      </c>
      <c r="W211">
        <v>0</v>
      </c>
      <c r="X211">
        <v>0</v>
      </c>
      <c r="Y211">
        <v>0</v>
      </c>
      <c r="Z211">
        <v>0</v>
      </c>
      <c r="AA211">
        <v>0</v>
      </c>
      <c r="AB211">
        <v>0</v>
      </c>
      <c r="AC211">
        <v>0</v>
      </c>
      <c r="AD211">
        <v>0</v>
      </c>
      <c r="AE211" s="143">
        <v>0</v>
      </c>
      <c r="AF211" s="143">
        <v>0</v>
      </c>
      <c r="AG211" s="143">
        <v>0</v>
      </c>
      <c r="AH211" s="143">
        <v>0</v>
      </c>
      <c r="AI211" s="995">
        <v>0</v>
      </c>
      <c r="AJ211" s="143">
        <v>0</v>
      </c>
      <c r="AK211" s="143">
        <v>0</v>
      </c>
      <c r="AL211" s="143">
        <v>0</v>
      </c>
      <c r="AM211" s="143">
        <v>0</v>
      </c>
      <c r="AN211" s="143">
        <v>0</v>
      </c>
      <c r="AO211" s="143">
        <v>0</v>
      </c>
      <c r="AP211" s="143">
        <v>0</v>
      </c>
      <c r="AQ211" s="143">
        <v>0</v>
      </c>
      <c r="AR211" s="143">
        <v>0</v>
      </c>
      <c r="AS211" s="143">
        <v>0</v>
      </c>
      <c r="AT211" s="143">
        <v>0</v>
      </c>
      <c r="AU211" s="143">
        <v>0</v>
      </c>
      <c r="AV211" s="143">
        <v>0</v>
      </c>
      <c r="AW211" s="143">
        <v>0</v>
      </c>
      <c r="AX211" s="143">
        <v>0</v>
      </c>
      <c r="AY211" s="143">
        <v>0</v>
      </c>
      <c r="AZ211" s="143">
        <v>0</v>
      </c>
      <c r="BA211" s="143">
        <v>0</v>
      </c>
      <c r="BB211" s="143">
        <v>0</v>
      </c>
      <c r="BC211" s="143">
        <v>0</v>
      </c>
      <c r="BD211" s="143">
        <v>0</v>
      </c>
      <c r="BE211" s="143">
        <v>0</v>
      </c>
      <c r="BF211" s="143">
        <v>0</v>
      </c>
      <c r="BG211" s="143">
        <v>0</v>
      </c>
      <c r="BH211" s="143">
        <v>0</v>
      </c>
      <c r="BI211" s="143">
        <v>0</v>
      </c>
      <c r="BJ211" s="995">
        <v>0</v>
      </c>
      <c r="BK211" s="143">
        <v>0</v>
      </c>
      <c r="BL211" s="143">
        <v>0</v>
      </c>
      <c r="BM211" s="143">
        <v>0</v>
      </c>
      <c r="BN211" s="143">
        <v>0</v>
      </c>
      <c r="BO211" s="143">
        <v>0</v>
      </c>
      <c r="BP211" s="143">
        <v>0</v>
      </c>
      <c r="BQ211" s="143">
        <v>0</v>
      </c>
      <c r="BR211" s="143">
        <v>0</v>
      </c>
      <c r="BS211" s="143">
        <v>0</v>
      </c>
      <c r="BT211" s="143">
        <v>0</v>
      </c>
      <c r="BU211" s="143">
        <v>0</v>
      </c>
      <c r="BV211" s="143">
        <v>0</v>
      </c>
      <c r="BW211" s="143">
        <v>0</v>
      </c>
      <c r="BX211" s="143">
        <v>0</v>
      </c>
      <c r="BY211" s="143">
        <v>0</v>
      </c>
      <c r="BZ211" s="995">
        <v>0</v>
      </c>
      <c r="CA211" s="143">
        <v>0</v>
      </c>
      <c r="CB211" s="143">
        <v>0</v>
      </c>
      <c r="CC211" s="143">
        <v>0</v>
      </c>
      <c r="CD211" s="143">
        <v>0</v>
      </c>
      <c r="CE211" s="143">
        <v>0</v>
      </c>
      <c r="CF211" s="143">
        <v>0</v>
      </c>
      <c r="CG211" s="143">
        <v>0</v>
      </c>
      <c r="CH211" s="143">
        <v>0</v>
      </c>
      <c r="CI211" s="143">
        <v>0</v>
      </c>
      <c r="CJ211" s="143">
        <v>0</v>
      </c>
      <c r="CK211" s="143">
        <v>0</v>
      </c>
      <c r="CL211" s="143">
        <v>0</v>
      </c>
      <c r="CM211" s="143">
        <v>0</v>
      </c>
      <c r="CN211" s="143">
        <v>0</v>
      </c>
      <c r="CO211" s="143">
        <v>0</v>
      </c>
      <c r="CP211" s="143">
        <v>0</v>
      </c>
      <c r="CQ211" s="143">
        <v>0</v>
      </c>
      <c r="CR211" s="143">
        <v>0</v>
      </c>
      <c r="CS211" s="143">
        <v>0</v>
      </c>
      <c r="CT211" s="143">
        <v>0</v>
      </c>
      <c r="CU211" s="143">
        <v>0</v>
      </c>
      <c r="CV211" s="143">
        <v>0</v>
      </c>
      <c r="CW211" s="14">
        <v>0</v>
      </c>
      <c r="CX211" s="14">
        <v>0</v>
      </c>
      <c r="CY211" s="14">
        <v>0</v>
      </c>
      <c r="CZ211" s="995">
        <v>0</v>
      </c>
      <c r="DA211" s="995">
        <v>0</v>
      </c>
      <c r="DB211" s="995">
        <v>0</v>
      </c>
      <c r="DC211">
        <v>0</v>
      </c>
      <c r="DD211">
        <v>0</v>
      </c>
      <c r="DE211">
        <v>0</v>
      </c>
      <c r="DF211">
        <v>0</v>
      </c>
      <c r="DG211">
        <v>0</v>
      </c>
      <c r="DH211">
        <v>0</v>
      </c>
      <c r="DI211">
        <v>0</v>
      </c>
      <c r="DJ211">
        <v>0</v>
      </c>
      <c r="DK211">
        <v>0</v>
      </c>
      <c r="DL211">
        <v>0</v>
      </c>
      <c r="DM211">
        <v>0</v>
      </c>
      <c r="DN211">
        <v>0</v>
      </c>
      <c r="DO211">
        <v>0</v>
      </c>
      <c r="DP211">
        <v>0</v>
      </c>
      <c r="DQ211">
        <v>40</v>
      </c>
    </row>
    <row r="213" spans="1:121" x14ac:dyDescent="0.2">
      <c r="N213" s="1358" t="s">
        <v>1424</v>
      </c>
      <c r="O213" s="1358"/>
      <c r="P213" s="1254"/>
      <c r="Q213" s="1252"/>
      <c r="R213" s="1254"/>
      <c r="S213" s="1254"/>
      <c r="T213" s="1252"/>
      <c r="U213" s="143">
        <f>'Input &amp; Summary'!B11</f>
        <v>1910</v>
      </c>
      <c r="V213" s="143">
        <v>1500</v>
      </c>
      <c r="W213" s="143">
        <v>3500</v>
      </c>
      <c r="X213" s="143">
        <v>5000</v>
      </c>
      <c r="Y213" s="143">
        <v>1500</v>
      </c>
      <c r="Z213" s="143">
        <v>3500</v>
      </c>
      <c r="AA213" s="143">
        <v>5000</v>
      </c>
      <c r="AB213" s="143">
        <v>1500</v>
      </c>
      <c r="AC213" s="143">
        <v>3500</v>
      </c>
      <c r="AD213" s="143">
        <v>5000</v>
      </c>
      <c r="AE213" s="1055">
        <v>1500</v>
      </c>
      <c r="AF213" s="1055">
        <v>1500</v>
      </c>
      <c r="AG213" s="3">
        <v>750</v>
      </c>
      <c r="AH213" s="3">
        <v>900</v>
      </c>
      <c r="AI213" s="1053">
        <v>900</v>
      </c>
      <c r="AJ213" s="1055">
        <v>5000</v>
      </c>
      <c r="AK213" s="3">
        <v>1300</v>
      </c>
      <c r="AL213" s="3">
        <v>2500</v>
      </c>
      <c r="AM213" s="3">
        <v>2500</v>
      </c>
      <c r="AN213" s="3">
        <v>2500</v>
      </c>
      <c r="AO213" s="3">
        <v>2500</v>
      </c>
      <c r="AP213" s="1055">
        <v>2000</v>
      </c>
      <c r="AQ213" s="1055">
        <v>2000</v>
      </c>
      <c r="AR213" s="1055">
        <v>2000</v>
      </c>
      <c r="AS213" s="1055">
        <v>2000</v>
      </c>
      <c r="AT213" s="3">
        <v>550</v>
      </c>
      <c r="AU213" s="3">
        <v>750</v>
      </c>
      <c r="AV213" s="3">
        <v>1500</v>
      </c>
      <c r="AW213" s="1055">
        <v>1500</v>
      </c>
      <c r="AX213" s="3">
        <v>2500</v>
      </c>
      <c r="AY213" s="3">
        <v>2500</v>
      </c>
      <c r="AZ213" s="3">
        <v>2500</v>
      </c>
      <c r="BA213" s="3">
        <v>800</v>
      </c>
      <c r="BB213" s="3">
        <v>850</v>
      </c>
      <c r="BC213" s="3">
        <v>2000</v>
      </c>
      <c r="BD213" s="3">
        <v>2000</v>
      </c>
      <c r="BE213" s="3">
        <v>2000</v>
      </c>
      <c r="BF213" s="3">
        <v>1500</v>
      </c>
      <c r="BG213" s="3">
        <v>1500</v>
      </c>
      <c r="BH213" s="1055">
        <v>1500</v>
      </c>
      <c r="BI213" s="1055">
        <v>2500</v>
      </c>
      <c r="BJ213" s="1053">
        <v>1000</v>
      </c>
      <c r="BK213" s="1055">
        <v>1000</v>
      </c>
      <c r="BL213" s="1055">
        <v>2400</v>
      </c>
      <c r="BM213" s="1055">
        <v>2400</v>
      </c>
      <c r="BN213" s="1055">
        <v>5000</v>
      </c>
      <c r="BO213" s="1055">
        <v>750</v>
      </c>
      <c r="BP213" s="1055">
        <v>750</v>
      </c>
      <c r="BQ213" s="1055">
        <v>900</v>
      </c>
      <c r="BR213" s="3">
        <v>1500</v>
      </c>
      <c r="BS213" s="3">
        <v>1650</v>
      </c>
      <c r="BT213" s="1055">
        <v>600</v>
      </c>
      <c r="BU213" s="1055">
        <v>1300</v>
      </c>
      <c r="BV213" s="1055">
        <v>2300</v>
      </c>
      <c r="BW213" s="3">
        <v>2500</v>
      </c>
      <c r="BX213" s="3">
        <v>2500</v>
      </c>
      <c r="BY213" s="3">
        <v>2500</v>
      </c>
      <c r="BZ213" s="1053">
        <v>2500</v>
      </c>
      <c r="CA213" s="3">
        <v>1650</v>
      </c>
      <c r="CB213" s="3">
        <v>1650</v>
      </c>
      <c r="CC213" s="1055">
        <v>2050</v>
      </c>
      <c r="CD213" s="3">
        <v>2050</v>
      </c>
      <c r="CE213" s="3">
        <v>3300</v>
      </c>
      <c r="CF213" s="3">
        <v>5000</v>
      </c>
      <c r="CG213" s="3">
        <v>2300</v>
      </c>
      <c r="CH213" s="1055">
        <v>3600</v>
      </c>
      <c r="CI213" s="1055">
        <v>2300</v>
      </c>
      <c r="CJ213" s="1055">
        <v>2300</v>
      </c>
      <c r="CK213" s="3">
        <v>2300</v>
      </c>
      <c r="CL213" s="1055">
        <v>2300</v>
      </c>
      <c r="CM213" s="3">
        <v>3600</v>
      </c>
      <c r="CN213" s="3">
        <v>950</v>
      </c>
      <c r="CO213" s="3">
        <v>1250</v>
      </c>
      <c r="CP213" s="3">
        <v>2100</v>
      </c>
      <c r="CQ213" s="3">
        <v>600</v>
      </c>
      <c r="CR213" s="3">
        <v>1500</v>
      </c>
      <c r="CS213" s="3">
        <v>600</v>
      </c>
      <c r="CT213" s="3">
        <v>600</v>
      </c>
      <c r="CU213" s="1055">
        <v>600</v>
      </c>
      <c r="CV213" s="1055">
        <v>600</v>
      </c>
      <c r="CW213">
        <v>660</v>
      </c>
      <c r="CX213">
        <v>1650</v>
      </c>
      <c r="CY213">
        <v>1800</v>
      </c>
      <c r="CZ213" s="1055">
        <v>2000</v>
      </c>
      <c r="DA213" s="1055">
        <v>2000</v>
      </c>
      <c r="DB213" s="1055">
        <v>1800</v>
      </c>
      <c r="DC213">
        <v>2000</v>
      </c>
      <c r="DD213">
        <v>1800</v>
      </c>
      <c r="DE213">
        <v>2000</v>
      </c>
      <c r="DF213">
        <v>3000</v>
      </c>
      <c r="DG213">
        <v>1800</v>
      </c>
      <c r="DH213">
        <v>1950</v>
      </c>
      <c r="DI213">
        <v>1800</v>
      </c>
      <c r="DJ213">
        <v>2600</v>
      </c>
      <c r="DK213">
        <v>3000</v>
      </c>
      <c r="DL213">
        <v>3000</v>
      </c>
      <c r="DM213">
        <v>850</v>
      </c>
      <c r="DN213">
        <v>1650</v>
      </c>
      <c r="DO213">
        <v>3000</v>
      </c>
      <c r="DP213">
        <v>7000</v>
      </c>
    </row>
    <row r="214" spans="1:121" x14ac:dyDescent="0.2">
      <c r="N214" s="1358" t="s">
        <v>117</v>
      </c>
      <c r="O214" s="1358"/>
      <c r="P214" s="1254"/>
      <c r="Q214" s="1252"/>
      <c r="R214" s="1254"/>
      <c r="S214" s="1254"/>
      <c r="T214" s="1252"/>
      <c r="U214" s="143">
        <f>'Input &amp; Summary'!B12</f>
        <v>96.9</v>
      </c>
      <c r="V214" s="143">
        <v>74</v>
      </c>
      <c r="W214" s="143">
        <v>112</v>
      </c>
      <c r="X214" s="143">
        <v>135</v>
      </c>
      <c r="Y214" s="143">
        <v>80</v>
      </c>
      <c r="Z214" s="143">
        <v>123</v>
      </c>
      <c r="AA214" s="143">
        <v>146</v>
      </c>
      <c r="AB214" s="143">
        <v>84</v>
      </c>
      <c r="AC214" s="143">
        <v>129</v>
      </c>
      <c r="AD214" s="143">
        <v>154</v>
      </c>
      <c r="AE214" s="1055">
        <v>70</v>
      </c>
      <c r="AF214" s="1055">
        <v>77</v>
      </c>
      <c r="AG214" s="3">
        <v>52</v>
      </c>
      <c r="AH214" s="3">
        <v>52</v>
      </c>
      <c r="AI214" s="1053">
        <v>54</v>
      </c>
      <c r="AJ214" s="1055">
        <v>122</v>
      </c>
      <c r="AK214" s="3">
        <v>62</v>
      </c>
      <c r="AL214" s="3">
        <v>100</v>
      </c>
      <c r="AM214" s="3">
        <v>96</v>
      </c>
      <c r="AN214" s="3">
        <v>93</v>
      </c>
      <c r="AO214" s="3">
        <v>89</v>
      </c>
      <c r="AP214" s="1055">
        <v>80</v>
      </c>
      <c r="AQ214" s="1055">
        <v>93</v>
      </c>
      <c r="AR214" s="1055">
        <v>93</v>
      </c>
      <c r="AS214" s="1055">
        <v>93</v>
      </c>
      <c r="AT214" s="3">
        <v>40</v>
      </c>
      <c r="AU214" s="3">
        <v>50</v>
      </c>
      <c r="AV214" s="3">
        <v>70</v>
      </c>
      <c r="AW214" s="1055">
        <v>77</v>
      </c>
      <c r="AX214" s="3">
        <v>80</v>
      </c>
      <c r="AY214" s="3">
        <v>90</v>
      </c>
      <c r="AZ214" s="3">
        <v>100</v>
      </c>
      <c r="BA214" s="3">
        <v>52</v>
      </c>
      <c r="BB214" s="3">
        <v>52</v>
      </c>
      <c r="BC214" s="3">
        <v>80</v>
      </c>
      <c r="BD214" s="3">
        <v>87</v>
      </c>
      <c r="BE214" s="3">
        <v>90</v>
      </c>
      <c r="BF214" s="3">
        <v>70</v>
      </c>
      <c r="BG214" s="3">
        <v>77</v>
      </c>
      <c r="BH214" s="1055">
        <v>82.5</v>
      </c>
      <c r="BI214" s="1055">
        <v>100</v>
      </c>
      <c r="BJ214" s="1053">
        <v>57</v>
      </c>
      <c r="BK214" s="1055">
        <v>61.4</v>
      </c>
      <c r="BL214" s="1055">
        <v>92</v>
      </c>
      <c r="BM214" s="1055">
        <v>95</v>
      </c>
      <c r="BN214" s="1055">
        <v>116</v>
      </c>
      <c r="BO214" s="1055">
        <v>44</v>
      </c>
      <c r="BP214" s="1055">
        <v>48</v>
      </c>
      <c r="BQ214" s="1055">
        <v>52</v>
      </c>
      <c r="BR214" s="3">
        <v>72</v>
      </c>
      <c r="BS214" s="3">
        <v>82</v>
      </c>
      <c r="BT214" s="1055">
        <v>43</v>
      </c>
      <c r="BU214" s="1055">
        <v>60</v>
      </c>
      <c r="BV214" s="1055">
        <v>90</v>
      </c>
      <c r="BW214" s="3">
        <v>80</v>
      </c>
      <c r="BX214" s="3">
        <v>90</v>
      </c>
      <c r="BY214" s="3">
        <v>90</v>
      </c>
      <c r="BZ214" s="1053">
        <v>100</v>
      </c>
      <c r="CA214" s="3">
        <v>77</v>
      </c>
      <c r="CB214" s="3">
        <v>82</v>
      </c>
      <c r="CC214" s="1055">
        <v>82</v>
      </c>
      <c r="CD214" s="3">
        <v>92</v>
      </c>
      <c r="CE214" s="3">
        <v>104</v>
      </c>
      <c r="CF214" s="3">
        <v>126</v>
      </c>
      <c r="CG214" s="3">
        <v>93</v>
      </c>
      <c r="CH214" s="1055">
        <v>107</v>
      </c>
      <c r="CI214" s="1055">
        <v>82.4</v>
      </c>
      <c r="CJ214" s="1055">
        <v>101</v>
      </c>
      <c r="CK214" s="3">
        <v>108</v>
      </c>
      <c r="CL214" s="1055">
        <v>113</v>
      </c>
      <c r="CM214" s="3">
        <v>120</v>
      </c>
      <c r="CN214" s="3">
        <v>64</v>
      </c>
      <c r="CO214" s="3">
        <v>64</v>
      </c>
      <c r="CP214" s="3">
        <v>88</v>
      </c>
      <c r="CQ214" s="3">
        <v>52</v>
      </c>
      <c r="CR214" s="3">
        <v>82</v>
      </c>
      <c r="CS214" s="3">
        <v>46</v>
      </c>
      <c r="CT214" s="3">
        <v>48</v>
      </c>
      <c r="CU214" s="1055">
        <v>42</v>
      </c>
      <c r="CV214" s="1055">
        <v>44</v>
      </c>
      <c r="CW214">
        <v>47</v>
      </c>
      <c r="CX214">
        <v>82</v>
      </c>
      <c r="CY214">
        <v>80</v>
      </c>
      <c r="CZ214" s="1055">
        <v>80</v>
      </c>
      <c r="DA214" s="1055">
        <v>80</v>
      </c>
      <c r="DB214" s="1055">
        <v>90</v>
      </c>
      <c r="DC214">
        <v>90</v>
      </c>
      <c r="DD214">
        <v>90</v>
      </c>
      <c r="DE214">
        <v>90</v>
      </c>
      <c r="DF214">
        <v>90</v>
      </c>
      <c r="DG214">
        <v>100</v>
      </c>
      <c r="DH214">
        <v>100</v>
      </c>
      <c r="DI214">
        <v>100</v>
      </c>
      <c r="DJ214">
        <v>100</v>
      </c>
      <c r="DK214">
        <v>112</v>
      </c>
      <c r="DL214">
        <v>112</v>
      </c>
      <c r="DM214">
        <v>52</v>
      </c>
      <c r="DN214">
        <v>66</v>
      </c>
      <c r="DO214">
        <v>112</v>
      </c>
      <c r="DP214">
        <v>164</v>
      </c>
    </row>
    <row r="215" spans="1:121" ht="15" x14ac:dyDescent="0.25">
      <c r="E215" s="1153"/>
      <c r="N215" s="1358" t="s">
        <v>152</v>
      </c>
      <c r="O215" s="1358"/>
      <c r="P215" s="1254"/>
      <c r="Q215" s="1252"/>
      <c r="R215" s="1254"/>
      <c r="S215" s="1254"/>
      <c r="T215" s="1252"/>
      <c r="V215" s="635" t="s">
        <v>1442</v>
      </c>
      <c r="W215" s="635" t="s">
        <v>1442</v>
      </c>
      <c r="X215" s="635" t="s">
        <v>1442</v>
      </c>
      <c r="Y215" s="635" t="s">
        <v>1428</v>
      </c>
      <c r="Z215" s="635" t="s">
        <v>1428</v>
      </c>
      <c r="AA215" s="635" t="s">
        <v>1428</v>
      </c>
      <c r="AB215" s="635" t="s">
        <v>1429</v>
      </c>
      <c r="AC215" s="635" t="s">
        <v>1429</v>
      </c>
      <c r="AD215" s="635" t="s">
        <v>1429</v>
      </c>
      <c r="AE215" t="s">
        <v>1426</v>
      </c>
      <c r="AF215" t="s">
        <v>1427</v>
      </c>
      <c r="AG215" t="s">
        <v>1430</v>
      </c>
      <c r="AH215" t="s">
        <v>1428</v>
      </c>
      <c r="AI215" t="s">
        <v>1429</v>
      </c>
      <c r="AJ215" t="s">
        <v>1430</v>
      </c>
      <c r="AK215" t="s">
        <v>1430</v>
      </c>
      <c r="AL215" t="s">
        <v>1431</v>
      </c>
      <c r="AM215" t="s">
        <v>1432</v>
      </c>
      <c r="AN215" t="s">
        <v>1433</v>
      </c>
      <c r="AO215" t="s">
        <v>1434</v>
      </c>
      <c r="AP215" t="s">
        <v>1435</v>
      </c>
      <c r="AQ215" t="s">
        <v>1444</v>
      </c>
      <c r="AR215" t="s">
        <v>1444</v>
      </c>
      <c r="AS215" t="s">
        <v>1444</v>
      </c>
      <c r="AT215" t="s">
        <v>1430</v>
      </c>
      <c r="AU215" t="s">
        <v>1430</v>
      </c>
      <c r="AV215" t="s">
        <v>1436</v>
      </c>
      <c r="AW215" t="s">
        <v>1436</v>
      </c>
      <c r="AX215" t="s">
        <v>1437</v>
      </c>
      <c r="AY215" t="s">
        <v>1438</v>
      </c>
      <c r="AZ215" t="s">
        <v>1439</v>
      </c>
      <c r="BA215" t="s">
        <v>1430</v>
      </c>
      <c r="BB215" t="s">
        <v>1437</v>
      </c>
      <c r="BC215" t="s">
        <v>1437</v>
      </c>
      <c r="BD215" t="s">
        <v>1438</v>
      </c>
      <c r="BE215" t="s">
        <v>1439</v>
      </c>
      <c r="BF215" t="s">
        <v>1430</v>
      </c>
      <c r="BG215" t="s">
        <v>1438</v>
      </c>
      <c r="BH215" t="s">
        <v>1440</v>
      </c>
      <c r="BI215" t="s">
        <v>1441</v>
      </c>
      <c r="BJ215" t="s">
        <v>1442</v>
      </c>
      <c r="BK215" t="s">
        <v>1436</v>
      </c>
      <c r="BL215" t="s">
        <v>1438</v>
      </c>
      <c r="BM215" t="s">
        <v>1438</v>
      </c>
      <c r="BN215" t="s">
        <v>1430</v>
      </c>
      <c r="BO215" t="s">
        <v>1436</v>
      </c>
      <c r="BP215" t="s">
        <v>1436</v>
      </c>
      <c r="BQ215" t="s">
        <v>1442</v>
      </c>
      <c r="BR215" t="s">
        <v>1436</v>
      </c>
      <c r="BS215" t="s">
        <v>1429</v>
      </c>
      <c r="BT215" t="s">
        <v>1436</v>
      </c>
      <c r="BU215" t="s">
        <v>1437</v>
      </c>
      <c r="BV215" t="s">
        <v>1428</v>
      </c>
      <c r="BW215" t="s">
        <v>1442</v>
      </c>
      <c r="BX215" t="s">
        <v>1437</v>
      </c>
      <c r="BY215" t="s">
        <v>1438</v>
      </c>
      <c r="BZ215" t="s">
        <v>1439</v>
      </c>
      <c r="CA215" t="s">
        <v>1444</v>
      </c>
      <c r="CB215" t="s">
        <v>1444</v>
      </c>
      <c r="CC215" t="s">
        <v>1437</v>
      </c>
      <c r="CD215" t="s">
        <v>1438</v>
      </c>
      <c r="CE215" t="s">
        <v>1438</v>
      </c>
      <c r="CF215" t="s">
        <v>1430</v>
      </c>
      <c r="CG215" t="s">
        <v>1436</v>
      </c>
      <c r="CH215" t="s">
        <v>1436</v>
      </c>
      <c r="CI215" t="s">
        <v>1437</v>
      </c>
      <c r="CJ215" s="1056" t="s">
        <v>1430</v>
      </c>
      <c r="CK215" s="1056" t="s">
        <v>1430</v>
      </c>
      <c r="CL215" s="1056" t="s">
        <v>1430</v>
      </c>
      <c r="CM215" s="3" t="s">
        <v>1430</v>
      </c>
      <c r="CN215" s="3" t="s">
        <v>1430</v>
      </c>
      <c r="CO215" s="3" t="s">
        <v>1428</v>
      </c>
      <c r="CP215" s="3" t="s">
        <v>1438</v>
      </c>
      <c r="CQ215" s="3" t="s">
        <v>1438</v>
      </c>
      <c r="CR215" s="3" t="s">
        <v>1439</v>
      </c>
      <c r="CS215" s="3" t="s">
        <v>1430</v>
      </c>
      <c r="CT215" s="3" t="s">
        <v>1430</v>
      </c>
      <c r="CU215" s="3" t="s">
        <v>1430</v>
      </c>
      <c r="CV215" s="1056" t="s">
        <v>1430</v>
      </c>
      <c r="CW215" t="s">
        <v>1436</v>
      </c>
      <c r="CX215" t="s">
        <v>1438</v>
      </c>
      <c r="CY215" t="s">
        <v>1442</v>
      </c>
      <c r="CZ215" t="s">
        <v>1437</v>
      </c>
      <c r="DA215" t="s">
        <v>1437</v>
      </c>
      <c r="DB215" t="s">
        <v>1438</v>
      </c>
      <c r="DC215" t="s">
        <v>1439</v>
      </c>
      <c r="DD215" t="s">
        <v>1511</v>
      </c>
      <c r="DE215" t="s">
        <v>1512</v>
      </c>
      <c r="DF215" t="s">
        <v>1443</v>
      </c>
      <c r="DG215" t="s">
        <v>1444</v>
      </c>
      <c r="DH215" t="s">
        <v>1513</v>
      </c>
      <c r="DI215" t="s">
        <v>1514</v>
      </c>
      <c r="DJ215" t="s">
        <v>1513</v>
      </c>
      <c r="DK215" t="s">
        <v>1444</v>
      </c>
      <c r="DL215" t="s">
        <v>1515</v>
      </c>
      <c r="DM215" t="s">
        <v>1435</v>
      </c>
      <c r="DN215" t="s">
        <v>1430</v>
      </c>
      <c r="DO215" t="s">
        <v>1516</v>
      </c>
      <c r="DP215" t="s">
        <v>1515</v>
      </c>
    </row>
    <row r="216" spans="1:121" x14ac:dyDescent="0.2">
      <c r="E216" s="1153"/>
      <c r="U216" s="14"/>
    </row>
    <row r="217" spans="1:121" x14ac:dyDescent="0.2">
      <c r="E217" s="1153"/>
    </row>
    <row r="218" spans="1:121" x14ac:dyDescent="0.2">
      <c r="E218" s="1153"/>
    </row>
    <row r="219" spans="1:121" ht="12.75" customHeight="1" x14ac:dyDescent="0.2">
      <c r="B219" s="1150"/>
      <c r="C219" s="1150"/>
      <c r="D219" s="1150"/>
      <c r="E219" s="1153"/>
    </row>
    <row r="220" spans="1:121" x14ac:dyDescent="0.2">
      <c r="A220" s="1152"/>
      <c r="B220" s="1151"/>
      <c r="C220" s="1151"/>
      <c r="D220" s="1151"/>
      <c r="E220" s="1153"/>
    </row>
    <row r="221" spans="1:121" x14ac:dyDescent="0.2">
      <c r="A221" s="1152"/>
      <c r="B221" s="1151"/>
      <c r="C221" s="1151"/>
      <c r="D221" s="1151"/>
      <c r="E221" s="1153"/>
    </row>
    <row r="222" spans="1:121" x14ac:dyDescent="0.2">
      <c r="A222" s="1152"/>
      <c r="B222" s="1151"/>
      <c r="C222" s="1151"/>
      <c r="D222" s="1151"/>
      <c r="E222" s="1153"/>
      <c r="G222" s="684"/>
      <c r="H222" s="684"/>
    </row>
    <row r="223" spans="1:121" x14ac:dyDescent="0.2">
      <c r="A223" s="1152"/>
      <c r="B223" s="1151"/>
      <c r="C223" s="1151"/>
      <c r="D223" s="1151"/>
      <c r="E223" s="1153"/>
    </row>
    <row r="224" spans="1:121" x14ac:dyDescent="0.2">
      <c r="A224" s="1152"/>
      <c r="B224" s="1151"/>
      <c r="C224" s="1151"/>
      <c r="D224" s="1151"/>
      <c r="E224" s="1153"/>
    </row>
    <row r="225" spans="1:5" x14ac:dyDescent="0.2">
      <c r="A225" s="1152"/>
      <c r="B225" s="1151"/>
      <c r="C225" s="1151"/>
      <c r="D225" s="1151"/>
      <c r="E225" s="1153"/>
    </row>
    <row r="226" spans="1:5" x14ac:dyDescent="0.2">
      <c r="A226" s="1152"/>
      <c r="B226" s="1151"/>
      <c r="C226" s="1151"/>
      <c r="D226" s="1151"/>
      <c r="E226" s="1153"/>
    </row>
    <row r="227" spans="1:5" x14ac:dyDescent="0.2">
      <c r="A227" s="1152"/>
      <c r="B227" s="1151"/>
      <c r="C227" s="1151"/>
      <c r="D227" s="1151"/>
      <c r="E227" s="1153"/>
    </row>
    <row r="228" spans="1:5" x14ac:dyDescent="0.2">
      <c r="A228" s="1152"/>
      <c r="B228" s="1151"/>
      <c r="C228" s="1151"/>
      <c r="D228" s="1151"/>
      <c r="E228" s="1153"/>
    </row>
    <row r="229" spans="1:5" x14ac:dyDescent="0.2">
      <c r="A229" s="1152"/>
      <c r="B229" s="1151"/>
      <c r="C229" s="1151"/>
      <c r="D229" s="1151"/>
      <c r="E229" s="1153"/>
    </row>
    <row r="230" spans="1:5" x14ac:dyDescent="0.2">
      <c r="A230" s="1152"/>
      <c r="B230" s="1151"/>
      <c r="C230" s="1151"/>
      <c r="D230" s="1151"/>
      <c r="E230" s="1153"/>
    </row>
    <row r="231" spans="1:5" x14ac:dyDescent="0.2">
      <c r="A231" s="1152"/>
      <c r="B231" s="1151"/>
      <c r="C231" s="1151"/>
      <c r="D231" s="1151"/>
      <c r="E231" s="1153"/>
    </row>
    <row r="232" spans="1:5" x14ac:dyDescent="0.2">
      <c r="A232" s="1152"/>
      <c r="B232" s="1151"/>
      <c r="C232" s="1151"/>
      <c r="D232" s="1151"/>
      <c r="E232" s="1153"/>
    </row>
    <row r="233" spans="1:5" x14ac:dyDescent="0.2">
      <c r="A233" s="1152"/>
      <c r="B233" s="1151"/>
      <c r="C233" s="1151"/>
      <c r="D233" s="1151"/>
      <c r="E233" s="1153"/>
    </row>
    <row r="234" spans="1:5" x14ac:dyDescent="0.2">
      <c r="A234" s="1152"/>
      <c r="B234" s="1151"/>
      <c r="C234" s="1151"/>
      <c r="D234" s="1151"/>
      <c r="E234" s="1153"/>
    </row>
    <row r="235" spans="1:5" x14ac:dyDescent="0.2">
      <c r="A235" s="1152"/>
      <c r="B235" s="1151"/>
      <c r="C235" s="1151"/>
      <c r="D235" s="1151"/>
      <c r="E235" s="1153"/>
    </row>
    <row r="236" spans="1:5" x14ac:dyDescent="0.2">
      <c r="A236" s="1152"/>
      <c r="B236" s="1151"/>
      <c r="C236" s="1151"/>
      <c r="D236" s="1151"/>
      <c r="E236" s="1153"/>
    </row>
    <row r="237" spans="1:5" x14ac:dyDescent="0.2">
      <c r="A237" s="1152"/>
      <c r="B237" s="1151"/>
      <c r="C237" s="1151"/>
      <c r="D237" s="1151"/>
      <c r="E237" s="1153"/>
    </row>
    <row r="238" spans="1:5" x14ac:dyDescent="0.2">
      <c r="A238" s="1152"/>
      <c r="B238" s="1151"/>
      <c r="C238" s="1151"/>
      <c r="D238" s="1151"/>
      <c r="E238" s="1153"/>
    </row>
    <row r="239" spans="1:5" x14ac:dyDescent="0.2">
      <c r="A239" s="1152"/>
      <c r="B239" s="1151"/>
      <c r="C239" s="1151"/>
      <c r="D239" s="1151"/>
      <c r="E239" s="1153"/>
    </row>
    <row r="240" spans="1:5" x14ac:dyDescent="0.2">
      <c r="A240" s="1152"/>
      <c r="B240" s="1151"/>
      <c r="C240" s="1151"/>
      <c r="D240" s="1151"/>
      <c r="E240" s="1153"/>
    </row>
    <row r="241" spans="1:5" x14ac:dyDescent="0.2">
      <c r="A241" s="1152"/>
      <c r="B241" s="1151"/>
      <c r="C241" s="1151"/>
      <c r="D241" s="1151"/>
      <c r="E241" s="1153"/>
    </row>
    <row r="242" spans="1:5" x14ac:dyDescent="0.2">
      <c r="A242" s="1152"/>
      <c r="B242" s="1151"/>
      <c r="C242" s="1151"/>
      <c r="D242" s="1151"/>
      <c r="E242" s="1153"/>
    </row>
    <row r="243" spans="1:5" x14ac:dyDescent="0.2">
      <c r="A243" s="1152"/>
      <c r="B243" s="1151"/>
      <c r="C243" s="1151"/>
      <c r="D243" s="1151"/>
      <c r="E243" s="1153"/>
    </row>
    <row r="244" spans="1:5" x14ac:dyDescent="0.2">
      <c r="A244" s="1152"/>
      <c r="B244" s="1151"/>
      <c r="C244" s="1151"/>
      <c r="D244" s="1151"/>
      <c r="E244" s="1153"/>
    </row>
    <row r="245" spans="1:5" x14ac:dyDescent="0.2">
      <c r="A245" s="1152"/>
      <c r="B245" s="1151"/>
      <c r="C245" s="1151"/>
      <c r="D245" s="1151"/>
      <c r="E245" s="1153"/>
    </row>
    <row r="246" spans="1:5" x14ac:dyDescent="0.2">
      <c r="A246" s="1152"/>
      <c r="B246" s="1151"/>
      <c r="C246" s="1151"/>
      <c r="D246" s="1151"/>
      <c r="E246" s="1153"/>
    </row>
    <row r="247" spans="1:5" x14ac:dyDescent="0.2">
      <c r="A247" s="1152"/>
      <c r="B247" s="1151"/>
      <c r="C247" s="1151"/>
      <c r="D247" s="1151"/>
      <c r="E247" s="1153"/>
    </row>
    <row r="248" spans="1:5" x14ac:dyDescent="0.2">
      <c r="A248" s="1152"/>
      <c r="B248" s="1151"/>
      <c r="C248" s="1151"/>
      <c r="D248" s="1151"/>
      <c r="E248" s="1153"/>
    </row>
    <row r="249" spans="1:5" x14ac:dyDescent="0.2">
      <c r="A249" s="1152"/>
      <c r="B249" s="1151"/>
      <c r="C249" s="1151"/>
      <c r="D249" s="1151"/>
      <c r="E249" s="1153"/>
    </row>
    <row r="250" spans="1:5" x14ac:dyDescent="0.2">
      <c r="A250" s="1152"/>
      <c r="B250" s="1151"/>
      <c r="C250" s="1151"/>
      <c r="D250" s="1151"/>
      <c r="E250" s="1153"/>
    </row>
    <row r="251" spans="1:5" x14ac:dyDescent="0.2">
      <c r="A251" s="1152"/>
      <c r="B251" s="1151"/>
      <c r="C251" s="1151"/>
      <c r="D251" s="1151"/>
      <c r="E251" s="1153"/>
    </row>
    <row r="252" spans="1:5" x14ac:dyDescent="0.2">
      <c r="A252" s="1152"/>
      <c r="B252" s="1151"/>
      <c r="C252" s="1151"/>
      <c r="D252" s="1151"/>
      <c r="E252" s="1153"/>
    </row>
    <row r="253" spans="1:5" x14ac:dyDescent="0.2">
      <c r="A253" s="1152"/>
      <c r="B253" s="1151"/>
      <c r="C253" s="1151"/>
      <c r="D253" s="1151"/>
      <c r="E253" s="1153"/>
    </row>
    <row r="254" spans="1:5" x14ac:dyDescent="0.2">
      <c r="A254" s="1152"/>
      <c r="B254" s="1151"/>
      <c r="C254" s="1151"/>
      <c r="D254" s="1151"/>
      <c r="E254" s="1153"/>
    </row>
    <row r="255" spans="1:5" x14ac:dyDescent="0.2">
      <c r="A255" s="1152"/>
      <c r="B255" s="1151"/>
      <c r="C255" s="1151"/>
      <c r="D255" s="1151"/>
      <c r="E255" s="1153"/>
    </row>
    <row r="256" spans="1:5" x14ac:dyDescent="0.2">
      <c r="A256" s="1152"/>
      <c r="B256" s="1151"/>
      <c r="C256" s="1151"/>
      <c r="D256" s="1151"/>
      <c r="E256" s="1153"/>
    </row>
    <row r="257" spans="1:5" x14ac:dyDescent="0.2">
      <c r="A257" s="1152"/>
      <c r="B257" s="1151"/>
      <c r="C257" s="1151"/>
      <c r="D257" s="1151"/>
      <c r="E257" s="1153"/>
    </row>
    <row r="258" spans="1:5" x14ac:dyDescent="0.2">
      <c r="A258" s="1152"/>
      <c r="B258" s="1151"/>
      <c r="C258" s="1151"/>
      <c r="D258" s="1151"/>
      <c r="E258" s="1153"/>
    </row>
    <row r="259" spans="1:5" x14ac:dyDescent="0.2">
      <c r="A259" s="1152"/>
      <c r="B259" s="1151"/>
      <c r="C259" s="1151"/>
      <c r="D259" s="1151"/>
      <c r="E259" s="1153"/>
    </row>
    <row r="260" spans="1:5" x14ac:dyDescent="0.2">
      <c r="A260" s="1152"/>
      <c r="B260" s="1151"/>
      <c r="C260" s="1151"/>
      <c r="D260" s="1151"/>
      <c r="E260" s="1153"/>
    </row>
    <row r="261" spans="1:5" x14ac:dyDescent="0.2">
      <c r="A261" s="1152"/>
      <c r="B261" s="1151"/>
      <c r="C261" s="1151"/>
      <c r="D261" s="1151"/>
      <c r="E261" s="1153"/>
    </row>
    <row r="262" spans="1:5" x14ac:dyDescent="0.2">
      <c r="A262" s="1152"/>
      <c r="B262" s="1151"/>
      <c r="C262" s="1151"/>
      <c r="D262" s="1151"/>
      <c r="E262" s="1153"/>
    </row>
    <row r="263" spans="1:5" x14ac:dyDescent="0.2">
      <c r="A263" s="1152"/>
      <c r="B263" s="1151"/>
      <c r="C263" s="1151"/>
      <c r="D263" s="1151"/>
      <c r="E263" s="1153"/>
    </row>
    <row r="264" spans="1:5" x14ac:dyDescent="0.2">
      <c r="A264" s="1152"/>
      <c r="B264" s="1151"/>
      <c r="C264" s="1151"/>
      <c r="D264" s="1151"/>
      <c r="E264" s="1153"/>
    </row>
    <row r="265" spans="1:5" x14ac:dyDescent="0.2">
      <c r="A265" s="1152"/>
      <c r="B265" s="1151"/>
      <c r="C265" s="1151"/>
      <c r="D265" s="1151"/>
      <c r="E265" s="1153"/>
    </row>
    <row r="266" spans="1:5" x14ac:dyDescent="0.2">
      <c r="A266" s="1152"/>
      <c r="B266" s="1151"/>
      <c r="C266" s="1151"/>
      <c r="D266" s="1151"/>
      <c r="E266" s="1153"/>
    </row>
    <row r="267" spans="1:5" x14ac:dyDescent="0.2">
      <c r="A267" s="1152"/>
      <c r="B267" s="1151"/>
      <c r="C267" s="1151"/>
      <c r="D267" s="1151"/>
      <c r="E267" s="1153"/>
    </row>
    <row r="268" spans="1:5" x14ac:dyDescent="0.2">
      <c r="A268" s="1152"/>
      <c r="B268" s="1151"/>
      <c r="C268" s="1151"/>
      <c r="D268" s="1151"/>
      <c r="E268" s="1153"/>
    </row>
    <row r="269" spans="1:5" x14ac:dyDescent="0.2">
      <c r="A269" s="1152"/>
      <c r="B269" s="1151"/>
      <c r="C269" s="1151"/>
      <c r="D269" s="1151"/>
      <c r="E269" s="1153"/>
    </row>
    <row r="270" spans="1:5" x14ac:dyDescent="0.2">
      <c r="A270" s="1152"/>
      <c r="B270" s="1151"/>
      <c r="C270" s="1151"/>
      <c r="D270" s="1151"/>
      <c r="E270" s="1153"/>
    </row>
    <row r="271" spans="1:5" x14ac:dyDescent="0.2">
      <c r="A271" s="1152"/>
      <c r="B271" s="1151"/>
      <c r="C271" s="1151"/>
      <c r="D271" s="1151"/>
      <c r="E271" s="1153"/>
    </row>
    <row r="272" spans="1:5" x14ac:dyDescent="0.2">
      <c r="A272" s="1152"/>
      <c r="B272" s="1151"/>
      <c r="C272" s="1151"/>
      <c r="D272" s="1151"/>
      <c r="E272" s="1153"/>
    </row>
    <row r="273" spans="1:5" x14ac:dyDescent="0.2">
      <c r="A273" s="1152"/>
      <c r="B273" s="1151"/>
      <c r="C273" s="1151"/>
      <c r="D273" s="1151"/>
      <c r="E273" s="1153"/>
    </row>
    <row r="274" spans="1:5" x14ac:dyDescent="0.2">
      <c r="A274" s="1152"/>
      <c r="B274" s="1151"/>
      <c r="C274" s="1151"/>
      <c r="D274" s="1151"/>
      <c r="E274" s="1153"/>
    </row>
    <row r="275" spans="1:5" x14ac:dyDescent="0.2">
      <c r="A275" s="1152"/>
      <c r="B275" s="1151"/>
      <c r="C275" s="1151"/>
      <c r="D275" s="1151"/>
      <c r="E275" s="1153"/>
    </row>
    <row r="276" spans="1:5" x14ac:dyDescent="0.2">
      <c r="A276" s="1152"/>
      <c r="B276" s="1151"/>
      <c r="C276" s="1151"/>
      <c r="D276" s="1151"/>
      <c r="E276" s="1153"/>
    </row>
    <row r="277" spans="1:5" x14ac:dyDescent="0.2">
      <c r="A277" s="1152"/>
      <c r="B277" s="1151"/>
      <c r="C277" s="1151"/>
      <c r="D277" s="1151"/>
      <c r="E277" s="1153"/>
    </row>
    <row r="278" spans="1:5" x14ac:dyDescent="0.2">
      <c r="A278" s="1152"/>
      <c r="B278" s="1151"/>
      <c r="C278" s="1151"/>
      <c r="D278" s="1151"/>
      <c r="E278" s="1153"/>
    </row>
    <row r="279" spans="1:5" x14ac:dyDescent="0.2">
      <c r="A279" s="1152"/>
      <c r="B279" s="1151"/>
      <c r="C279" s="1151"/>
      <c r="D279" s="1151"/>
      <c r="E279" s="1153"/>
    </row>
    <row r="280" spans="1:5" x14ac:dyDescent="0.2">
      <c r="A280" s="1152"/>
      <c r="B280" s="1151"/>
      <c r="C280" s="1151"/>
      <c r="D280" s="1151"/>
      <c r="E280" s="1153"/>
    </row>
    <row r="281" spans="1:5" x14ac:dyDescent="0.2">
      <c r="A281" s="1152"/>
      <c r="B281" s="1151"/>
      <c r="C281" s="1151"/>
      <c r="D281" s="1151"/>
      <c r="E281" s="1153"/>
    </row>
    <row r="282" spans="1:5" x14ac:dyDescent="0.2">
      <c r="A282" s="1152"/>
      <c r="B282" s="1151"/>
      <c r="C282" s="1151"/>
      <c r="D282" s="1151"/>
      <c r="E282" s="1153"/>
    </row>
    <row r="283" spans="1:5" x14ac:dyDescent="0.2">
      <c r="A283" s="1152"/>
      <c r="B283" s="1151"/>
      <c r="C283" s="1151"/>
      <c r="D283" s="1151"/>
      <c r="E283" s="1153"/>
    </row>
    <row r="284" spans="1:5" x14ac:dyDescent="0.2">
      <c r="A284" s="1152"/>
      <c r="B284" s="1151"/>
      <c r="C284" s="1151"/>
      <c r="D284" s="1151"/>
      <c r="E284" s="1153"/>
    </row>
    <row r="285" spans="1:5" x14ac:dyDescent="0.2">
      <c r="A285" s="1152"/>
      <c r="B285" s="1151"/>
      <c r="C285" s="1151"/>
      <c r="D285" s="1151"/>
      <c r="E285" s="1153"/>
    </row>
    <row r="286" spans="1:5" x14ac:dyDescent="0.2">
      <c r="A286" s="1152"/>
      <c r="B286" s="1151"/>
      <c r="C286" s="1151"/>
      <c r="D286" s="1151"/>
      <c r="E286" s="1153"/>
    </row>
    <row r="287" spans="1:5" x14ac:dyDescent="0.2">
      <c r="A287" s="1152"/>
      <c r="B287" s="1151"/>
      <c r="C287" s="1151"/>
      <c r="D287" s="1151"/>
      <c r="E287" s="1153"/>
    </row>
    <row r="288" spans="1:5" x14ac:dyDescent="0.2">
      <c r="A288" s="1152"/>
      <c r="B288" s="1151"/>
      <c r="C288" s="1151"/>
      <c r="D288" s="1151"/>
      <c r="E288" s="1153"/>
    </row>
    <row r="289" spans="1:5" x14ac:dyDescent="0.2">
      <c r="A289" s="1152"/>
      <c r="B289" s="1151"/>
      <c r="C289" s="1151"/>
      <c r="D289" s="1151"/>
      <c r="E289" s="1153"/>
    </row>
    <row r="290" spans="1:5" x14ac:dyDescent="0.2">
      <c r="A290" s="1152"/>
      <c r="B290" s="1151"/>
      <c r="C290" s="1151"/>
      <c r="D290" s="1151"/>
      <c r="E290" s="1153"/>
    </row>
    <row r="291" spans="1:5" x14ac:dyDescent="0.2">
      <c r="A291" s="1152"/>
      <c r="B291" s="1151"/>
      <c r="C291" s="1151"/>
      <c r="D291" s="1151"/>
      <c r="E291" s="1153"/>
    </row>
    <row r="292" spans="1:5" x14ac:dyDescent="0.2">
      <c r="A292" s="1152"/>
      <c r="B292" s="1151"/>
      <c r="C292" s="1151"/>
      <c r="D292" s="1151"/>
      <c r="E292" s="1153"/>
    </row>
    <row r="293" spans="1:5" x14ac:dyDescent="0.2">
      <c r="A293" s="1152"/>
      <c r="B293" s="1151"/>
      <c r="C293" s="1151"/>
      <c r="D293" s="1151"/>
      <c r="E293" s="1153"/>
    </row>
    <row r="294" spans="1:5" x14ac:dyDescent="0.2">
      <c r="A294" s="1152"/>
      <c r="B294" s="1151"/>
      <c r="C294" s="1151"/>
      <c r="D294" s="1151"/>
      <c r="E294" s="1153"/>
    </row>
    <row r="295" spans="1:5" x14ac:dyDescent="0.2">
      <c r="A295" s="1152"/>
      <c r="B295" s="1151"/>
      <c r="C295" s="1151"/>
      <c r="D295" s="1151"/>
      <c r="E295" s="1153"/>
    </row>
    <row r="296" spans="1:5" x14ac:dyDescent="0.2">
      <c r="A296" s="1152"/>
      <c r="B296" s="1151"/>
      <c r="C296" s="1151"/>
      <c r="D296" s="1151"/>
      <c r="E296" s="1153"/>
    </row>
    <row r="297" spans="1:5" x14ac:dyDescent="0.2">
      <c r="A297" s="1152"/>
      <c r="B297" s="1151"/>
      <c r="C297" s="1151"/>
      <c r="D297" s="1151"/>
      <c r="E297" s="1153"/>
    </row>
    <row r="298" spans="1:5" x14ac:dyDescent="0.2">
      <c r="A298" s="1152"/>
      <c r="B298" s="1151"/>
      <c r="C298" s="1151"/>
      <c r="D298" s="1151"/>
      <c r="E298" s="1153"/>
    </row>
    <row r="299" spans="1:5" x14ac:dyDescent="0.2">
      <c r="A299" s="1152"/>
      <c r="B299" s="1151"/>
      <c r="C299" s="1151"/>
      <c r="D299" s="1151"/>
      <c r="E299" s="1153"/>
    </row>
    <row r="300" spans="1:5" x14ac:dyDescent="0.2">
      <c r="A300" s="1152"/>
      <c r="B300" s="1151"/>
      <c r="C300" s="1151"/>
      <c r="D300" s="1151"/>
      <c r="E300" s="1153"/>
    </row>
    <row r="301" spans="1:5" x14ac:dyDescent="0.2">
      <c r="A301" s="1152"/>
      <c r="B301" s="1151"/>
      <c r="C301" s="1151"/>
      <c r="D301" s="1151"/>
      <c r="E301" s="1153"/>
    </row>
    <row r="302" spans="1:5" x14ac:dyDescent="0.2">
      <c r="A302" s="1152"/>
      <c r="B302" s="1151"/>
      <c r="C302" s="1151"/>
      <c r="D302" s="1151"/>
      <c r="E302" s="1153"/>
    </row>
    <row r="303" spans="1:5" x14ac:dyDescent="0.2">
      <c r="A303" s="1152"/>
      <c r="B303" s="1151"/>
      <c r="C303" s="1151"/>
      <c r="D303" s="1151"/>
      <c r="E303" s="1153"/>
    </row>
    <row r="304" spans="1:5" x14ac:dyDescent="0.2">
      <c r="A304" s="1152"/>
      <c r="B304" s="1151"/>
      <c r="C304" s="1151"/>
      <c r="D304" s="1151"/>
      <c r="E304" s="1153"/>
    </row>
    <row r="305" spans="1:5" x14ac:dyDescent="0.2">
      <c r="A305" s="1152"/>
      <c r="B305" s="1151"/>
      <c r="C305" s="1151"/>
      <c r="D305" s="1151"/>
      <c r="E305" s="1153"/>
    </row>
    <row r="306" spans="1:5" x14ac:dyDescent="0.2">
      <c r="A306" s="1152"/>
      <c r="B306" s="1151"/>
      <c r="C306" s="1151"/>
      <c r="D306" s="1151"/>
      <c r="E306" s="1153"/>
    </row>
    <row r="307" spans="1:5" x14ac:dyDescent="0.2">
      <c r="A307" s="1152"/>
      <c r="B307" s="1151"/>
      <c r="C307" s="1151"/>
      <c r="D307" s="1151"/>
      <c r="E307" s="1153"/>
    </row>
    <row r="308" spans="1:5" x14ac:dyDescent="0.2">
      <c r="A308" s="1152"/>
      <c r="B308" s="1151"/>
      <c r="C308" s="1151"/>
      <c r="D308" s="1151"/>
      <c r="E308" s="1153"/>
    </row>
    <row r="309" spans="1:5" x14ac:dyDescent="0.2">
      <c r="A309" s="1152"/>
      <c r="B309" s="1151"/>
      <c r="C309" s="1151"/>
      <c r="D309" s="1151"/>
      <c r="E309" s="1153"/>
    </row>
    <row r="310" spans="1:5" x14ac:dyDescent="0.2">
      <c r="A310" s="1152"/>
      <c r="B310" s="1151"/>
      <c r="C310" s="1151"/>
      <c r="D310" s="1151"/>
      <c r="E310" s="1153"/>
    </row>
    <row r="311" spans="1:5" x14ac:dyDescent="0.2">
      <c r="A311" s="1152"/>
      <c r="B311" s="1151"/>
      <c r="C311" s="1151"/>
      <c r="D311" s="1151"/>
      <c r="E311" s="1153"/>
    </row>
    <row r="312" spans="1:5" x14ac:dyDescent="0.2">
      <c r="A312" s="1152"/>
      <c r="B312" s="1151"/>
      <c r="C312" s="1151"/>
      <c r="D312" s="1151"/>
      <c r="E312" s="1153"/>
    </row>
    <row r="313" spans="1:5" x14ac:dyDescent="0.2">
      <c r="A313" s="1152"/>
      <c r="B313" s="1151"/>
      <c r="C313" s="1151"/>
      <c r="D313" s="1151"/>
      <c r="E313" s="1153"/>
    </row>
    <row r="314" spans="1:5" x14ac:dyDescent="0.2">
      <c r="A314" s="1152"/>
      <c r="B314" s="1151"/>
      <c r="C314" s="1151"/>
      <c r="D314" s="1151"/>
      <c r="E314" s="1153"/>
    </row>
    <row r="315" spans="1:5" x14ac:dyDescent="0.2">
      <c r="A315" s="1152"/>
      <c r="B315" s="1151"/>
      <c r="C315" s="1151"/>
      <c r="D315" s="1151"/>
      <c r="E315" s="1153"/>
    </row>
    <row r="316" spans="1:5" x14ac:dyDescent="0.2">
      <c r="A316" s="1152"/>
      <c r="B316" s="1151"/>
      <c r="C316" s="1151"/>
      <c r="D316" s="1151"/>
      <c r="E316" s="1153"/>
    </row>
    <row r="317" spans="1:5" x14ac:dyDescent="0.2">
      <c r="A317" s="1152"/>
      <c r="B317" s="1151"/>
      <c r="C317" s="1151"/>
      <c r="D317" s="1151"/>
      <c r="E317" s="1153"/>
    </row>
    <row r="318" spans="1:5" x14ac:dyDescent="0.2">
      <c r="A318" s="1152"/>
      <c r="B318" s="1151"/>
      <c r="C318" s="1151"/>
      <c r="D318" s="1151"/>
      <c r="E318" s="1153"/>
    </row>
    <row r="319" spans="1:5" x14ac:dyDescent="0.2">
      <c r="A319" s="1152"/>
      <c r="B319" s="1151"/>
      <c r="C319" s="1151"/>
      <c r="D319" s="1151"/>
      <c r="E319" s="1153"/>
    </row>
    <row r="320" spans="1:5" x14ac:dyDescent="0.2">
      <c r="A320" s="1152"/>
      <c r="B320" s="1151"/>
      <c r="C320" s="1151"/>
      <c r="D320" s="1151"/>
      <c r="E320" s="1153"/>
    </row>
    <row r="321" spans="1:5" x14ac:dyDescent="0.2">
      <c r="A321" s="1152"/>
      <c r="B321" s="1151"/>
      <c r="C321" s="1151"/>
      <c r="D321" s="1151"/>
      <c r="E321" s="1153"/>
    </row>
    <row r="322" spans="1:5" x14ac:dyDescent="0.2">
      <c r="A322" s="1152"/>
      <c r="B322" s="1151"/>
      <c r="C322" s="1151"/>
      <c r="D322" s="1151"/>
      <c r="E322" s="1153"/>
    </row>
    <row r="323" spans="1:5" x14ac:dyDescent="0.2">
      <c r="A323" s="1152"/>
      <c r="B323" s="1151"/>
      <c r="C323" s="1151"/>
      <c r="D323" s="1151"/>
      <c r="E323" s="1153"/>
    </row>
    <row r="324" spans="1:5" x14ac:dyDescent="0.2">
      <c r="A324" s="1152"/>
      <c r="B324" s="1151"/>
      <c r="C324" s="1151"/>
      <c r="D324" s="1151"/>
      <c r="E324" s="1153"/>
    </row>
    <row r="325" spans="1:5" x14ac:dyDescent="0.2">
      <c r="A325" s="1152"/>
      <c r="B325" s="1151"/>
      <c r="C325" s="1151"/>
      <c r="D325" s="1151"/>
      <c r="E325" s="1153"/>
    </row>
    <row r="326" spans="1:5" x14ac:dyDescent="0.2">
      <c r="A326" s="1152"/>
      <c r="B326" s="1151"/>
      <c r="C326" s="1151"/>
      <c r="D326" s="1151"/>
      <c r="E326" s="1153"/>
    </row>
    <row r="327" spans="1:5" x14ac:dyDescent="0.2">
      <c r="A327" s="1152"/>
      <c r="B327" s="1151"/>
      <c r="C327" s="1151"/>
      <c r="D327" s="1151"/>
      <c r="E327" s="1153"/>
    </row>
    <row r="328" spans="1:5" x14ac:dyDescent="0.2">
      <c r="A328" s="1152"/>
      <c r="B328" s="1151"/>
      <c r="C328" s="1151"/>
      <c r="D328" s="1151"/>
      <c r="E328" s="1153"/>
    </row>
    <row r="329" spans="1:5" x14ac:dyDescent="0.2">
      <c r="A329" s="1152"/>
      <c r="B329" s="1151"/>
      <c r="C329" s="1151"/>
      <c r="D329" s="1151"/>
      <c r="E329" s="1153"/>
    </row>
    <row r="330" spans="1:5" x14ac:dyDescent="0.2">
      <c r="A330" s="1152"/>
      <c r="B330" s="1151"/>
      <c r="C330" s="1151"/>
      <c r="D330" s="1151"/>
      <c r="E330" s="1153"/>
    </row>
    <row r="331" spans="1:5" x14ac:dyDescent="0.2">
      <c r="A331" s="1152"/>
      <c r="B331" s="1151"/>
      <c r="C331" s="1151"/>
      <c r="D331" s="1151"/>
      <c r="E331" s="1153"/>
    </row>
    <row r="332" spans="1:5" x14ac:dyDescent="0.2">
      <c r="A332" s="1152"/>
      <c r="B332" s="1151"/>
      <c r="C332" s="1151"/>
      <c r="D332" s="1151"/>
      <c r="E332" s="1153"/>
    </row>
    <row r="333" spans="1:5" x14ac:dyDescent="0.2">
      <c r="A333" s="1152"/>
      <c r="B333" s="1151"/>
      <c r="C333" s="1151"/>
      <c r="D333" s="1151"/>
      <c r="E333" s="1153"/>
    </row>
    <row r="334" spans="1:5" x14ac:dyDescent="0.2">
      <c r="A334" s="1152"/>
      <c r="B334" s="1151"/>
      <c r="C334" s="1151"/>
      <c r="D334" s="1151"/>
      <c r="E334" s="1153"/>
    </row>
    <row r="335" spans="1:5" x14ac:dyDescent="0.2">
      <c r="A335" s="1152"/>
      <c r="B335" s="1151"/>
      <c r="C335" s="1151"/>
      <c r="D335" s="1151"/>
      <c r="E335" s="1153"/>
    </row>
    <row r="336" spans="1:5" x14ac:dyDescent="0.2">
      <c r="A336" s="1152"/>
      <c r="B336" s="1151"/>
      <c r="C336" s="1151"/>
      <c r="D336" s="1151"/>
      <c r="E336" s="1153"/>
    </row>
    <row r="337" spans="1:5" x14ac:dyDescent="0.2">
      <c r="A337" s="1152"/>
      <c r="B337" s="1151"/>
      <c r="C337" s="1151"/>
      <c r="D337" s="1151"/>
      <c r="E337" s="1153"/>
    </row>
    <row r="338" spans="1:5" x14ac:dyDescent="0.2">
      <c r="A338" s="1152"/>
      <c r="B338" s="1151"/>
      <c r="C338" s="1151"/>
      <c r="D338" s="1151"/>
      <c r="E338" s="1153"/>
    </row>
    <row r="339" spans="1:5" x14ac:dyDescent="0.2">
      <c r="A339" s="1152"/>
      <c r="B339" s="1151"/>
      <c r="C339" s="1151"/>
      <c r="D339" s="1151"/>
      <c r="E339" s="1153"/>
    </row>
    <row r="340" spans="1:5" x14ac:dyDescent="0.2">
      <c r="A340" s="1152"/>
      <c r="B340" s="1151"/>
      <c r="C340" s="1151"/>
      <c r="D340" s="1151"/>
      <c r="E340" s="1153"/>
    </row>
    <row r="341" spans="1:5" x14ac:dyDescent="0.2">
      <c r="A341" s="1152"/>
      <c r="B341" s="1151"/>
      <c r="C341" s="1151"/>
      <c r="D341" s="1151"/>
      <c r="E341" s="1153"/>
    </row>
    <row r="342" spans="1:5" x14ac:dyDescent="0.2">
      <c r="A342" s="1152"/>
      <c r="B342" s="1151"/>
      <c r="C342" s="1151"/>
      <c r="D342" s="1151"/>
      <c r="E342" s="1153"/>
    </row>
    <row r="343" spans="1:5" x14ac:dyDescent="0.2">
      <c r="A343" s="1152"/>
      <c r="B343" s="1151"/>
      <c r="C343" s="1151"/>
      <c r="D343" s="1151"/>
      <c r="E343" s="1153"/>
    </row>
    <row r="344" spans="1:5" x14ac:dyDescent="0.2">
      <c r="A344" s="1152"/>
      <c r="B344" s="1151"/>
      <c r="C344" s="1151"/>
      <c r="D344" s="1151"/>
      <c r="E344" s="1153"/>
    </row>
    <row r="345" spans="1:5" x14ac:dyDescent="0.2">
      <c r="A345" s="1152"/>
      <c r="B345" s="1151"/>
      <c r="C345" s="1151"/>
      <c r="D345" s="1151"/>
      <c r="E345" s="1153"/>
    </row>
    <row r="346" spans="1:5" x14ac:dyDescent="0.2">
      <c r="A346" s="1152"/>
      <c r="B346" s="1151"/>
      <c r="C346" s="1151"/>
      <c r="D346" s="1151"/>
      <c r="E346" s="1153"/>
    </row>
    <row r="347" spans="1:5" x14ac:dyDescent="0.2">
      <c r="A347" s="1152"/>
      <c r="B347" s="1151"/>
      <c r="C347" s="1151"/>
      <c r="D347" s="1151"/>
      <c r="E347" s="1153"/>
    </row>
    <row r="348" spans="1:5" x14ac:dyDescent="0.2">
      <c r="A348" s="1152"/>
      <c r="B348" s="1151"/>
      <c r="C348" s="1151"/>
      <c r="D348" s="1151"/>
      <c r="E348" s="1153"/>
    </row>
    <row r="349" spans="1:5" x14ac:dyDescent="0.2">
      <c r="A349" s="1152"/>
      <c r="B349" s="1151"/>
      <c r="C349" s="1151"/>
      <c r="D349" s="1151"/>
      <c r="E349" s="1153"/>
    </row>
    <row r="350" spans="1:5" x14ac:dyDescent="0.2">
      <c r="A350" s="1152"/>
      <c r="B350" s="1151"/>
      <c r="C350" s="1151"/>
      <c r="D350" s="1151"/>
      <c r="E350" s="1153"/>
    </row>
    <row r="351" spans="1:5" x14ac:dyDescent="0.2">
      <c r="A351" s="1152"/>
      <c r="B351" s="1151"/>
      <c r="C351" s="1151"/>
      <c r="D351" s="1151"/>
      <c r="E351" s="1153"/>
    </row>
    <row r="352" spans="1:5" x14ac:dyDescent="0.2">
      <c r="A352" s="1152"/>
      <c r="B352" s="1151"/>
      <c r="C352" s="1151"/>
      <c r="D352" s="1151"/>
      <c r="E352" s="1153"/>
    </row>
    <row r="353" spans="1:5" x14ac:dyDescent="0.2">
      <c r="A353" s="1152"/>
      <c r="B353" s="1151"/>
      <c r="C353" s="1151"/>
      <c r="D353" s="1151"/>
      <c r="E353" s="1153"/>
    </row>
    <row r="354" spans="1:5" x14ac:dyDescent="0.2">
      <c r="A354" s="1152"/>
      <c r="B354" s="1151"/>
      <c r="C354" s="1151"/>
      <c r="D354" s="1151"/>
      <c r="E354" s="1153"/>
    </row>
    <row r="355" spans="1:5" x14ac:dyDescent="0.2">
      <c r="A355" s="1152"/>
      <c r="B355" s="1151"/>
      <c r="C355" s="1151"/>
      <c r="D355" s="1151"/>
      <c r="E355" s="1153"/>
    </row>
    <row r="356" spans="1:5" x14ac:dyDescent="0.2">
      <c r="A356" s="1152"/>
      <c r="B356" s="1151"/>
      <c r="C356" s="1151"/>
      <c r="D356" s="1151"/>
      <c r="E356" s="1153"/>
    </row>
    <row r="357" spans="1:5" x14ac:dyDescent="0.2">
      <c r="A357" s="1152"/>
      <c r="B357" s="1151"/>
      <c r="C357" s="1151"/>
      <c r="D357" s="1151"/>
      <c r="E357" s="1153"/>
    </row>
    <row r="358" spans="1:5" x14ac:dyDescent="0.2">
      <c r="A358" s="1152"/>
      <c r="B358" s="1151"/>
      <c r="C358" s="1151"/>
      <c r="D358" s="1151"/>
      <c r="E358" s="1153"/>
    </row>
    <row r="359" spans="1:5" x14ac:dyDescent="0.2">
      <c r="A359" s="1152"/>
      <c r="B359" s="1151"/>
      <c r="C359" s="1151"/>
      <c r="D359" s="1151"/>
      <c r="E359" s="1153"/>
    </row>
    <row r="360" spans="1:5" x14ac:dyDescent="0.2">
      <c r="A360" s="1152"/>
      <c r="B360" s="1151"/>
      <c r="C360" s="1151"/>
      <c r="D360" s="1151"/>
      <c r="E360" s="1153"/>
    </row>
    <row r="361" spans="1:5" x14ac:dyDescent="0.2">
      <c r="A361" s="1152"/>
      <c r="B361" s="1151"/>
      <c r="C361" s="1151"/>
      <c r="D361" s="1151"/>
      <c r="E361" s="1153"/>
    </row>
    <row r="362" spans="1:5" x14ac:dyDescent="0.2">
      <c r="A362" s="1152"/>
      <c r="B362" s="1151"/>
      <c r="C362" s="1151"/>
      <c r="D362" s="1151"/>
      <c r="E362" s="1153"/>
    </row>
    <row r="363" spans="1:5" x14ac:dyDescent="0.2">
      <c r="A363" s="1152"/>
      <c r="B363" s="1151"/>
      <c r="C363" s="1151"/>
      <c r="D363" s="1151"/>
      <c r="E363" s="1153"/>
    </row>
    <row r="364" spans="1:5" x14ac:dyDescent="0.2">
      <c r="A364" s="1152"/>
      <c r="B364" s="1151"/>
      <c r="C364" s="1151"/>
      <c r="D364" s="1151"/>
      <c r="E364" s="1153"/>
    </row>
    <row r="365" spans="1:5" x14ac:dyDescent="0.2">
      <c r="A365" s="1152"/>
      <c r="B365" s="1151"/>
      <c r="C365" s="1151"/>
      <c r="D365" s="1151"/>
      <c r="E365" s="1153"/>
    </row>
    <row r="366" spans="1:5" x14ac:dyDescent="0.2">
      <c r="A366" s="1152"/>
      <c r="B366" s="1151"/>
      <c r="C366" s="1151"/>
      <c r="D366" s="1151"/>
      <c r="E366" s="1153"/>
    </row>
    <row r="367" spans="1:5" x14ac:dyDescent="0.2">
      <c r="A367" s="1152"/>
      <c r="B367" s="1151"/>
      <c r="C367" s="1151"/>
      <c r="D367" s="1151"/>
      <c r="E367" s="1153"/>
    </row>
    <row r="368" spans="1:5" x14ac:dyDescent="0.2">
      <c r="A368" s="1152"/>
      <c r="B368" s="1151"/>
      <c r="C368" s="1151"/>
      <c r="D368" s="1151"/>
      <c r="E368" s="1153"/>
    </row>
    <row r="369" spans="1:5" x14ac:dyDescent="0.2">
      <c r="A369" s="1152"/>
      <c r="B369" s="1151"/>
      <c r="C369" s="1151"/>
      <c r="D369" s="1151"/>
      <c r="E369" s="1153"/>
    </row>
    <row r="370" spans="1:5" x14ac:dyDescent="0.2">
      <c r="A370" s="1152"/>
      <c r="B370" s="1151"/>
      <c r="C370" s="1151"/>
      <c r="D370" s="1151"/>
      <c r="E370" s="1153"/>
    </row>
    <row r="371" spans="1:5" x14ac:dyDescent="0.2">
      <c r="A371" s="1152"/>
      <c r="B371" s="1151"/>
      <c r="C371" s="1151"/>
      <c r="D371" s="1151"/>
      <c r="E371" s="1153"/>
    </row>
    <row r="372" spans="1:5" x14ac:dyDescent="0.2">
      <c r="A372" s="1152"/>
      <c r="B372" s="1151"/>
      <c r="C372" s="1151"/>
      <c r="D372" s="1151"/>
      <c r="E372" s="1153"/>
    </row>
    <row r="373" spans="1:5" x14ac:dyDescent="0.2">
      <c r="A373" s="1152"/>
      <c r="B373" s="1151"/>
      <c r="C373" s="1151"/>
      <c r="D373" s="1151"/>
      <c r="E373" s="1153"/>
    </row>
    <row r="374" spans="1:5" x14ac:dyDescent="0.2">
      <c r="A374" s="1152"/>
      <c r="B374" s="1151"/>
      <c r="C374" s="1151"/>
      <c r="D374" s="1151"/>
      <c r="E374" s="1153"/>
    </row>
    <row r="375" spans="1:5" x14ac:dyDescent="0.2">
      <c r="A375" s="1152"/>
      <c r="B375" s="1151"/>
      <c r="C375" s="1151"/>
      <c r="D375" s="1151"/>
    </row>
    <row r="376" spans="1:5" x14ac:dyDescent="0.2">
      <c r="A376" s="1152"/>
      <c r="B376" s="1151"/>
      <c r="C376" s="1151"/>
      <c r="D376" s="1151"/>
    </row>
    <row r="377" spans="1:5" x14ac:dyDescent="0.2">
      <c r="A377" s="1152"/>
      <c r="B377" s="1151"/>
      <c r="C377" s="1151"/>
      <c r="D377" s="1151"/>
    </row>
    <row r="378" spans="1:5" x14ac:dyDescent="0.2">
      <c r="A378" s="1152"/>
      <c r="B378" s="1151"/>
      <c r="C378" s="1151"/>
      <c r="D378" s="1151"/>
    </row>
    <row r="379" spans="1:5" x14ac:dyDescent="0.2">
      <c r="A379" s="1152"/>
      <c r="B379" s="1151"/>
      <c r="C379" s="1151"/>
      <c r="D379" s="1151"/>
    </row>
    <row r="380" spans="1:5" x14ac:dyDescent="0.2">
      <c r="A380" s="1152"/>
      <c r="B380" s="1151"/>
      <c r="C380" s="1151"/>
      <c r="D380" s="1151"/>
    </row>
  </sheetData>
  <mergeCells count="3">
    <mergeCell ref="N215:O215"/>
    <mergeCell ref="N214:O214"/>
    <mergeCell ref="N213:O213"/>
  </mergeCells>
  <phoneticPr fontId="0" type="noConversion"/>
  <conditionalFormatting sqref="H51:H211 T51:T211">
    <cfRule type="colorScale" priority="3">
      <colorScale>
        <cfvo type="min"/>
        <cfvo type="percentile" val="50"/>
        <cfvo type="max"/>
        <color rgb="FFF8696B"/>
        <color rgb="FFFFEB84"/>
        <color rgb="FF63BE7B"/>
      </colorScale>
    </cfRule>
  </conditionalFormatting>
  <conditionalFormatting sqref="P51:P211">
    <cfRule type="colorScale" priority="2">
      <colorScale>
        <cfvo type="min"/>
        <cfvo type="percentile" val="50"/>
        <cfvo type="max"/>
        <color rgb="FFF8696B"/>
        <color rgb="FFFFEB84"/>
        <color rgb="FF63BE7B"/>
      </colorScale>
    </cfRule>
  </conditionalFormatting>
  <conditionalFormatting sqref="S51:S211">
    <cfRule type="colorScale" priority="1">
      <colorScale>
        <cfvo type="min"/>
        <cfvo type="percentile" val="50"/>
        <cfvo type="max"/>
        <color rgb="FFF8696B"/>
        <color rgb="FFFFEB84"/>
        <color rgb="FF63BE7B"/>
      </colorScale>
    </cfRule>
  </conditionalFormatting>
  <pageMargins left="0.75" right="0.75" top="1" bottom="1" header="0.5" footer="0.5"/>
  <pageSetup orientation="portrait"/>
  <headerFooter alignWithMargins="0"/>
  <drawing r:id="rId1"/>
  <legacyDrawing r:id="rId2"/>
  <extLst>
    <ext xmlns:mx="http://schemas.microsoft.com/office/mac/excel/2008/main" uri="{64002731-A6B0-56B0-2670-7721B7C09600}">
      <mx:PLV Mode="0" OnePage="0" WScale="0"/>
    </ext>
  </extLst>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3"/>
  </sheetPr>
  <dimension ref="A1:M274"/>
  <sheetViews>
    <sheetView workbookViewId="0"/>
  </sheetViews>
  <sheetFormatPr defaultColWidth="8.85546875" defaultRowHeight="12.75" x14ac:dyDescent="0.2"/>
  <cols>
    <col min="1" max="1" width="48.85546875" customWidth="1"/>
    <col min="2" max="2" width="7" customWidth="1"/>
    <col min="3" max="3" width="7.42578125" bestFit="1" customWidth="1"/>
    <col min="4" max="4" width="19" customWidth="1"/>
    <col min="5" max="5" width="12.85546875" customWidth="1"/>
    <col min="8" max="8" width="35.85546875" customWidth="1"/>
    <col min="11" max="11" width="15.85546875" customWidth="1"/>
    <col min="12" max="12" width="14.28515625" customWidth="1"/>
  </cols>
  <sheetData>
    <row r="1" spans="1:13" x14ac:dyDescent="0.2">
      <c r="A1" s="1" t="str">
        <f>'Input &amp; Summary'!A1</f>
        <v>Based on Combined Land Based-Offshore Turbine Cost Model. V2.01.12</v>
      </c>
      <c r="B1" s="1"/>
      <c r="C1" s="1"/>
    </row>
    <row r="2" spans="1:13" ht="38.25" x14ac:dyDescent="0.2">
      <c r="A2" s="555" t="str">
        <f>'Input &amp; Summary'!A2</f>
        <v>Note:  This Model Contains Proprietary or Wind Technology Protected Data, and Should Not Be Released Outside of the DOE/NREL/SNL, until Further Notice.</v>
      </c>
      <c r="B2" s="555"/>
      <c r="C2" s="555"/>
    </row>
    <row r="5" spans="1:13" x14ac:dyDescent="0.2">
      <c r="A5" s="1" t="s">
        <v>260</v>
      </c>
      <c r="B5" s="1"/>
      <c r="C5" s="1"/>
      <c r="D5" s="1"/>
      <c r="E5" s="1"/>
      <c r="F5" s="1"/>
    </row>
    <row r="7" spans="1:13" x14ac:dyDescent="0.2">
      <c r="A7" s="21" t="s">
        <v>17</v>
      </c>
      <c r="B7" s="21" t="s">
        <v>304</v>
      </c>
      <c r="C7" s="21" t="s">
        <v>288</v>
      </c>
      <c r="D7" s="21" t="s">
        <v>261</v>
      </c>
      <c r="E7" s="21" t="s">
        <v>286</v>
      </c>
      <c r="F7" s="21" t="s">
        <v>262</v>
      </c>
      <c r="H7" s="21" t="s">
        <v>17</v>
      </c>
      <c r="I7" s="21" t="s">
        <v>304</v>
      </c>
      <c r="J7" s="21" t="s">
        <v>288</v>
      </c>
      <c r="K7" s="21" t="s">
        <v>261</v>
      </c>
      <c r="L7" s="21" t="s">
        <v>286</v>
      </c>
      <c r="M7" s="21" t="s">
        <v>262</v>
      </c>
    </row>
    <row r="8" spans="1:13" ht="13.5" thickBot="1" x14ac:dyDescent="0.25">
      <c r="L8" s="14"/>
    </row>
    <row r="9" spans="1:13" ht="13.5" thickTop="1" x14ac:dyDescent="0.2">
      <c r="A9" s="290" t="s">
        <v>350</v>
      </c>
      <c r="B9" s="261"/>
      <c r="C9" s="262">
        <v>2002</v>
      </c>
      <c r="D9" s="263">
        <f>HLOOKUP(C9,'PPI Look Up Table'!$B$7:$V$9,3)</f>
        <v>1.0289999999999999</v>
      </c>
      <c r="E9" s="263"/>
      <c r="F9" s="264"/>
    </row>
    <row r="10" spans="1:13" x14ac:dyDescent="0.2">
      <c r="A10" s="265"/>
      <c r="B10" s="266"/>
      <c r="C10" s="267">
        <f>'Input &amp; Summary'!$F$7</f>
        <v>2010</v>
      </c>
      <c r="D10" s="39">
        <f>HLOOKUP(C10,'PPI Look Up Table'!$B$7:$V$9,3)</f>
        <v>1.1589999999999998</v>
      </c>
      <c r="E10" s="39"/>
      <c r="F10" s="268"/>
    </row>
    <row r="11" spans="1:13" x14ac:dyDescent="0.2">
      <c r="A11" s="269"/>
      <c r="B11" s="270"/>
      <c r="C11" s="270"/>
      <c r="D11" s="39"/>
      <c r="E11" s="39"/>
      <c r="F11" s="268"/>
    </row>
    <row r="12" spans="1:13" ht="13.5" thickBot="1" x14ac:dyDescent="0.25">
      <c r="A12" s="544" t="s">
        <v>265</v>
      </c>
      <c r="B12" s="545"/>
      <c r="C12" s="545"/>
      <c r="D12" s="546">
        <f>D10/D9</f>
        <v>1.1263362487852282</v>
      </c>
      <c r="E12" s="96"/>
      <c r="F12" s="271"/>
    </row>
    <row r="13" spans="1:13" ht="14.25" thickTop="1" thickBot="1" x14ac:dyDescent="0.25">
      <c r="A13" s="291"/>
      <c r="B13" s="291"/>
      <c r="C13" s="291"/>
      <c r="D13" s="292"/>
      <c r="E13" s="292"/>
      <c r="F13" s="293"/>
    </row>
    <row r="14" spans="1:13" ht="13.5" thickTop="1" x14ac:dyDescent="0.2">
      <c r="A14" s="294" t="s">
        <v>377</v>
      </c>
      <c r="B14" s="272"/>
      <c r="C14" s="272"/>
      <c r="D14" s="263"/>
      <c r="E14" s="263"/>
      <c r="F14" s="273"/>
      <c r="H14" s="294" t="s">
        <v>376</v>
      </c>
      <c r="I14" s="272"/>
      <c r="J14" s="272"/>
      <c r="K14" s="263"/>
      <c r="L14" s="263"/>
      <c r="M14" s="273"/>
    </row>
    <row r="15" spans="1:13" x14ac:dyDescent="0.2">
      <c r="A15" s="274" t="s">
        <v>374</v>
      </c>
      <c r="B15" s="275"/>
      <c r="C15" s="275"/>
      <c r="D15" s="39"/>
      <c r="E15" s="275"/>
      <c r="F15" s="276"/>
      <c r="H15" s="274" t="s">
        <v>378</v>
      </c>
      <c r="I15" s="275"/>
      <c r="J15" s="275"/>
      <c r="K15" s="39"/>
      <c r="L15" s="275"/>
      <c r="M15" s="276"/>
    </row>
    <row r="16" spans="1:13" x14ac:dyDescent="0.2">
      <c r="A16" s="277" t="s">
        <v>311</v>
      </c>
      <c r="B16" s="278"/>
      <c r="C16" s="278"/>
      <c r="D16" s="39"/>
      <c r="E16" s="39"/>
      <c r="F16" s="268">
        <v>0.6</v>
      </c>
      <c r="H16" s="277" t="s">
        <v>311</v>
      </c>
      <c r="I16" s="278"/>
      <c r="J16" s="278"/>
      <c r="K16" s="39"/>
      <c r="L16" s="39"/>
      <c r="M16" s="268">
        <v>0.61</v>
      </c>
    </row>
    <row r="17" spans="1:13" x14ac:dyDescent="0.2">
      <c r="A17" s="269" t="s">
        <v>263</v>
      </c>
      <c r="B17" s="270">
        <v>9</v>
      </c>
      <c r="C17" s="270">
        <v>2002</v>
      </c>
      <c r="D17" s="39">
        <f>INDEX('PPI Look Up Table'!B15:M36,C17-1999,B17)</f>
        <v>101.7</v>
      </c>
      <c r="E17" s="39">
        <v>327123</v>
      </c>
      <c r="F17" s="268"/>
      <c r="H17" s="269" t="s">
        <v>263</v>
      </c>
      <c r="I17" s="270">
        <v>9</v>
      </c>
      <c r="J17" s="270">
        <v>2003</v>
      </c>
      <c r="K17" s="39">
        <f>(HLOOKUP(I17,'PPI Look Up Table'!$A$14:$P$36,VLOOKUP(J17,'PPI Look Up Table'!$A$14:$P$36,15)))</f>
        <v>95.2</v>
      </c>
      <c r="L17" s="39">
        <v>327123</v>
      </c>
      <c r="M17" s="268"/>
    </row>
    <row r="18" spans="1:13" x14ac:dyDescent="0.2">
      <c r="A18" s="269" t="s">
        <v>264</v>
      </c>
      <c r="B18" s="270">
        <f>'Input &amp; Summary'!$F$6</f>
        <v>13</v>
      </c>
      <c r="C18" s="267">
        <f>'Input &amp; Summary'!$F$7</f>
        <v>2010</v>
      </c>
      <c r="D18" s="39">
        <f>INDEX('PPI Look Up Table'!B15:N36,C18-1999,B18)</f>
        <v>83.3</v>
      </c>
      <c r="E18" s="39">
        <v>327123</v>
      </c>
      <c r="F18" s="268"/>
      <c r="H18" s="269" t="s">
        <v>264</v>
      </c>
      <c r="I18" s="270">
        <f>'Input &amp; Summary'!$F$6</f>
        <v>13</v>
      </c>
      <c r="J18" s="267">
        <f>'Input &amp; Summary'!$F$7</f>
        <v>2010</v>
      </c>
      <c r="K18" s="39">
        <f>(HLOOKUP(I18,'PPI Look Up Table'!$A$14:$P$36,VLOOKUP(J18,'PPI Look Up Table'!$A$14:$P$36,15)))</f>
        <v>83.3</v>
      </c>
      <c r="L18" s="39">
        <v>327123</v>
      </c>
      <c r="M18" s="268"/>
    </row>
    <row r="19" spans="1:13" x14ac:dyDescent="0.2">
      <c r="A19" s="279" t="s">
        <v>310</v>
      </c>
      <c r="B19" s="280"/>
      <c r="C19" s="280"/>
      <c r="D19" s="39"/>
      <c r="E19" s="39"/>
      <c r="F19" s="268">
        <v>0.23</v>
      </c>
      <c r="H19" s="279" t="s">
        <v>310</v>
      </c>
      <c r="I19" s="280"/>
      <c r="J19" s="280"/>
      <c r="K19" s="39"/>
      <c r="L19" s="39"/>
      <c r="M19" s="268">
        <v>0.27</v>
      </c>
    </row>
    <row r="20" spans="1:13" x14ac:dyDescent="0.2">
      <c r="A20" s="269" t="s">
        <v>263</v>
      </c>
      <c r="B20" s="270">
        <v>9</v>
      </c>
      <c r="C20" s="270">
        <v>2002</v>
      </c>
      <c r="D20" s="39">
        <f>INDEX('PPI Look Up Table'!B41:M62,C20-1999,B20)</f>
        <v>162.1</v>
      </c>
      <c r="E20" s="39">
        <v>3255044</v>
      </c>
      <c r="F20" s="268"/>
      <c r="H20" s="269" t="s">
        <v>263</v>
      </c>
      <c r="I20" s="270">
        <v>9</v>
      </c>
      <c r="J20" s="270">
        <v>2003</v>
      </c>
      <c r="K20" s="39">
        <f>(HLOOKUP(I20,'PPI Look Up Table'!$A$40:$P$62,VLOOKUP(J20,'PPI Look Up Table'!$A$40:$P$62,15)))</f>
        <v>165.9</v>
      </c>
      <c r="L20" s="39">
        <v>3255044</v>
      </c>
      <c r="M20" s="268"/>
    </row>
    <row r="21" spans="1:13" x14ac:dyDescent="0.2">
      <c r="A21" s="269" t="s">
        <v>264</v>
      </c>
      <c r="B21" s="270">
        <f>'Input &amp; Summary'!$F$6</f>
        <v>13</v>
      </c>
      <c r="C21" s="267">
        <f>'Input &amp; Summary'!$F$7</f>
        <v>2010</v>
      </c>
      <c r="D21" s="39">
        <f>INDEX('PPI Look Up Table'!B41:N62,C21-1999,B21)</f>
        <v>235.4</v>
      </c>
      <c r="E21" s="39">
        <v>3255044</v>
      </c>
      <c r="F21" s="268"/>
      <c r="H21" s="269" t="s">
        <v>264</v>
      </c>
      <c r="I21" s="270">
        <f>'Input &amp; Summary'!$F$6</f>
        <v>13</v>
      </c>
      <c r="J21" s="267">
        <f>'Input &amp; Summary'!$F$7</f>
        <v>2010</v>
      </c>
      <c r="K21" s="39">
        <f>(HLOOKUP(I21,'PPI Look Up Table'!$A$40:$P$62,VLOOKUP(J21,'PPI Look Up Table'!$A$40:$P$62,15)))</f>
        <v>235.4</v>
      </c>
      <c r="L21" s="39">
        <v>3255044</v>
      </c>
      <c r="M21" s="268"/>
    </row>
    <row r="22" spans="1:13" x14ac:dyDescent="0.2">
      <c r="A22" s="269"/>
      <c r="B22" s="270"/>
      <c r="C22" s="270"/>
      <c r="D22" s="39"/>
      <c r="E22" s="39"/>
      <c r="F22" s="268"/>
      <c r="H22" s="269"/>
      <c r="I22" s="270"/>
      <c r="J22" s="270"/>
      <c r="K22" s="39"/>
      <c r="L22" s="39"/>
      <c r="M22" s="268"/>
    </row>
    <row r="23" spans="1:13" x14ac:dyDescent="0.2">
      <c r="A23" s="279" t="s">
        <v>373</v>
      </c>
      <c r="B23" s="280"/>
      <c r="C23" s="280"/>
      <c r="D23" s="39"/>
      <c r="E23" s="39"/>
      <c r="F23" s="268">
        <v>0.08</v>
      </c>
      <c r="H23" s="279" t="s">
        <v>373</v>
      </c>
      <c r="I23" s="280"/>
      <c r="J23" s="280"/>
      <c r="K23" s="39"/>
      <c r="L23" s="39"/>
      <c r="M23" s="268">
        <v>0.03</v>
      </c>
    </row>
    <row r="24" spans="1:13" x14ac:dyDescent="0.2">
      <c r="A24" s="269" t="s">
        <v>263</v>
      </c>
      <c r="B24" s="270">
        <v>9</v>
      </c>
      <c r="C24" s="270">
        <v>2002</v>
      </c>
      <c r="D24" s="39">
        <f>INDEX('PPI Look Up Table'!B511:N532,C24-1999,B24)</f>
        <v>98.6</v>
      </c>
      <c r="E24" s="39">
        <v>332722489</v>
      </c>
      <c r="F24" s="268"/>
      <c r="H24" s="269" t="s">
        <v>263</v>
      </c>
      <c r="I24" s="270">
        <v>9</v>
      </c>
      <c r="J24" s="270">
        <v>2003</v>
      </c>
      <c r="K24" s="39">
        <f>(HLOOKUP(I24,'PPI Look Up Table'!$A$510:$P$532,VLOOKUP(J24,'PPI Look Up Table'!$A$510:$P$532,15)))</f>
        <v>98.6</v>
      </c>
      <c r="L24" s="39">
        <v>332722489</v>
      </c>
      <c r="M24" s="268"/>
    </row>
    <row r="25" spans="1:13" x14ac:dyDescent="0.2">
      <c r="A25" s="269" t="s">
        <v>264</v>
      </c>
      <c r="B25" s="270">
        <f>'Input &amp; Summary'!$F$6</f>
        <v>13</v>
      </c>
      <c r="C25" s="267">
        <f>'Input &amp; Summary'!$F$7</f>
        <v>2010</v>
      </c>
      <c r="D25" s="39">
        <f>INDEX('PPI Look Up Table'!B511:N532,C25-1999,B25)</f>
        <v>103.4</v>
      </c>
      <c r="E25" s="39">
        <v>332722489</v>
      </c>
      <c r="F25" s="268"/>
      <c r="H25" s="269" t="s">
        <v>264</v>
      </c>
      <c r="I25" s="270">
        <f>'Input &amp; Summary'!$F$6</f>
        <v>13</v>
      </c>
      <c r="J25" s="267">
        <f>'Input &amp; Summary'!$F$7</f>
        <v>2010</v>
      </c>
      <c r="K25" s="39">
        <f>(HLOOKUP(I25,'PPI Look Up Table'!$A$510:$P$532,VLOOKUP(J25,'PPI Look Up Table'!$A$510:$P$532,15)))</f>
        <v>103.4</v>
      </c>
      <c r="L25" s="39">
        <v>332722489</v>
      </c>
      <c r="M25" s="268"/>
    </row>
    <row r="26" spans="1:13" x14ac:dyDescent="0.2">
      <c r="A26" s="269"/>
      <c r="B26" s="270"/>
      <c r="C26" s="270"/>
      <c r="D26" s="39"/>
      <c r="E26" s="39"/>
      <c r="F26" s="268"/>
      <c r="H26" s="269"/>
      <c r="I26" s="270"/>
      <c r="J26" s="270"/>
      <c r="K26" s="39"/>
      <c r="L26" s="39"/>
      <c r="M26" s="268"/>
    </row>
    <row r="27" spans="1:13" x14ac:dyDescent="0.2">
      <c r="A27" s="282" t="s">
        <v>516</v>
      </c>
      <c r="B27" s="280"/>
      <c r="C27" s="280"/>
      <c r="D27" s="39"/>
      <c r="E27" s="39"/>
      <c r="F27" s="268">
        <v>0.09</v>
      </c>
      <c r="H27" s="282" t="s">
        <v>516</v>
      </c>
      <c r="I27" s="280"/>
      <c r="J27" s="280"/>
      <c r="K27" s="39"/>
      <c r="L27" s="39"/>
      <c r="M27" s="268">
        <v>0.09</v>
      </c>
    </row>
    <row r="28" spans="1:13" x14ac:dyDescent="0.2">
      <c r="A28" s="269" t="s">
        <v>263</v>
      </c>
      <c r="B28" s="270">
        <v>9</v>
      </c>
      <c r="C28" s="270">
        <v>2002</v>
      </c>
      <c r="D28" s="39">
        <f>INDEX('PPI Look Up Table'!B537:M558,C28-1999,B28)</f>
        <v>98</v>
      </c>
      <c r="E28" s="331" t="s">
        <v>513</v>
      </c>
      <c r="F28" s="268"/>
      <c r="H28" s="269" t="s">
        <v>375</v>
      </c>
      <c r="I28" s="270">
        <v>9</v>
      </c>
      <c r="J28" s="270">
        <v>2002</v>
      </c>
      <c r="K28" s="39">
        <f>(HLOOKUP(I28,'PPI Look Up Table'!$A$536:$P$558,VLOOKUP(J28,'PPI Look Up Table'!$A$536:$P$558,15)))</f>
        <v>98</v>
      </c>
      <c r="L28" s="331" t="s">
        <v>513</v>
      </c>
      <c r="M28" s="268"/>
    </row>
    <row r="29" spans="1:13" x14ac:dyDescent="0.2">
      <c r="A29" s="269" t="s">
        <v>264</v>
      </c>
      <c r="B29" s="270">
        <f>'Input &amp; Summary'!$F$6</f>
        <v>13</v>
      </c>
      <c r="C29" s="267">
        <f>'Input &amp; Summary'!$F$7</f>
        <v>2010</v>
      </c>
      <c r="D29" s="39">
        <f>INDEX('PPI Look Up Table'!B537:N558,C29-1999,B29)</f>
        <v>138.19999999999999</v>
      </c>
      <c r="E29" s="331" t="s">
        <v>513</v>
      </c>
      <c r="F29" s="268"/>
      <c r="H29" s="269"/>
      <c r="I29" s="270">
        <f>'Input &amp; Summary'!$F$6</f>
        <v>13</v>
      </c>
      <c r="J29" s="267">
        <f>'Input &amp; Summary'!$F$7</f>
        <v>2010</v>
      </c>
      <c r="K29" s="39">
        <f>(HLOOKUP(I29,'PPI Look Up Table'!$A$536:$P$558,VLOOKUP(J29,'PPI Look Up Table'!$A$536:$P$558,15)))</f>
        <v>138.19999999999999</v>
      </c>
      <c r="L29" s="331" t="s">
        <v>513</v>
      </c>
      <c r="M29" s="268"/>
    </row>
    <row r="30" spans="1:13" x14ac:dyDescent="0.2">
      <c r="A30" s="269"/>
      <c r="B30" s="270"/>
      <c r="C30" s="270"/>
      <c r="D30" s="39"/>
      <c r="E30" s="39"/>
      <c r="F30" s="268"/>
      <c r="H30" s="269"/>
      <c r="I30" s="270"/>
      <c r="J30" s="270"/>
      <c r="K30" s="39"/>
      <c r="L30" s="39"/>
      <c r="M30" s="268"/>
    </row>
    <row r="31" spans="1:13" ht="13.5" thickBot="1" x14ac:dyDescent="0.25">
      <c r="A31" s="544" t="s">
        <v>308</v>
      </c>
      <c r="B31" s="545"/>
      <c r="C31" s="545"/>
      <c r="D31" s="546">
        <f>(D18/D17)*F16+(D21/D20)*F19+(D25/D24)*F23 + (D29/D28)*F27</f>
        <v>1.0362620198210015</v>
      </c>
      <c r="E31" s="96"/>
      <c r="F31" s="271"/>
      <c r="H31" s="544" t="s">
        <v>308</v>
      </c>
      <c r="I31" s="545"/>
      <c r="J31" s="545"/>
      <c r="K31" s="546">
        <f>(K18/K17)*M16+(K21/K20)*M19+(K25/K24)*M23 + (K29/K28)*M27</f>
        <v>1.0752391210085082</v>
      </c>
      <c r="L31" s="96"/>
      <c r="M31" s="271"/>
    </row>
    <row r="32" spans="1:13" ht="14.25" thickTop="1" thickBot="1" x14ac:dyDescent="0.25">
      <c r="A32" s="20"/>
      <c r="B32" s="20"/>
      <c r="C32" s="20"/>
      <c r="F32" s="17"/>
    </row>
    <row r="33" spans="1:6" ht="13.5" thickTop="1" x14ac:dyDescent="0.2">
      <c r="A33" s="294" t="s">
        <v>266</v>
      </c>
      <c r="B33" s="272"/>
      <c r="C33" s="272"/>
      <c r="D33" s="263"/>
      <c r="E33" s="263"/>
      <c r="F33" s="264"/>
    </row>
    <row r="34" spans="1:6" x14ac:dyDescent="0.2">
      <c r="A34" s="277" t="s">
        <v>267</v>
      </c>
      <c r="B34" s="278"/>
      <c r="C34" s="278"/>
      <c r="D34" s="39"/>
      <c r="E34" s="39">
        <v>3315113</v>
      </c>
      <c r="F34" s="268"/>
    </row>
    <row r="35" spans="1:6" x14ac:dyDescent="0.2">
      <c r="A35" s="269" t="s">
        <v>263</v>
      </c>
      <c r="B35" s="270">
        <v>9</v>
      </c>
      <c r="C35" s="270">
        <v>2002</v>
      </c>
      <c r="D35" s="39">
        <f>INDEX('PPI Look Up Table'!B67:M88,C35-1999,B35)</f>
        <v>113.1</v>
      </c>
      <c r="E35" s="39"/>
      <c r="F35" s="268"/>
    </row>
    <row r="36" spans="1:6" x14ac:dyDescent="0.2">
      <c r="A36" s="269" t="s">
        <v>264</v>
      </c>
      <c r="B36" s="270">
        <f>'Input &amp; Summary'!F6</f>
        <v>13</v>
      </c>
      <c r="C36" s="267">
        <f>'Input &amp; Summary'!F7</f>
        <v>2010</v>
      </c>
      <c r="D36" s="39">
        <f>INDEX('PPI Look Up Table'!B67:N88,C36-1999,B36)</f>
        <v>157.5</v>
      </c>
      <c r="E36" s="39"/>
      <c r="F36" s="268"/>
    </row>
    <row r="37" spans="1:6" ht="13.5" thickBot="1" x14ac:dyDescent="0.25">
      <c r="A37" s="544" t="s">
        <v>265</v>
      </c>
      <c r="B37" s="545"/>
      <c r="C37" s="545"/>
      <c r="D37" s="546">
        <f>D36/D35</f>
        <v>1.3925729442970822</v>
      </c>
      <c r="E37" s="96"/>
      <c r="F37" s="271"/>
    </row>
    <row r="38" spans="1:6" ht="14.25" thickTop="1" thickBot="1" x14ac:dyDescent="0.25">
      <c r="A38" s="295"/>
      <c r="B38" s="295"/>
      <c r="C38" s="295"/>
      <c r="D38" s="162"/>
      <c r="E38" s="162"/>
      <c r="F38" s="296"/>
    </row>
    <row r="39" spans="1:6" ht="13.5" thickTop="1" x14ac:dyDescent="0.2">
      <c r="A39" s="294" t="s">
        <v>268</v>
      </c>
      <c r="B39" s="272"/>
      <c r="C39" s="272"/>
      <c r="D39" s="263"/>
      <c r="E39" s="263"/>
      <c r="F39" s="264"/>
    </row>
    <row r="40" spans="1:6" x14ac:dyDescent="0.2">
      <c r="A40" s="265" t="s">
        <v>270</v>
      </c>
      <c r="B40" s="266"/>
      <c r="C40" s="266"/>
      <c r="D40" s="39"/>
      <c r="E40" s="39" t="s">
        <v>316</v>
      </c>
      <c r="F40" s="268">
        <v>0.5</v>
      </c>
    </row>
    <row r="41" spans="1:6" x14ac:dyDescent="0.2">
      <c r="A41" s="269" t="s">
        <v>263</v>
      </c>
      <c r="B41" s="270">
        <v>9</v>
      </c>
      <c r="C41" s="270">
        <v>2002</v>
      </c>
      <c r="D41" s="39">
        <f>INDEX('PPI Look Up Table'!B93:M114,C41-1999,B41)</f>
        <v>169.2</v>
      </c>
      <c r="E41" s="39"/>
      <c r="F41" s="268"/>
    </row>
    <row r="42" spans="1:6" x14ac:dyDescent="0.2">
      <c r="A42" s="269" t="s">
        <v>264</v>
      </c>
      <c r="B42" s="270">
        <f>'Input &amp; Summary'!$F$6</f>
        <v>13</v>
      </c>
      <c r="C42" s="267">
        <f>'Input &amp; Summary'!$F$7</f>
        <v>2010</v>
      </c>
      <c r="D42" s="39">
        <f>INDEX('PPI Look Up Table'!B93:N114,C42-1999,B42)</f>
        <v>227.1</v>
      </c>
      <c r="E42" s="39"/>
      <c r="F42" s="268"/>
    </row>
    <row r="43" spans="1:6" x14ac:dyDescent="0.2">
      <c r="A43" s="265" t="s">
        <v>339</v>
      </c>
      <c r="B43" s="266"/>
      <c r="C43" s="266"/>
      <c r="D43" s="39"/>
      <c r="E43" s="39">
        <v>3353123</v>
      </c>
      <c r="F43" s="268">
        <v>0.2</v>
      </c>
    </row>
    <row r="44" spans="1:6" x14ac:dyDescent="0.2">
      <c r="A44" s="269" t="s">
        <v>263</v>
      </c>
      <c r="B44" s="270">
        <v>9</v>
      </c>
      <c r="C44" s="270">
        <v>2002</v>
      </c>
      <c r="D44" s="39">
        <f>INDEX('PPI Look Up Table'!B119:M140,C44-1999,B44)</f>
        <v>149.6</v>
      </c>
      <c r="E44" s="39"/>
      <c r="F44" s="268"/>
    </row>
    <row r="45" spans="1:6" x14ac:dyDescent="0.2">
      <c r="A45" s="269" t="s">
        <v>264</v>
      </c>
      <c r="B45" s="270">
        <f>'Input &amp; Summary'!$F$6</f>
        <v>13</v>
      </c>
      <c r="C45" s="267">
        <f>'Input &amp; Summary'!$F$7</f>
        <v>2010</v>
      </c>
      <c r="D45" s="39">
        <f>INDEX('PPI Look Up Table'!B119:N140,C45-1999,B45)</f>
        <v>216.2</v>
      </c>
      <c r="E45" s="39"/>
      <c r="F45" s="268"/>
    </row>
    <row r="46" spans="1:6" x14ac:dyDescent="0.2">
      <c r="A46" s="265" t="s">
        <v>340</v>
      </c>
      <c r="B46" s="266"/>
      <c r="C46" s="266"/>
      <c r="D46" s="39"/>
      <c r="E46" s="39" t="s">
        <v>321</v>
      </c>
      <c r="F46" s="268">
        <v>0.2</v>
      </c>
    </row>
    <row r="47" spans="1:6" x14ac:dyDescent="0.2">
      <c r="A47" s="269" t="s">
        <v>263</v>
      </c>
      <c r="B47" s="270">
        <v>9</v>
      </c>
      <c r="C47" s="270">
        <v>2002</v>
      </c>
      <c r="D47" s="39">
        <f>INDEX('PPI Look Up Table'!B145:M166,C47-1999,B47)</f>
        <v>165.2</v>
      </c>
      <c r="E47" s="39"/>
      <c r="F47" s="268"/>
    </row>
    <row r="48" spans="1:6" x14ac:dyDescent="0.2">
      <c r="A48" s="269" t="s">
        <v>264</v>
      </c>
      <c r="B48" s="270">
        <f>'Input &amp; Summary'!$F$6</f>
        <v>13</v>
      </c>
      <c r="C48" s="267">
        <f>'Input &amp; Summary'!$F$7</f>
        <v>2010</v>
      </c>
      <c r="D48" s="39">
        <f>INDEX('PPI Look Up Table'!B145:N166,C48-1999,B48)</f>
        <v>222.3</v>
      </c>
      <c r="E48" s="39"/>
      <c r="F48" s="268"/>
    </row>
    <row r="49" spans="1:6" x14ac:dyDescent="0.2">
      <c r="A49" s="265" t="s">
        <v>341</v>
      </c>
      <c r="B49" s="266"/>
      <c r="C49" s="266"/>
      <c r="D49" s="39"/>
      <c r="E49" s="39">
        <v>334513</v>
      </c>
      <c r="F49" s="268">
        <v>0.1</v>
      </c>
    </row>
    <row r="50" spans="1:6" x14ac:dyDescent="0.2">
      <c r="A50" s="269" t="s">
        <v>263</v>
      </c>
      <c r="B50" s="270">
        <v>9</v>
      </c>
      <c r="C50" s="270">
        <v>2002</v>
      </c>
      <c r="D50" s="39">
        <f>INDEX('PPI Look Up Table'!B171:M192,C50-1999,B50)</f>
        <v>157.1</v>
      </c>
      <c r="E50" s="39"/>
      <c r="F50" s="268"/>
    </row>
    <row r="51" spans="1:6" x14ac:dyDescent="0.2">
      <c r="A51" s="269" t="s">
        <v>264</v>
      </c>
      <c r="B51" s="270">
        <f>'Input &amp; Summary'!$F$6</f>
        <v>13</v>
      </c>
      <c r="C51" s="267">
        <f>'Input &amp; Summary'!$F$7</f>
        <v>2010</v>
      </c>
      <c r="D51" s="39">
        <f>INDEX('PPI Look Up Table'!B171:N192,C51-1999,B51)</f>
        <v>194</v>
      </c>
      <c r="E51" s="39"/>
      <c r="F51" s="268"/>
    </row>
    <row r="52" spans="1:6" ht="13.5" thickBot="1" x14ac:dyDescent="0.25">
      <c r="A52" s="544" t="s">
        <v>265</v>
      </c>
      <c r="B52" s="545"/>
      <c r="C52" s="545"/>
      <c r="D52" s="546">
        <f>(D42/D41)*F40+(D45/D44)*F43+(D48/D47)*F46+(D51/D50)*F49</f>
        <v>1.3527532772941504</v>
      </c>
      <c r="E52" s="96"/>
      <c r="F52" s="271"/>
    </row>
    <row r="53" spans="1:6" ht="14.25" thickTop="1" thickBot="1" x14ac:dyDescent="0.25">
      <c r="A53" s="295"/>
      <c r="B53" s="295"/>
      <c r="C53" s="295"/>
      <c r="D53" s="162"/>
      <c r="E53" s="162"/>
      <c r="F53" s="296"/>
    </row>
    <row r="54" spans="1:6" ht="13.5" thickTop="1" x14ac:dyDescent="0.2">
      <c r="A54" s="290" t="s">
        <v>269</v>
      </c>
      <c r="B54" s="281"/>
      <c r="C54" s="281"/>
      <c r="D54" s="263"/>
      <c r="E54" s="263"/>
      <c r="F54" s="264"/>
    </row>
    <row r="55" spans="1:6" x14ac:dyDescent="0.2">
      <c r="A55" s="282" t="s">
        <v>324</v>
      </c>
      <c r="B55" s="133"/>
      <c r="C55" s="133"/>
      <c r="D55" s="39"/>
      <c r="E55" s="39">
        <v>3315131</v>
      </c>
      <c r="F55" s="268"/>
    </row>
    <row r="56" spans="1:6" x14ac:dyDescent="0.2">
      <c r="A56" s="269" t="s">
        <v>263</v>
      </c>
      <c r="B56" s="270">
        <v>9</v>
      </c>
      <c r="C56" s="270">
        <v>2002</v>
      </c>
      <c r="D56" s="39">
        <f>INDEX('PPI Look Up Table'!B197:M218,C56-1999,B56)</f>
        <v>142.9</v>
      </c>
      <c r="E56" s="39"/>
      <c r="F56" s="268"/>
    </row>
    <row r="57" spans="1:6" x14ac:dyDescent="0.2">
      <c r="A57" s="269" t="s">
        <v>264</v>
      </c>
      <c r="B57" s="270">
        <f>'Input &amp; Summary'!$F$6</f>
        <v>13</v>
      </c>
      <c r="C57" s="267">
        <f>'Input &amp; Summary'!$F$7</f>
        <v>2010</v>
      </c>
      <c r="D57" s="39">
        <f>INDEX('PPI Look Up Table'!B197:N218,C57-1999,B57)</f>
        <v>223.2</v>
      </c>
      <c r="E57" s="39"/>
      <c r="F57" s="268"/>
    </row>
    <row r="58" spans="1:6" ht="13.5" thickBot="1" x14ac:dyDescent="0.25">
      <c r="A58" s="544" t="s">
        <v>265</v>
      </c>
      <c r="B58" s="545"/>
      <c r="C58" s="545"/>
      <c r="D58" s="546">
        <f>D57/D56</f>
        <v>1.5619314205738277</v>
      </c>
      <c r="E58" s="96"/>
      <c r="F58" s="271"/>
    </row>
    <row r="59" spans="1:6" ht="14.25" thickTop="1" thickBot="1" x14ac:dyDescent="0.25">
      <c r="A59" s="295"/>
      <c r="B59" s="295"/>
      <c r="C59" s="295"/>
      <c r="D59" s="162"/>
      <c r="E59" s="162"/>
      <c r="F59" s="296"/>
    </row>
    <row r="60" spans="1:6" ht="13.5" thickTop="1" x14ac:dyDescent="0.2">
      <c r="A60" s="290" t="s">
        <v>270</v>
      </c>
      <c r="B60" s="281"/>
      <c r="C60" s="281"/>
      <c r="D60" s="263"/>
      <c r="E60" s="263"/>
      <c r="F60" s="264"/>
    </row>
    <row r="61" spans="1:6" x14ac:dyDescent="0.2">
      <c r="A61" s="265" t="s">
        <v>270</v>
      </c>
      <c r="B61" s="266"/>
      <c r="C61" s="266"/>
      <c r="D61" s="39"/>
      <c r="E61" s="39" t="s">
        <v>316</v>
      </c>
      <c r="F61" s="268"/>
    </row>
    <row r="62" spans="1:6" x14ac:dyDescent="0.2">
      <c r="A62" s="269" t="s">
        <v>263</v>
      </c>
      <c r="B62" s="270">
        <v>9</v>
      </c>
      <c r="C62" s="270">
        <v>2002</v>
      </c>
      <c r="D62" s="39">
        <f>INDEX('PPI Look Up Table'!B93:M114,C62-1999,B62)</f>
        <v>169.2</v>
      </c>
      <c r="E62" s="39"/>
      <c r="F62" s="268"/>
    </row>
    <row r="63" spans="1:6" x14ac:dyDescent="0.2">
      <c r="A63" s="269" t="s">
        <v>264</v>
      </c>
      <c r="B63" s="270">
        <f>'Input &amp; Summary'!$F$6</f>
        <v>13</v>
      </c>
      <c r="C63" s="267">
        <f>'Input &amp; Summary'!$F$7</f>
        <v>2010</v>
      </c>
      <c r="D63" s="39">
        <f>INDEX('PPI Look Up Table'!B93:N114,C63-1999,B63)</f>
        <v>227.1</v>
      </c>
      <c r="E63" s="39"/>
      <c r="F63" s="268"/>
    </row>
    <row r="64" spans="1:6" ht="13.5" thickBot="1" x14ac:dyDescent="0.25">
      <c r="A64" s="544" t="s">
        <v>265</v>
      </c>
      <c r="B64" s="545"/>
      <c r="C64" s="545"/>
      <c r="D64" s="546">
        <f>D63/D62</f>
        <v>1.3421985815602837</v>
      </c>
      <c r="E64" s="96"/>
      <c r="F64" s="271"/>
    </row>
    <row r="65" spans="1:6" ht="14.25" thickTop="1" thickBot="1" x14ac:dyDescent="0.25">
      <c r="A65" s="162"/>
      <c r="B65" s="295"/>
      <c r="C65" s="295"/>
      <c r="D65" s="162"/>
      <c r="E65" s="162"/>
      <c r="F65" s="296"/>
    </row>
    <row r="66" spans="1:6" ht="13.5" thickTop="1" x14ac:dyDescent="0.2">
      <c r="A66" s="290" t="s">
        <v>271</v>
      </c>
      <c r="B66" s="281"/>
      <c r="C66" s="281"/>
      <c r="D66" s="263"/>
      <c r="E66" s="263"/>
      <c r="F66" s="264"/>
    </row>
    <row r="67" spans="1:6" x14ac:dyDescent="0.2">
      <c r="A67" s="265" t="s">
        <v>342</v>
      </c>
      <c r="B67" s="266"/>
      <c r="C67" s="266"/>
      <c r="D67" s="39"/>
      <c r="E67" s="39" t="s">
        <v>321</v>
      </c>
      <c r="F67" s="268"/>
    </row>
    <row r="68" spans="1:6" x14ac:dyDescent="0.2">
      <c r="A68" s="269" t="s">
        <v>263</v>
      </c>
      <c r="B68" s="270">
        <v>9</v>
      </c>
      <c r="C68" s="270">
        <v>2002</v>
      </c>
      <c r="D68" s="39">
        <f>INDEX('PPI Look Up Table'!B145:M166,C68-1999,B68)</f>
        <v>165.2</v>
      </c>
      <c r="E68" s="39"/>
      <c r="F68" s="268"/>
    </row>
    <row r="69" spans="1:6" x14ac:dyDescent="0.2">
      <c r="A69" s="269" t="s">
        <v>264</v>
      </c>
      <c r="B69" s="270">
        <f>'Input &amp; Summary'!$F$6</f>
        <v>13</v>
      </c>
      <c r="C69" s="267">
        <f>'Input &amp; Summary'!$F$7</f>
        <v>2010</v>
      </c>
      <c r="D69" s="39">
        <f>INDEX('PPI Look Up Table'!B145:N166,C69-1999,B69)</f>
        <v>222.3</v>
      </c>
      <c r="E69" s="39"/>
      <c r="F69" s="268"/>
    </row>
    <row r="70" spans="1:6" ht="13.5" thickBot="1" x14ac:dyDescent="0.25">
      <c r="A70" s="544" t="s">
        <v>265</v>
      </c>
      <c r="B70" s="545"/>
      <c r="C70" s="545"/>
      <c r="D70" s="546">
        <f>D69/D68</f>
        <v>1.3456416464891043</v>
      </c>
      <c r="E70" s="96"/>
      <c r="F70" s="271"/>
    </row>
    <row r="71" spans="1:6" ht="14.25" thickTop="1" thickBot="1" x14ac:dyDescent="0.25">
      <c r="A71" s="295"/>
      <c r="B71" s="295"/>
      <c r="C71" s="295"/>
      <c r="D71" s="162"/>
      <c r="E71" s="162"/>
      <c r="F71" s="296"/>
    </row>
    <row r="72" spans="1:6" ht="13.5" thickTop="1" x14ac:dyDescent="0.2">
      <c r="A72" s="290" t="s">
        <v>272</v>
      </c>
      <c r="B72" s="281"/>
      <c r="C72" s="281"/>
      <c r="D72" s="263"/>
      <c r="E72" s="263"/>
      <c r="F72" s="264"/>
    </row>
    <row r="73" spans="1:6" x14ac:dyDescent="0.2">
      <c r="A73" s="265" t="s">
        <v>343</v>
      </c>
      <c r="B73" s="266"/>
      <c r="C73" s="266"/>
      <c r="D73" s="39"/>
      <c r="E73" s="39">
        <v>3363401</v>
      </c>
      <c r="F73" s="268"/>
    </row>
    <row r="74" spans="1:6" x14ac:dyDescent="0.2">
      <c r="A74" s="269" t="s">
        <v>263</v>
      </c>
      <c r="B74" s="270">
        <v>9</v>
      </c>
      <c r="C74" s="270">
        <v>2002</v>
      </c>
      <c r="D74" s="39">
        <f>INDEX('PPI Look Up Table'!B275:M296,C74-1999,B74)</f>
        <v>106.7</v>
      </c>
      <c r="E74" s="39"/>
      <c r="F74" s="268"/>
    </row>
    <row r="75" spans="1:6" x14ac:dyDescent="0.2">
      <c r="A75" s="269" t="s">
        <v>264</v>
      </c>
      <c r="B75" s="270">
        <f>'Input &amp; Summary'!$F$6</f>
        <v>13</v>
      </c>
      <c r="C75" s="267">
        <f>'Input &amp; Summary'!$F$7</f>
        <v>2010</v>
      </c>
      <c r="D75" s="39">
        <f>INDEX('PPI Look Up Table'!B275:N296,C75-1999,B75)</f>
        <v>109.5</v>
      </c>
      <c r="E75" s="39"/>
      <c r="F75" s="268"/>
    </row>
    <row r="76" spans="1:6" ht="13.5" thickBot="1" x14ac:dyDescent="0.25">
      <c r="A76" s="544" t="s">
        <v>265</v>
      </c>
      <c r="B76" s="545"/>
      <c r="C76" s="545"/>
      <c r="D76" s="546">
        <f>D75/D74</f>
        <v>1.0262417994376758</v>
      </c>
      <c r="E76" s="96"/>
      <c r="F76" s="271"/>
    </row>
    <row r="77" spans="1:6" ht="14.25" thickTop="1" thickBot="1" x14ac:dyDescent="0.25">
      <c r="A77" s="295"/>
      <c r="B77" s="295"/>
      <c r="C77" s="295"/>
      <c r="D77" s="162"/>
      <c r="E77" s="162"/>
      <c r="F77" s="296"/>
    </row>
    <row r="78" spans="1:6" ht="13.5" thickTop="1" x14ac:dyDescent="0.2">
      <c r="A78" s="290" t="s">
        <v>273</v>
      </c>
      <c r="B78" s="281"/>
      <c r="C78" s="281"/>
      <c r="D78" s="263"/>
      <c r="E78" s="263"/>
      <c r="F78" s="264"/>
    </row>
    <row r="79" spans="1:6" x14ac:dyDescent="0.2">
      <c r="A79" s="265" t="s">
        <v>344</v>
      </c>
      <c r="B79" s="266"/>
      <c r="C79" s="266"/>
      <c r="D79" s="39"/>
      <c r="E79" s="39" t="s">
        <v>325</v>
      </c>
      <c r="F79" s="268"/>
    </row>
    <row r="80" spans="1:6" x14ac:dyDescent="0.2">
      <c r="A80" s="269" t="s">
        <v>263</v>
      </c>
      <c r="B80" s="270">
        <v>9</v>
      </c>
      <c r="C80" s="270">
        <v>2002</v>
      </c>
      <c r="D80" s="39">
        <f>INDEX('PPI Look Up Table'!B223:M244,C80-1999,B80)</f>
        <v>139.9</v>
      </c>
      <c r="E80" s="39"/>
      <c r="F80" s="268"/>
    </row>
    <row r="81" spans="1:6" x14ac:dyDescent="0.2">
      <c r="A81" s="269" t="s">
        <v>264</v>
      </c>
      <c r="B81" s="270">
        <f>'Input &amp; Summary'!$F$6</f>
        <v>13</v>
      </c>
      <c r="C81" s="267">
        <f>'Input &amp; Summary'!$F$7</f>
        <v>2010</v>
      </c>
      <c r="D81" s="39">
        <f>INDEX('PPI Look Up Table'!B223:N244,C81-1999,B81)</f>
        <v>183.6</v>
      </c>
      <c r="E81" s="39"/>
      <c r="F81" s="268"/>
    </row>
    <row r="82" spans="1:6" ht="13.5" thickBot="1" x14ac:dyDescent="0.25">
      <c r="A82" s="544" t="s">
        <v>265</v>
      </c>
      <c r="B82" s="545"/>
      <c r="C82" s="545"/>
      <c r="D82" s="546">
        <f>D81/D80</f>
        <v>1.3123659756969264</v>
      </c>
      <c r="E82" s="96"/>
      <c r="F82" s="271"/>
    </row>
    <row r="83" spans="1:6" ht="14.25" thickTop="1" thickBot="1" x14ac:dyDescent="0.25">
      <c r="A83" s="295"/>
      <c r="B83" s="295"/>
      <c r="C83" s="295"/>
      <c r="D83" s="162"/>
      <c r="E83" s="162"/>
      <c r="F83" s="296"/>
    </row>
    <row r="84" spans="1:6" ht="13.5" thickTop="1" x14ac:dyDescent="0.2">
      <c r="A84" s="290" t="s">
        <v>274</v>
      </c>
      <c r="B84" s="281"/>
      <c r="C84" s="281"/>
      <c r="D84" s="263"/>
      <c r="E84" s="263"/>
      <c r="F84" s="264"/>
    </row>
    <row r="85" spans="1:6" x14ac:dyDescent="0.2">
      <c r="A85" s="265" t="s">
        <v>345</v>
      </c>
      <c r="B85" s="266"/>
      <c r="C85" s="266"/>
      <c r="D85" s="39"/>
      <c r="E85" s="39" t="s">
        <v>327</v>
      </c>
      <c r="F85" s="268"/>
    </row>
    <row r="86" spans="1:6" x14ac:dyDescent="0.2">
      <c r="A86" s="269" t="s">
        <v>263</v>
      </c>
      <c r="B86" s="270">
        <v>9</v>
      </c>
      <c r="C86" s="270">
        <v>2002</v>
      </c>
      <c r="D86" s="39">
        <f>INDEX('PPI Look Up Table'!B249:M270,C86-1999,B86)</f>
        <v>147.4</v>
      </c>
      <c r="E86" s="39"/>
      <c r="F86" s="268"/>
    </row>
    <row r="87" spans="1:6" x14ac:dyDescent="0.2">
      <c r="A87" s="269" t="s">
        <v>264</v>
      </c>
      <c r="B87" s="270">
        <f>'Input &amp; Summary'!$F$6</f>
        <v>13</v>
      </c>
      <c r="C87" s="267">
        <f>'Input &amp; Summary'!$F$7</f>
        <v>2010</v>
      </c>
      <c r="D87" s="39">
        <f>INDEX('PPI Look Up Table'!B249:N270,C87-1999,B87)</f>
        <v>194.3</v>
      </c>
      <c r="E87" s="39"/>
      <c r="F87" s="268"/>
    </row>
    <row r="88" spans="1:6" ht="13.5" thickBot="1" x14ac:dyDescent="0.25">
      <c r="A88" s="544" t="s">
        <v>265</v>
      </c>
      <c r="B88" s="545"/>
      <c r="C88" s="545"/>
      <c r="D88" s="546">
        <f>D87/D86</f>
        <v>1.3181818181818181</v>
      </c>
      <c r="E88" s="96"/>
      <c r="F88" s="271"/>
    </row>
    <row r="89" spans="1:6" ht="14.25" thickTop="1" thickBot="1" x14ac:dyDescent="0.25">
      <c r="A89" s="295"/>
      <c r="B89" s="295"/>
      <c r="C89" s="295"/>
      <c r="D89" s="162"/>
      <c r="E89" s="162"/>
      <c r="F89" s="296"/>
    </row>
    <row r="90" spans="1:6" ht="13.5" thickTop="1" x14ac:dyDescent="0.2">
      <c r="A90" s="290" t="s">
        <v>275</v>
      </c>
      <c r="B90" s="281"/>
      <c r="C90" s="281"/>
      <c r="D90" s="263"/>
      <c r="E90" s="263"/>
      <c r="F90" s="264"/>
    </row>
    <row r="91" spans="1:6" x14ac:dyDescent="0.2">
      <c r="A91" s="282" t="s">
        <v>339</v>
      </c>
      <c r="B91" s="133"/>
      <c r="C91" s="133"/>
      <c r="D91" s="39"/>
      <c r="E91" s="39">
        <v>3353123</v>
      </c>
      <c r="F91" s="268">
        <v>0.5</v>
      </c>
    </row>
    <row r="92" spans="1:6" x14ac:dyDescent="0.2">
      <c r="A92" s="269" t="s">
        <v>263</v>
      </c>
      <c r="B92" s="270">
        <v>9</v>
      </c>
      <c r="C92" s="270">
        <v>2002</v>
      </c>
      <c r="D92" s="39">
        <f>INDEX('PPI Look Up Table'!B119:M140,C92-1999,B92)</f>
        <v>149.6</v>
      </c>
      <c r="E92" s="39"/>
      <c r="F92" s="268"/>
    </row>
    <row r="93" spans="1:6" x14ac:dyDescent="0.2">
      <c r="A93" s="269" t="s">
        <v>264</v>
      </c>
      <c r="B93" s="270">
        <f>'Input &amp; Summary'!$F$6</f>
        <v>13</v>
      </c>
      <c r="C93" s="267">
        <f>'Input &amp; Summary'!$F$7</f>
        <v>2010</v>
      </c>
      <c r="D93" s="39">
        <f>INDEX('PPI Look Up Table'!B119:N140,C93-1999,B93)</f>
        <v>216.2</v>
      </c>
      <c r="E93" s="39"/>
      <c r="F93" s="268"/>
    </row>
    <row r="94" spans="1:6" x14ac:dyDescent="0.2">
      <c r="A94" s="282" t="s">
        <v>346</v>
      </c>
      <c r="B94" s="133"/>
      <c r="C94" s="133"/>
      <c r="D94" s="39"/>
      <c r="E94" s="39" t="s">
        <v>316</v>
      </c>
      <c r="F94" s="268">
        <v>0.5</v>
      </c>
    </row>
    <row r="95" spans="1:6" x14ac:dyDescent="0.2">
      <c r="A95" s="269" t="s">
        <v>263</v>
      </c>
      <c r="B95" s="270">
        <v>9</v>
      </c>
      <c r="C95" s="270">
        <v>2002</v>
      </c>
      <c r="D95" s="39">
        <f>INDEX('PPI Look Up Table'!B93:M114,C95-1999,B95)</f>
        <v>169.2</v>
      </c>
      <c r="E95" s="39"/>
      <c r="F95" s="268"/>
    </row>
    <row r="96" spans="1:6" x14ac:dyDescent="0.2">
      <c r="A96" s="269" t="s">
        <v>264</v>
      </c>
      <c r="B96" s="270">
        <f>'Input &amp; Summary'!$F$6</f>
        <v>13</v>
      </c>
      <c r="C96" s="267">
        <f>'Input &amp; Summary'!$F$7</f>
        <v>2010</v>
      </c>
      <c r="D96" s="39">
        <f>INDEX('PPI Look Up Table'!B93:N114,C96-1999,B96)</f>
        <v>227.1</v>
      </c>
      <c r="E96" s="39"/>
      <c r="F96" s="268"/>
    </row>
    <row r="97" spans="1:6" ht="13.5" thickBot="1" x14ac:dyDescent="0.25">
      <c r="A97" s="547" t="s">
        <v>265</v>
      </c>
      <c r="B97" s="548"/>
      <c r="C97" s="548"/>
      <c r="D97" s="546">
        <f>D93/D92*F91+D96/D95*F94</f>
        <v>1.3936928736678422</v>
      </c>
      <c r="E97" s="96"/>
      <c r="F97" s="271"/>
    </row>
    <row r="98" spans="1:6" ht="14.25" thickTop="1" thickBot="1" x14ac:dyDescent="0.25">
      <c r="A98" s="297"/>
      <c r="B98" s="297"/>
      <c r="C98" s="297"/>
      <c r="D98" s="162"/>
      <c r="E98" s="162"/>
      <c r="F98" s="296"/>
    </row>
    <row r="99" spans="1:6" ht="13.5" thickTop="1" x14ac:dyDescent="0.2">
      <c r="A99" s="290" t="s">
        <v>276</v>
      </c>
      <c r="B99" s="281"/>
      <c r="C99" s="281"/>
      <c r="D99" s="263"/>
      <c r="E99" s="263"/>
      <c r="F99" s="264"/>
    </row>
    <row r="100" spans="1:6" x14ac:dyDescent="0.2">
      <c r="A100" s="277" t="s">
        <v>347</v>
      </c>
      <c r="B100" s="278"/>
      <c r="C100" s="278"/>
      <c r="D100" s="39"/>
      <c r="E100" s="39">
        <v>3315113</v>
      </c>
      <c r="F100" s="268"/>
    </row>
    <row r="101" spans="1:6" x14ac:dyDescent="0.2">
      <c r="A101" s="269" t="s">
        <v>263</v>
      </c>
      <c r="B101" s="270">
        <v>9</v>
      </c>
      <c r="C101" s="270">
        <v>2002</v>
      </c>
      <c r="D101" s="39">
        <f>INDEX('PPI Look Up Table'!B67:M88,C101-1999,B101)</f>
        <v>113.1</v>
      </c>
      <c r="E101" s="39"/>
      <c r="F101" s="268"/>
    </row>
    <row r="102" spans="1:6" x14ac:dyDescent="0.2">
      <c r="A102" s="269" t="s">
        <v>264</v>
      </c>
      <c r="B102" s="270">
        <f>'Input &amp; Summary'!$F$6</f>
        <v>13</v>
      </c>
      <c r="C102" s="267">
        <f>'Input &amp; Summary'!$F$7</f>
        <v>2010</v>
      </c>
      <c r="D102" s="39">
        <f>INDEX('PPI Look Up Table'!B67:N88,C102-1999,B102)</f>
        <v>157.5</v>
      </c>
      <c r="E102" s="39"/>
      <c r="F102" s="268"/>
    </row>
    <row r="103" spans="1:6" ht="13.5" thickBot="1" x14ac:dyDescent="0.25">
      <c r="A103" s="544" t="s">
        <v>265</v>
      </c>
      <c r="B103" s="545"/>
      <c r="C103" s="545"/>
      <c r="D103" s="546">
        <f>D102/D101</f>
        <v>1.3925729442970822</v>
      </c>
      <c r="E103" s="96"/>
      <c r="F103" s="271"/>
    </row>
    <row r="104" spans="1:6" ht="14.25" thickTop="1" thickBot="1" x14ac:dyDescent="0.25">
      <c r="A104" s="295"/>
      <c r="B104" s="295"/>
      <c r="C104" s="295"/>
      <c r="D104" s="162"/>
      <c r="E104" s="162"/>
      <c r="F104" s="296"/>
    </row>
    <row r="105" spans="1:6" ht="13.5" thickTop="1" x14ac:dyDescent="0.2">
      <c r="A105" s="290" t="s">
        <v>277</v>
      </c>
      <c r="B105" s="281"/>
      <c r="C105" s="281"/>
      <c r="D105" s="263"/>
      <c r="E105" s="263"/>
      <c r="F105" s="264"/>
    </row>
    <row r="106" spans="1:6" x14ac:dyDescent="0.2">
      <c r="A106" s="277" t="s">
        <v>348</v>
      </c>
      <c r="B106" s="278"/>
      <c r="C106" s="278"/>
      <c r="D106" s="39"/>
      <c r="E106" s="39" t="s">
        <v>330</v>
      </c>
      <c r="F106" s="268">
        <v>0.25</v>
      </c>
    </row>
    <row r="107" spans="1:6" x14ac:dyDescent="0.2">
      <c r="A107" s="269" t="s">
        <v>263</v>
      </c>
      <c r="B107" s="270">
        <v>9</v>
      </c>
      <c r="C107" s="270">
        <v>2002</v>
      </c>
      <c r="D107" s="39">
        <f>INDEX('PPI Look Up Table'!B301:M322,C107-1999,B107)</f>
        <v>150.4</v>
      </c>
      <c r="E107" s="39"/>
      <c r="F107" s="268"/>
    </row>
    <row r="108" spans="1:6" x14ac:dyDescent="0.2">
      <c r="A108" s="269" t="s">
        <v>264</v>
      </c>
      <c r="B108" s="270">
        <f>'Input &amp; Summary'!$F$6</f>
        <v>13</v>
      </c>
      <c r="C108" s="267">
        <f>'Input &amp; Summary'!$F$7</f>
        <v>2010</v>
      </c>
      <c r="D108" s="39">
        <f>INDEX('PPI Look Up Table'!B301:N322,C108-1999,B108)</f>
        <v>197.3</v>
      </c>
      <c r="E108" s="39"/>
      <c r="F108" s="268"/>
    </row>
    <row r="109" spans="1:6" x14ac:dyDescent="0.2">
      <c r="A109" s="277" t="s">
        <v>279</v>
      </c>
      <c r="B109" s="278"/>
      <c r="C109" s="278"/>
      <c r="D109" s="39"/>
      <c r="E109" s="39"/>
      <c r="F109" s="268">
        <v>0.6</v>
      </c>
    </row>
    <row r="110" spans="1:6" x14ac:dyDescent="0.2">
      <c r="A110" s="269" t="s">
        <v>263</v>
      </c>
      <c r="B110" s="270">
        <v>9</v>
      </c>
      <c r="C110" s="270">
        <v>2002</v>
      </c>
      <c r="D110" s="39">
        <f>INDEX('PPI Look Up Table'!B327:M348,C110-1999,B110)</f>
        <v>108.6</v>
      </c>
      <c r="E110" s="39"/>
      <c r="F110" s="268"/>
    </row>
    <row r="111" spans="1:6" x14ac:dyDescent="0.2">
      <c r="A111" s="269" t="s">
        <v>264</v>
      </c>
      <c r="B111" s="270">
        <f>'Input &amp; Summary'!$F$6</f>
        <v>13</v>
      </c>
      <c r="C111" s="267">
        <f>'Input &amp; Summary'!$F$7</f>
        <v>2010</v>
      </c>
      <c r="D111" s="39">
        <f>INDEX('PPI Look Up Table'!B327:N348,C111-1999,B111)</f>
        <v>227.1</v>
      </c>
      <c r="E111" s="39"/>
      <c r="F111" s="268"/>
    </row>
    <row r="112" spans="1:6" x14ac:dyDescent="0.2">
      <c r="A112" s="269"/>
      <c r="B112" s="270"/>
      <c r="C112" s="270"/>
      <c r="D112" s="39"/>
      <c r="E112" s="39"/>
      <c r="F112" s="268"/>
    </row>
    <row r="113" spans="1:6" x14ac:dyDescent="0.2">
      <c r="A113" s="265" t="s">
        <v>309</v>
      </c>
      <c r="B113" s="266"/>
      <c r="C113" s="267">
        <v>2002</v>
      </c>
      <c r="D113" s="39">
        <f>HLOOKUP(C113,'PPI Look Up Table'!$B$7:$V$9,3)</f>
        <v>1.0289999999999999</v>
      </c>
      <c r="E113" s="39"/>
      <c r="F113" s="268">
        <v>0.15</v>
      </c>
    </row>
    <row r="114" spans="1:6" x14ac:dyDescent="0.2">
      <c r="A114" s="265"/>
      <c r="B114" s="266"/>
      <c r="C114" s="267">
        <f>'Input &amp; Summary'!$F$7</f>
        <v>2010</v>
      </c>
      <c r="D114" s="39">
        <f>HLOOKUP(C114,'PPI Look Up Table'!$B$7:$V$9,3)</f>
        <v>1.1589999999999998</v>
      </c>
      <c r="E114" s="39"/>
      <c r="F114" s="268"/>
    </row>
    <row r="115" spans="1:6" x14ac:dyDescent="0.2">
      <c r="A115" s="265"/>
      <c r="B115" s="266"/>
      <c r="C115" s="267"/>
      <c r="D115" s="39"/>
      <c r="E115" s="39"/>
      <c r="F115" s="268"/>
    </row>
    <row r="116" spans="1:6" ht="13.5" thickBot="1" x14ac:dyDescent="0.25">
      <c r="A116" s="544" t="s">
        <v>265</v>
      </c>
      <c r="B116" s="545"/>
      <c r="C116" s="545"/>
      <c r="D116" s="546">
        <f>(D108/D107)*F106+(D111/D110)*F109+(D114/D113)*F113</f>
        <v>1.7516053465102137</v>
      </c>
      <c r="E116" s="96"/>
      <c r="F116" s="271"/>
    </row>
    <row r="117" spans="1:6" ht="14.25" thickTop="1" thickBot="1" x14ac:dyDescent="0.25">
      <c r="A117" s="295"/>
      <c r="B117" s="295"/>
      <c r="C117" s="295"/>
      <c r="D117" s="162"/>
      <c r="E117" s="162"/>
      <c r="F117" s="296"/>
    </row>
    <row r="118" spans="1:6" ht="13.5" thickTop="1" x14ac:dyDescent="0.2">
      <c r="A118" s="290" t="s">
        <v>280</v>
      </c>
      <c r="B118" s="281"/>
      <c r="C118" s="281"/>
      <c r="D118" s="263"/>
      <c r="E118" s="263"/>
      <c r="F118" s="264"/>
    </row>
    <row r="119" spans="1:6" x14ac:dyDescent="0.2">
      <c r="A119" s="277" t="s">
        <v>349</v>
      </c>
      <c r="B119" s="278"/>
      <c r="C119" s="278"/>
      <c r="D119" s="39"/>
      <c r="E119" s="39">
        <v>3339954</v>
      </c>
      <c r="F119" s="268"/>
    </row>
    <row r="120" spans="1:6" x14ac:dyDescent="0.2">
      <c r="A120" s="269" t="s">
        <v>263</v>
      </c>
      <c r="B120" s="270">
        <v>9</v>
      </c>
      <c r="C120" s="270">
        <v>2002</v>
      </c>
      <c r="D120" s="39">
        <f>INDEX('PPI Look Up Table'!B379:M400,C120-1999,B120)</f>
        <v>122.4</v>
      </c>
      <c r="E120" s="39"/>
      <c r="F120" s="268"/>
    </row>
    <row r="121" spans="1:6" x14ac:dyDescent="0.2">
      <c r="A121" s="269" t="s">
        <v>264</v>
      </c>
      <c r="B121" s="270">
        <f>'Input &amp; Summary'!$F$6</f>
        <v>13</v>
      </c>
      <c r="C121" s="267">
        <f>'Input &amp; Summary'!$F$7</f>
        <v>2010</v>
      </c>
      <c r="D121" s="39">
        <f>INDEX('PPI Look Up Table'!B379:N400,C121-1999,B121)</f>
        <v>166.2</v>
      </c>
      <c r="E121" s="39"/>
      <c r="F121" s="268"/>
    </row>
    <row r="122" spans="1:6" ht="13.5" thickBot="1" x14ac:dyDescent="0.25">
      <c r="A122" s="544" t="s">
        <v>265</v>
      </c>
      <c r="B122" s="545"/>
      <c r="C122" s="545"/>
      <c r="D122" s="546">
        <f>D121/D120</f>
        <v>1.3578431372549018</v>
      </c>
      <c r="E122" s="96"/>
      <c r="F122" s="271"/>
    </row>
    <row r="123" spans="1:6" ht="14.25" thickTop="1" thickBot="1" x14ac:dyDescent="0.25">
      <c r="A123" s="20"/>
      <c r="B123" s="20"/>
      <c r="C123" s="20"/>
      <c r="F123" s="17"/>
    </row>
    <row r="124" spans="1:6" ht="13.5" thickTop="1" x14ac:dyDescent="0.2">
      <c r="A124" s="355" t="s">
        <v>653</v>
      </c>
      <c r="B124" s="272"/>
      <c r="C124" s="272"/>
      <c r="D124" s="272"/>
      <c r="E124" s="272"/>
      <c r="F124" s="273"/>
    </row>
    <row r="125" spans="1:6" x14ac:dyDescent="0.2">
      <c r="A125" s="277" t="s">
        <v>311</v>
      </c>
      <c r="B125" s="278"/>
      <c r="C125" s="278"/>
      <c r="D125" s="39"/>
      <c r="E125" s="39">
        <v>3272123</v>
      </c>
      <c r="F125" s="268">
        <v>0.55000000000000004</v>
      </c>
    </row>
    <row r="126" spans="1:6" x14ac:dyDescent="0.2">
      <c r="A126" s="269" t="s">
        <v>263</v>
      </c>
      <c r="B126" s="270">
        <v>9</v>
      </c>
      <c r="C126" s="270">
        <v>2002</v>
      </c>
      <c r="D126" s="39">
        <f>INDEX('PPI Look Up Table'!B15:M36,C126-1999,B126)</f>
        <v>101.7</v>
      </c>
      <c r="E126" s="39"/>
      <c r="F126" s="268"/>
    </row>
    <row r="127" spans="1:6" x14ac:dyDescent="0.2">
      <c r="A127" s="269" t="s">
        <v>264</v>
      </c>
      <c r="B127" s="270">
        <f>'Input &amp; Summary'!$F$6</f>
        <v>13</v>
      </c>
      <c r="C127" s="267">
        <f>'Input &amp; Summary'!$F$7</f>
        <v>2010</v>
      </c>
      <c r="D127" s="39">
        <f>INDEX('PPI Look Up Table'!B15:N36,C127-1999,B127)</f>
        <v>83.3</v>
      </c>
      <c r="E127" s="39"/>
      <c r="F127" s="268"/>
    </row>
    <row r="128" spans="1:6" x14ac:dyDescent="0.2">
      <c r="A128" s="279" t="s">
        <v>310</v>
      </c>
      <c r="B128" s="280"/>
      <c r="C128" s="280"/>
      <c r="D128" s="39"/>
      <c r="E128" s="39">
        <v>3255044</v>
      </c>
      <c r="F128" s="268">
        <v>0.3</v>
      </c>
    </row>
    <row r="129" spans="1:6" x14ac:dyDescent="0.2">
      <c r="A129" s="269" t="s">
        <v>263</v>
      </c>
      <c r="B129" s="270">
        <v>9</v>
      </c>
      <c r="C129" s="270">
        <v>2002</v>
      </c>
      <c r="D129" s="39">
        <f>INDEX('PPI Look Up Table'!B41:M62,C129-1999,B129)</f>
        <v>162.1</v>
      </c>
      <c r="E129" s="39"/>
      <c r="F129" s="268"/>
    </row>
    <row r="130" spans="1:6" x14ac:dyDescent="0.2">
      <c r="A130" s="269" t="s">
        <v>264</v>
      </c>
      <c r="B130" s="270">
        <f>'Input &amp; Summary'!$F$6</f>
        <v>13</v>
      </c>
      <c r="C130" s="267">
        <f>'Input &amp; Summary'!$F$7</f>
        <v>2010</v>
      </c>
      <c r="D130" s="39">
        <f>INDEX('PPI Look Up Table'!B41:N62,C130-1999,B130)</f>
        <v>235.4</v>
      </c>
      <c r="E130" s="39"/>
      <c r="F130" s="268"/>
    </row>
    <row r="131" spans="1:6" x14ac:dyDescent="0.2">
      <c r="A131" s="269"/>
      <c r="B131" s="270"/>
      <c r="C131" s="270"/>
      <c r="D131" s="39"/>
      <c r="E131" s="39"/>
      <c r="F131" s="268"/>
    </row>
    <row r="132" spans="1:6" x14ac:dyDescent="0.2">
      <c r="A132" s="265" t="s">
        <v>309</v>
      </c>
      <c r="B132" s="266"/>
      <c r="C132" s="267">
        <v>2002</v>
      </c>
      <c r="D132" s="39">
        <f>HLOOKUP(C132,'PPI Look Up Table'!$B$7:$V$9,3)</f>
        <v>1.0289999999999999</v>
      </c>
      <c r="E132" s="39"/>
      <c r="F132" s="268">
        <v>0.15</v>
      </c>
    </row>
    <row r="133" spans="1:6" x14ac:dyDescent="0.2">
      <c r="A133" s="265"/>
      <c r="B133" s="266"/>
      <c r="C133" s="267">
        <f>'Input &amp; Summary'!$F$7</f>
        <v>2010</v>
      </c>
      <c r="D133" s="39">
        <f>HLOOKUP(C133,'PPI Look Up Table'!$B$7:$V$9,3)</f>
        <v>1.1589999999999998</v>
      </c>
      <c r="E133" s="39"/>
      <c r="F133" s="268"/>
    </row>
    <row r="134" spans="1:6" x14ac:dyDescent="0.2">
      <c r="A134" s="269"/>
      <c r="B134" s="270"/>
      <c r="C134" s="270"/>
      <c r="D134" s="39"/>
      <c r="E134" s="39"/>
      <c r="F134" s="268"/>
    </row>
    <row r="135" spans="1:6" ht="13.5" thickBot="1" x14ac:dyDescent="0.25">
      <c r="A135" s="544" t="s">
        <v>265</v>
      </c>
      <c r="B135" s="545"/>
      <c r="C135" s="545"/>
      <c r="D135" s="546">
        <f>(D127/D126)*F125+(D130/D129)*F128+(D133/D132)*F132</f>
        <v>1.0550990812530561</v>
      </c>
      <c r="E135" s="96"/>
      <c r="F135" s="271"/>
    </row>
    <row r="136" spans="1:6" ht="14.25" thickTop="1" thickBot="1" x14ac:dyDescent="0.25">
      <c r="A136" s="20"/>
      <c r="B136" s="20"/>
      <c r="C136" s="20"/>
      <c r="F136" s="17"/>
    </row>
    <row r="137" spans="1:6" ht="13.5" thickTop="1" x14ac:dyDescent="0.2">
      <c r="A137" s="294" t="s">
        <v>34</v>
      </c>
      <c r="B137" s="283"/>
      <c r="C137" s="283"/>
      <c r="D137" s="263"/>
      <c r="E137" s="263"/>
      <c r="F137" s="264"/>
    </row>
    <row r="138" spans="1:6" x14ac:dyDescent="0.2">
      <c r="A138" s="265" t="s">
        <v>341</v>
      </c>
      <c r="B138" s="266"/>
      <c r="C138" s="266"/>
      <c r="D138" s="39"/>
      <c r="E138" s="39">
        <v>334513</v>
      </c>
      <c r="F138" s="268"/>
    </row>
    <row r="139" spans="1:6" x14ac:dyDescent="0.2">
      <c r="A139" s="269" t="s">
        <v>263</v>
      </c>
      <c r="B139" s="270">
        <v>9</v>
      </c>
      <c r="C139" s="270">
        <v>2002</v>
      </c>
      <c r="D139" s="39">
        <f>INDEX('PPI Look Up Table'!B171:M192,C139-1999,B139)</f>
        <v>157.1</v>
      </c>
      <c r="E139" s="39"/>
      <c r="F139" s="268"/>
    </row>
    <row r="140" spans="1:6" x14ac:dyDescent="0.2">
      <c r="A140" s="269" t="s">
        <v>264</v>
      </c>
      <c r="B140" s="270">
        <f>'Input &amp; Summary'!$F$6</f>
        <v>13</v>
      </c>
      <c r="C140" s="267">
        <f>'Input &amp; Summary'!$F$7</f>
        <v>2010</v>
      </c>
      <c r="D140" s="39">
        <f>INDEX('PPI Look Up Table'!B171:N192,C140-1999,B140)</f>
        <v>194</v>
      </c>
      <c r="E140" s="39"/>
      <c r="F140" s="268"/>
    </row>
    <row r="141" spans="1:6" ht="13.5" thickBot="1" x14ac:dyDescent="0.25">
      <c r="A141" s="544" t="s">
        <v>265</v>
      </c>
      <c r="B141" s="545"/>
      <c r="C141" s="545"/>
      <c r="D141" s="546">
        <f>D140/D139</f>
        <v>1.2348822406110758</v>
      </c>
      <c r="E141" s="96"/>
      <c r="F141" s="271"/>
    </row>
    <row r="142" spans="1:6" ht="14.25" thickTop="1" thickBot="1" x14ac:dyDescent="0.25">
      <c r="A142" s="295"/>
      <c r="B142" s="295"/>
      <c r="C142" s="295"/>
      <c r="D142" s="162"/>
      <c r="E142" s="162"/>
      <c r="F142" s="296"/>
    </row>
    <row r="143" spans="1:6" ht="13.5" thickTop="1" x14ac:dyDescent="0.2">
      <c r="A143" s="290" t="s">
        <v>281</v>
      </c>
      <c r="B143" s="284"/>
      <c r="C143" s="284"/>
      <c r="D143" s="263"/>
      <c r="E143" s="263"/>
      <c r="F143" s="264"/>
    </row>
    <row r="144" spans="1:6" x14ac:dyDescent="0.2">
      <c r="A144" s="265" t="s">
        <v>350</v>
      </c>
      <c r="B144" s="266"/>
      <c r="C144" s="267">
        <v>2002</v>
      </c>
      <c r="D144" s="39">
        <f>HLOOKUP(C144,'PPI Look Up Table'!$B$7:$V$9,3)</f>
        <v>1.0289999999999999</v>
      </c>
      <c r="E144" s="39"/>
      <c r="F144" s="268"/>
    </row>
    <row r="145" spans="1:6" x14ac:dyDescent="0.2">
      <c r="A145" s="265"/>
      <c r="B145" s="266"/>
      <c r="C145" s="267">
        <f>'Input &amp; Summary'!$F$7</f>
        <v>2010</v>
      </c>
      <c r="D145" s="39">
        <f>HLOOKUP(C145,'PPI Look Up Table'!$B$7:$V$9,3)</f>
        <v>1.1589999999999998</v>
      </c>
      <c r="E145" s="39"/>
      <c r="F145" s="268"/>
    </row>
    <row r="146" spans="1:6" x14ac:dyDescent="0.2">
      <c r="A146" s="269"/>
      <c r="B146" s="270"/>
      <c r="C146" s="270"/>
      <c r="D146" s="39"/>
      <c r="E146" s="39"/>
      <c r="F146" s="268"/>
    </row>
    <row r="147" spans="1:6" ht="13.5" thickBot="1" x14ac:dyDescent="0.25">
      <c r="A147" s="544" t="s">
        <v>265</v>
      </c>
      <c r="B147" s="545"/>
      <c r="C147" s="545"/>
      <c r="D147" s="546">
        <f>D145/D144</f>
        <v>1.1263362487852282</v>
      </c>
      <c r="E147" s="96"/>
      <c r="F147" s="271"/>
    </row>
    <row r="148" spans="1:6" ht="14.25" thickTop="1" thickBot="1" x14ac:dyDescent="0.25">
      <c r="A148" s="132"/>
      <c r="B148" s="132"/>
      <c r="C148" s="132"/>
      <c r="F148" s="17"/>
    </row>
    <row r="149" spans="1:6" ht="13.5" thickTop="1" x14ac:dyDescent="0.2">
      <c r="A149" s="290" t="s">
        <v>282</v>
      </c>
      <c r="B149" s="284"/>
      <c r="C149" s="284"/>
      <c r="D149" s="263"/>
      <c r="E149" s="263"/>
      <c r="F149" s="264"/>
    </row>
    <row r="150" spans="1:6" x14ac:dyDescent="0.2">
      <c r="A150" s="265" t="s">
        <v>350</v>
      </c>
      <c r="B150" s="266"/>
      <c r="C150" s="267">
        <v>2002</v>
      </c>
      <c r="D150" s="39">
        <f>HLOOKUP(C150,'PPI Look Up Table'!$B$7:$V$9,3)</f>
        <v>1.0289999999999999</v>
      </c>
      <c r="E150" s="39"/>
      <c r="F150" s="268"/>
    </row>
    <row r="151" spans="1:6" x14ac:dyDescent="0.2">
      <c r="A151" s="265"/>
      <c r="B151" s="266"/>
      <c r="C151" s="267">
        <f>'Input &amp; Summary'!$F$7</f>
        <v>2010</v>
      </c>
      <c r="D151" s="39">
        <f>HLOOKUP(C151,'PPI Look Up Table'!$B$7:$V$9,3)</f>
        <v>1.1589999999999998</v>
      </c>
      <c r="E151" s="39"/>
      <c r="F151" s="268"/>
    </row>
    <row r="152" spans="1:6" x14ac:dyDescent="0.2">
      <c r="A152" s="269"/>
      <c r="B152" s="270"/>
      <c r="C152" s="270"/>
      <c r="D152" s="39"/>
      <c r="E152" s="39"/>
      <c r="F152" s="268"/>
    </row>
    <row r="153" spans="1:6" ht="13.5" thickBot="1" x14ac:dyDescent="0.25">
      <c r="A153" s="544" t="s">
        <v>265</v>
      </c>
      <c r="B153" s="545"/>
      <c r="C153" s="545"/>
      <c r="D153" s="546">
        <f>D151/D150</f>
        <v>1.1263362487852282</v>
      </c>
      <c r="E153" s="96"/>
      <c r="F153" s="271"/>
    </row>
    <row r="154" spans="1:6" ht="14.25" thickTop="1" thickBot="1" x14ac:dyDescent="0.25">
      <c r="A154" s="132"/>
      <c r="B154" s="132"/>
      <c r="C154" s="132"/>
      <c r="F154" s="17"/>
    </row>
    <row r="155" spans="1:6" ht="13.5" thickTop="1" x14ac:dyDescent="0.2">
      <c r="A155" s="294" t="s">
        <v>35</v>
      </c>
      <c r="B155" s="283"/>
      <c r="C155" s="283"/>
      <c r="D155" s="263"/>
      <c r="E155" s="263"/>
      <c r="F155" s="264"/>
    </row>
    <row r="156" spans="1:6" x14ac:dyDescent="0.2">
      <c r="A156" s="285" t="s">
        <v>351</v>
      </c>
      <c r="B156" s="134"/>
      <c r="C156" s="134"/>
      <c r="D156" s="39"/>
      <c r="E156" s="39">
        <v>331221</v>
      </c>
      <c r="F156" s="268"/>
    </row>
    <row r="157" spans="1:6" x14ac:dyDescent="0.2">
      <c r="A157" s="269" t="s">
        <v>263</v>
      </c>
      <c r="B157" s="270">
        <v>9</v>
      </c>
      <c r="C157" s="270">
        <v>2002</v>
      </c>
      <c r="D157" s="39">
        <f>INDEX('PPI Look Up Table'!B405:M426,C157-1999,B157)</f>
        <v>117.6</v>
      </c>
      <c r="E157" s="39"/>
      <c r="F157" s="268"/>
    </row>
    <row r="158" spans="1:6" x14ac:dyDescent="0.2">
      <c r="A158" s="269" t="s">
        <v>264</v>
      </c>
      <c r="B158" s="270">
        <f>'Input &amp; Summary'!$F$6</f>
        <v>13</v>
      </c>
      <c r="C158" s="267">
        <f>'Input &amp; Summary'!$F$7</f>
        <v>2010</v>
      </c>
      <c r="D158" s="39">
        <f>INDEX('PPI Look Up Table'!B405:N426,C158-1999,B158)</f>
        <v>187.5</v>
      </c>
      <c r="E158" s="39"/>
      <c r="F158" s="268"/>
    </row>
    <row r="159" spans="1:6" ht="13.5" thickBot="1" x14ac:dyDescent="0.25">
      <c r="A159" s="544" t="s">
        <v>265</v>
      </c>
      <c r="B159" s="545"/>
      <c r="C159" s="545"/>
      <c r="D159" s="546">
        <f>D158/D157</f>
        <v>1.5943877551020409</v>
      </c>
      <c r="E159" s="96"/>
      <c r="F159" s="271"/>
    </row>
    <row r="160" spans="1:6" ht="14.25" thickTop="1" thickBot="1" x14ac:dyDescent="0.25">
      <c r="A160" s="295"/>
      <c r="B160" s="295"/>
      <c r="C160" s="295"/>
      <c r="D160" s="162"/>
      <c r="E160" s="162"/>
      <c r="F160" s="296"/>
    </row>
    <row r="161" spans="1:8" ht="13.5" thickTop="1" x14ac:dyDescent="0.2">
      <c r="A161" s="294" t="s">
        <v>83</v>
      </c>
      <c r="B161" s="283"/>
      <c r="C161" s="283"/>
      <c r="D161" s="263"/>
      <c r="E161" s="263"/>
      <c r="F161" s="264"/>
    </row>
    <row r="162" spans="1:8" x14ac:dyDescent="0.2">
      <c r="A162" s="285" t="s">
        <v>352</v>
      </c>
      <c r="B162" s="134"/>
      <c r="C162" s="134"/>
      <c r="D162" s="39"/>
      <c r="E162" s="39" t="s">
        <v>337</v>
      </c>
      <c r="F162" s="268"/>
    </row>
    <row r="163" spans="1:8" x14ac:dyDescent="0.2">
      <c r="A163" s="269" t="s">
        <v>283</v>
      </c>
      <c r="B163" s="270">
        <v>9</v>
      </c>
      <c r="C163" s="270">
        <v>2003</v>
      </c>
      <c r="D163" s="39">
        <f>INDEX('PPI Look Up Table'!B458:M480,C163-1999,B163)</f>
        <v>68.139873725109283</v>
      </c>
      <c r="E163" s="270"/>
      <c r="F163" s="268"/>
    </row>
    <row r="164" spans="1:8" x14ac:dyDescent="0.2">
      <c r="A164" s="269" t="s">
        <v>264</v>
      </c>
      <c r="B164" s="270">
        <f>'Input &amp; Summary'!$F$6</f>
        <v>13</v>
      </c>
      <c r="C164" s="267">
        <f>'Input &amp; Summary'!$F$7</f>
        <v>2010</v>
      </c>
      <c r="D164" s="39">
        <f>INDEX('PPI Look Up Table'!B458:N480,C164-1999,B164)</f>
        <v>100.00288975230694</v>
      </c>
      <c r="E164" s="39"/>
      <c r="F164" s="268"/>
    </row>
    <row r="165" spans="1:8" ht="13.5" thickBot="1" x14ac:dyDescent="0.25">
      <c r="A165" s="544" t="s">
        <v>265</v>
      </c>
      <c r="B165" s="545"/>
      <c r="C165" s="545"/>
      <c r="D165" s="546">
        <f>D164/D163</f>
        <v>1.4676119030648609</v>
      </c>
      <c r="E165" s="96"/>
      <c r="F165" s="271"/>
    </row>
    <row r="166" spans="1:8" ht="14.25" thickTop="1" thickBot="1" x14ac:dyDescent="0.25">
      <c r="A166" s="295"/>
      <c r="B166" s="295"/>
      <c r="C166" s="295"/>
      <c r="D166" s="162"/>
      <c r="E166" s="162"/>
      <c r="F166" s="296"/>
    </row>
    <row r="167" spans="1:8" ht="13.5" thickTop="1" x14ac:dyDescent="0.2">
      <c r="A167" s="298" t="s">
        <v>870</v>
      </c>
      <c r="B167" s="286"/>
      <c r="C167" s="286"/>
      <c r="D167" s="263"/>
      <c r="E167" s="263"/>
      <c r="F167" s="264"/>
    </row>
    <row r="168" spans="1:8" x14ac:dyDescent="0.2">
      <c r="A168" s="285" t="s">
        <v>284</v>
      </c>
      <c r="B168" s="134"/>
      <c r="C168" s="134"/>
      <c r="D168" s="39"/>
      <c r="E168" s="39">
        <v>4841212</v>
      </c>
      <c r="F168" s="268"/>
    </row>
    <row r="169" spans="1:8" x14ac:dyDescent="0.2">
      <c r="A169" s="269" t="s">
        <v>283</v>
      </c>
      <c r="B169" s="270">
        <v>9</v>
      </c>
      <c r="C169" s="270">
        <v>2002</v>
      </c>
      <c r="D169" s="39">
        <f>INDEX('PPI Look Up Table'!B485:N506,C169-1999,B169)</f>
        <v>109.9</v>
      </c>
      <c r="E169" s="39"/>
      <c r="F169" s="268"/>
    </row>
    <row r="170" spans="1:8" x14ac:dyDescent="0.2">
      <c r="A170" s="269" t="s">
        <v>264</v>
      </c>
      <c r="B170" s="270">
        <f>'Input &amp; Summary'!$F$6</f>
        <v>13</v>
      </c>
      <c r="C170" s="267">
        <f>'Input &amp; Summary'!$F$7</f>
        <v>2010</v>
      </c>
      <c r="D170" s="39">
        <f>INDEX('PPI Look Up Table'!B485:N506,C170-1999,B170)</f>
        <v>128.19999999999999</v>
      </c>
      <c r="E170" s="39"/>
      <c r="F170" s="268"/>
      <c r="H170" s="143"/>
    </row>
    <row r="171" spans="1:8" ht="13.5" thickBot="1" x14ac:dyDescent="0.25">
      <c r="A171" s="544" t="s">
        <v>265</v>
      </c>
      <c r="B171" s="545"/>
      <c r="C171" s="545"/>
      <c r="D171" s="546">
        <f>D170/D169</f>
        <v>1.1665150136487714</v>
      </c>
      <c r="E171" s="96"/>
      <c r="F171" s="271"/>
    </row>
    <row r="172" spans="1:8" ht="14.25" thickTop="1" thickBot="1" x14ac:dyDescent="0.25">
      <c r="A172" s="295"/>
      <c r="B172" s="295"/>
      <c r="C172" s="295"/>
      <c r="D172" s="162"/>
      <c r="E172" s="162"/>
      <c r="F172" s="296"/>
    </row>
    <row r="173" spans="1:8" ht="13.5" thickTop="1" x14ac:dyDescent="0.2">
      <c r="A173" s="298" t="s">
        <v>968</v>
      </c>
      <c r="B173" s="286"/>
      <c r="C173" s="286"/>
      <c r="D173" s="263"/>
      <c r="E173" s="263"/>
      <c r="F173" s="264"/>
    </row>
    <row r="174" spans="1:8" x14ac:dyDescent="0.2">
      <c r="A174" s="285" t="s">
        <v>353</v>
      </c>
      <c r="B174" s="135"/>
      <c r="C174" s="135"/>
      <c r="D174" s="39"/>
      <c r="E174" s="39" t="s">
        <v>337</v>
      </c>
      <c r="F174" s="268"/>
    </row>
    <row r="175" spans="1:8" x14ac:dyDescent="0.2">
      <c r="A175" s="269" t="s">
        <v>283</v>
      </c>
      <c r="B175" s="270">
        <v>9</v>
      </c>
      <c r="C175" s="270">
        <v>2003</v>
      </c>
      <c r="D175" s="39">
        <f>INDEX('PPI Look Up Table'!B458:M480,C175-1999,B175)</f>
        <v>68.139873725109283</v>
      </c>
      <c r="E175" s="39"/>
      <c r="F175" s="268"/>
    </row>
    <row r="176" spans="1:8" x14ac:dyDescent="0.2">
      <c r="A176" s="269" t="s">
        <v>264</v>
      </c>
      <c r="B176" s="270">
        <f>'Input &amp; Summary'!$F$6</f>
        <v>13</v>
      </c>
      <c r="C176" s="267">
        <f>'Input &amp; Summary'!$F$7</f>
        <v>2010</v>
      </c>
      <c r="D176" s="39">
        <f>INDEX('PPI Look Up Table'!B458:N480,C176-1999,B176)</f>
        <v>100.00288975230694</v>
      </c>
      <c r="E176" s="39"/>
      <c r="F176" s="268"/>
    </row>
    <row r="177" spans="1:6" ht="13.5" thickBot="1" x14ac:dyDescent="0.25">
      <c r="A177" s="544" t="s">
        <v>265</v>
      </c>
      <c r="B177" s="545"/>
      <c r="C177" s="545"/>
      <c r="D177" s="546">
        <f>D176/D175</f>
        <v>1.4676119030648609</v>
      </c>
      <c r="E177" s="96"/>
      <c r="F177" s="271"/>
    </row>
    <row r="178" spans="1:6" ht="14.25" thickTop="1" thickBot="1" x14ac:dyDescent="0.25">
      <c r="A178" s="295"/>
      <c r="B178" s="295"/>
      <c r="C178" s="295"/>
      <c r="D178" s="162"/>
      <c r="E178" s="162"/>
      <c r="F178" s="296"/>
    </row>
    <row r="179" spans="1:6" ht="13.5" thickTop="1" x14ac:dyDescent="0.2">
      <c r="A179" s="298" t="s">
        <v>1003</v>
      </c>
      <c r="B179" s="286"/>
      <c r="C179" s="286"/>
      <c r="D179" s="263"/>
      <c r="E179" s="263"/>
      <c r="F179" s="264"/>
    </row>
    <row r="180" spans="1:6" x14ac:dyDescent="0.2">
      <c r="A180" s="287" t="s">
        <v>285</v>
      </c>
      <c r="B180" s="135"/>
      <c r="C180" s="135"/>
      <c r="D180" s="39"/>
      <c r="E180" s="39" t="s">
        <v>337</v>
      </c>
      <c r="F180" s="268"/>
    </row>
    <row r="181" spans="1:6" x14ac:dyDescent="0.2">
      <c r="A181" s="269" t="s">
        <v>283</v>
      </c>
      <c r="B181" s="270">
        <v>9</v>
      </c>
      <c r="C181" s="270">
        <v>2002</v>
      </c>
      <c r="D181" s="39">
        <f>INDEX('PPI Look Up Table'!B458:M480,C181-1999,B181)</f>
        <v>67.071393880524525</v>
      </c>
      <c r="E181" s="39"/>
      <c r="F181" s="268"/>
    </row>
    <row r="182" spans="1:6" x14ac:dyDescent="0.2">
      <c r="A182" s="269" t="s">
        <v>264</v>
      </c>
      <c r="B182" s="270">
        <f>'Input &amp; Summary'!$F$6</f>
        <v>13</v>
      </c>
      <c r="C182" s="267">
        <f>'Input &amp; Summary'!$F$7</f>
        <v>2010</v>
      </c>
      <c r="D182" s="39">
        <f>INDEX('PPI Look Up Table'!B458:N480,C182-1999,B182)</f>
        <v>100.00288975230694</v>
      </c>
      <c r="E182" s="39"/>
      <c r="F182" s="268"/>
    </row>
    <row r="183" spans="1:6" ht="13.5" thickBot="1" x14ac:dyDescent="0.25">
      <c r="A183" s="544" t="s">
        <v>265</v>
      </c>
      <c r="B183" s="545"/>
      <c r="C183" s="545"/>
      <c r="D183" s="546">
        <f>D182/D181</f>
        <v>1.4909916727009414</v>
      </c>
      <c r="E183" s="96"/>
      <c r="F183" s="271"/>
    </row>
    <row r="184" spans="1:6" ht="14.25" thickTop="1" thickBot="1" x14ac:dyDescent="0.25">
      <c r="A184" s="814"/>
      <c r="B184" s="814"/>
      <c r="C184" s="814"/>
      <c r="D184" s="815"/>
      <c r="E184" s="96"/>
      <c r="F184" s="813"/>
    </row>
    <row r="185" spans="1:6" ht="13.5" thickTop="1" x14ac:dyDescent="0.2">
      <c r="A185" s="298" t="s">
        <v>1004</v>
      </c>
      <c r="B185" s="286"/>
      <c r="C185" s="286"/>
      <c r="D185" s="263"/>
      <c r="E185" s="263"/>
      <c r="F185" s="264"/>
    </row>
    <row r="186" spans="1:6" x14ac:dyDescent="0.2">
      <c r="A186" s="287" t="s">
        <v>285</v>
      </c>
      <c r="B186" s="135"/>
      <c r="C186" s="135"/>
      <c r="D186" s="39"/>
      <c r="E186" s="39" t="s">
        <v>337</v>
      </c>
      <c r="F186" s="268"/>
    </row>
    <row r="187" spans="1:6" x14ac:dyDescent="0.2">
      <c r="A187" s="269" t="s">
        <v>283</v>
      </c>
      <c r="B187" s="270">
        <v>9</v>
      </c>
      <c r="C187" s="270">
        <v>2003</v>
      </c>
      <c r="D187" s="39">
        <f>INDEX('PPI Look Up Table'!B458:M480,C187-1999,B187)</f>
        <v>68.139873725109283</v>
      </c>
      <c r="E187" s="39"/>
      <c r="F187" s="268"/>
    </row>
    <row r="188" spans="1:6" x14ac:dyDescent="0.2">
      <c r="A188" s="269" t="s">
        <v>264</v>
      </c>
      <c r="B188" s="270">
        <f>'Input &amp; Summary'!$F$6</f>
        <v>13</v>
      </c>
      <c r="C188" s="267">
        <f>'Input &amp; Summary'!$F$7</f>
        <v>2010</v>
      </c>
      <c r="D188" s="39">
        <f>INDEX('PPI Look Up Table'!B458:N480,C188-1999,B188)</f>
        <v>100.00288975230694</v>
      </c>
      <c r="E188" s="39"/>
      <c r="F188" s="268"/>
    </row>
    <row r="189" spans="1:6" ht="13.5" thickBot="1" x14ac:dyDescent="0.25">
      <c r="A189" s="544" t="s">
        <v>265</v>
      </c>
      <c r="B189" s="545"/>
      <c r="C189" s="545"/>
      <c r="D189" s="546">
        <f>D188/D187</f>
        <v>1.4676119030648609</v>
      </c>
      <c r="E189" s="96"/>
      <c r="F189" s="271"/>
    </row>
    <row r="190" spans="1:6" ht="14.25" thickTop="1" thickBot="1" x14ac:dyDescent="0.25">
      <c r="A190" s="295"/>
      <c r="B190" s="295"/>
      <c r="C190" s="295"/>
      <c r="D190" s="162"/>
      <c r="E190" s="162"/>
      <c r="F190" s="296"/>
    </row>
    <row r="191" spans="1:6" ht="26.25" thickTop="1" x14ac:dyDescent="0.2">
      <c r="A191" s="299" t="s">
        <v>1008</v>
      </c>
      <c r="B191" s="286"/>
      <c r="C191" s="286"/>
      <c r="D191" s="263"/>
      <c r="E191" s="263"/>
      <c r="F191" s="264"/>
    </row>
    <row r="192" spans="1:6" x14ac:dyDescent="0.2">
      <c r="A192" s="288" t="s">
        <v>333</v>
      </c>
      <c r="B192" s="136"/>
      <c r="C192" s="136"/>
      <c r="D192" s="39"/>
      <c r="E192" s="39">
        <v>3353119</v>
      </c>
      <c r="F192" s="268">
        <v>0.4</v>
      </c>
    </row>
    <row r="193" spans="1:6" x14ac:dyDescent="0.2">
      <c r="A193" s="269" t="s">
        <v>283</v>
      </c>
      <c r="B193" s="270">
        <v>9</v>
      </c>
      <c r="C193" s="270">
        <v>2002</v>
      </c>
      <c r="D193" s="39">
        <f>INDEX('PPI Look Up Table'!B353:M374,C193-1999,B193)</f>
        <v>98.2</v>
      </c>
      <c r="E193" s="270"/>
      <c r="F193" s="268"/>
    </row>
    <row r="194" spans="1:6" x14ac:dyDescent="0.2">
      <c r="A194" s="269" t="s">
        <v>264</v>
      </c>
      <c r="B194" s="270">
        <f>'Input &amp; Summary'!$F$6</f>
        <v>13</v>
      </c>
      <c r="C194" s="267">
        <f>'Input &amp; Summary'!$F$7</f>
        <v>2010</v>
      </c>
      <c r="D194" s="39">
        <f>INDEX('PPI Look Up Table'!B353:N374,C194-1999,B194)</f>
        <v>192</v>
      </c>
      <c r="E194" s="39"/>
      <c r="F194" s="268"/>
    </row>
    <row r="195" spans="1:6" x14ac:dyDescent="0.2">
      <c r="A195" s="277" t="s">
        <v>278</v>
      </c>
      <c r="B195" s="278"/>
      <c r="C195" s="278"/>
      <c r="D195" s="39"/>
      <c r="E195" s="39" t="s">
        <v>330</v>
      </c>
      <c r="F195" s="268">
        <v>0.15</v>
      </c>
    </row>
    <row r="196" spans="1:6" x14ac:dyDescent="0.2">
      <c r="A196" s="269" t="s">
        <v>283</v>
      </c>
      <c r="B196" s="270">
        <v>9</v>
      </c>
      <c r="C196" s="270">
        <v>2002</v>
      </c>
      <c r="D196" s="39">
        <f>INDEX('PPI Look Up Table'!B301:M322,C196-1999,B196)</f>
        <v>150.4</v>
      </c>
      <c r="E196" s="270"/>
      <c r="F196" s="268"/>
    </row>
    <row r="197" spans="1:6" x14ac:dyDescent="0.2">
      <c r="A197" s="269" t="s">
        <v>264</v>
      </c>
      <c r="B197" s="270">
        <f>'Input &amp; Summary'!$F$6</f>
        <v>13</v>
      </c>
      <c r="C197" s="267">
        <f>'Input &amp; Summary'!$F$7</f>
        <v>2010</v>
      </c>
      <c r="D197" s="39">
        <f>INDEX('PPI Look Up Table'!B301:N322,C197-1999,B197)</f>
        <v>197.3</v>
      </c>
      <c r="E197" s="270"/>
      <c r="F197" s="268"/>
    </row>
    <row r="198" spans="1:6" x14ac:dyDescent="0.2">
      <c r="A198" s="277" t="s">
        <v>279</v>
      </c>
      <c r="B198" s="278"/>
      <c r="C198" s="278"/>
      <c r="D198" s="39"/>
      <c r="E198" s="39">
        <v>3359291</v>
      </c>
      <c r="F198" s="268">
        <v>0.35</v>
      </c>
    </row>
    <row r="199" spans="1:6" x14ac:dyDescent="0.2">
      <c r="A199" s="269" t="s">
        <v>283</v>
      </c>
      <c r="B199" s="270">
        <v>9</v>
      </c>
      <c r="C199" s="270">
        <v>2002</v>
      </c>
      <c r="D199" s="39">
        <f>INDEX('PPI Look Up Table'!B327:M348,C199-1999,B199)</f>
        <v>108.6</v>
      </c>
      <c r="E199" s="270"/>
      <c r="F199" s="268"/>
    </row>
    <row r="200" spans="1:6" x14ac:dyDescent="0.2">
      <c r="A200" s="269" t="s">
        <v>264</v>
      </c>
      <c r="B200" s="270">
        <f>'Input &amp; Summary'!$F$6</f>
        <v>13</v>
      </c>
      <c r="C200" s="267">
        <f>'Input &amp; Summary'!$F$7</f>
        <v>2010</v>
      </c>
      <c r="D200" s="39">
        <f>INDEX('PPI Look Up Table'!B327:N348,C200-1999,B200)</f>
        <v>227.1</v>
      </c>
      <c r="E200" s="270"/>
      <c r="F200" s="268"/>
    </row>
    <row r="201" spans="1:6" x14ac:dyDescent="0.2">
      <c r="A201" s="269"/>
      <c r="B201" s="270"/>
      <c r="C201" s="270"/>
      <c r="D201" s="39"/>
      <c r="E201" s="39"/>
      <c r="F201" s="268"/>
    </row>
    <row r="202" spans="1:6" x14ac:dyDescent="0.2">
      <c r="A202" s="265" t="s">
        <v>309</v>
      </c>
      <c r="B202" s="266"/>
      <c r="C202" s="267">
        <v>2002</v>
      </c>
      <c r="D202" s="39">
        <f>HLOOKUP(C202,'PPI Look Up Table'!$B$7:$V$9,3)</f>
        <v>1.0289999999999999</v>
      </c>
      <c r="E202" s="39"/>
      <c r="F202" s="268">
        <v>0.1</v>
      </c>
    </row>
    <row r="203" spans="1:6" x14ac:dyDescent="0.2">
      <c r="A203" s="265"/>
      <c r="B203" s="266"/>
      <c r="C203" s="267">
        <f>'Input &amp; Summary'!$F$7</f>
        <v>2010</v>
      </c>
      <c r="D203" s="39">
        <f>HLOOKUP(C203,'PPI Look Up Table'!$B$7:$V$9,3)</f>
        <v>1.1589999999999998</v>
      </c>
      <c r="E203" s="39"/>
      <c r="F203" s="268"/>
    </row>
    <row r="204" spans="1:6" x14ac:dyDescent="0.2">
      <c r="A204" s="265"/>
      <c r="B204" s="266"/>
      <c r="C204" s="267"/>
      <c r="D204" s="39"/>
      <c r="E204" s="39"/>
      <c r="F204" s="268"/>
    </row>
    <row r="205" spans="1:6" ht="13.5" thickBot="1" x14ac:dyDescent="0.25">
      <c r="A205" s="544" t="s">
        <v>265</v>
      </c>
      <c r="B205" s="545"/>
      <c r="C205" s="545"/>
      <c r="D205" s="546">
        <f>(D194/D193)*F192+(D197/D196)*F195+(D200/D199)*F198+(D203/D202)*F202</f>
        <v>1.8233923612593923</v>
      </c>
      <c r="E205" s="96"/>
      <c r="F205" s="271"/>
    </row>
    <row r="206" spans="1:6" ht="14.25" thickTop="1" thickBot="1" x14ac:dyDescent="0.25">
      <c r="A206" s="331"/>
      <c r="B206" s="331"/>
      <c r="C206" s="331"/>
      <c r="D206" s="119"/>
      <c r="E206" s="39"/>
      <c r="F206" s="657"/>
    </row>
    <row r="207" spans="1:6" ht="26.25" thickTop="1" x14ac:dyDescent="0.2">
      <c r="A207" s="299" t="s">
        <v>1009</v>
      </c>
      <c r="B207" s="286"/>
      <c r="C207" s="286"/>
      <c r="D207" s="263"/>
      <c r="E207" s="263"/>
      <c r="F207" s="264"/>
    </row>
    <row r="208" spans="1:6" x14ac:dyDescent="0.2">
      <c r="A208" s="288" t="s">
        <v>333</v>
      </c>
      <c r="B208" s="136"/>
      <c r="C208" s="136"/>
      <c r="D208" s="39"/>
      <c r="E208" s="39">
        <v>3353119</v>
      </c>
      <c r="F208" s="268">
        <v>0.05</v>
      </c>
    </row>
    <row r="209" spans="1:6" x14ac:dyDescent="0.2">
      <c r="A209" s="269" t="s">
        <v>283</v>
      </c>
      <c r="B209" s="270">
        <v>9</v>
      </c>
      <c r="C209" s="270">
        <v>2003</v>
      </c>
      <c r="D209" s="39">
        <f>INDEX('PPI Look Up Table'!B353:M374,C209-1999,B209)</f>
        <v>97.9</v>
      </c>
      <c r="E209" s="270"/>
      <c r="F209" s="268"/>
    </row>
    <row r="210" spans="1:6" x14ac:dyDescent="0.2">
      <c r="A210" s="269" t="s">
        <v>264</v>
      </c>
      <c r="B210" s="270">
        <f>'Input &amp; Summary'!$F$6</f>
        <v>13</v>
      </c>
      <c r="C210" s="267">
        <f>'Input &amp; Summary'!$F$7</f>
        <v>2010</v>
      </c>
      <c r="D210" s="39">
        <f>INDEX('PPI Look Up Table'!B353:N374,C210-1999,B210)</f>
        <v>192</v>
      </c>
      <c r="E210" s="39"/>
      <c r="F210" s="268"/>
    </row>
    <row r="211" spans="1:6" x14ac:dyDescent="0.2">
      <c r="A211" s="277" t="s">
        <v>278</v>
      </c>
      <c r="B211" s="278"/>
      <c r="C211" s="278"/>
      <c r="D211" s="39"/>
      <c r="E211" s="39" t="s">
        <v>330</v>
      </c>
      <c r="F211" s="268">
        <v>0.05</v>
      </c>
    </row>
    <row r="212" spans="1:6" x14ac:dyDescent="0.2">
      <c r="A212" s="269" t="s">
        <v>283</v>
      </c>
      <c r="B212" s="270">
        <v>9</v>
      </c>
      <c r="C212" s="270">
        <v>2003</v>
      </c>
      <c r="D212" s="39">
        <f>INDEX('PPI Look Up Table'!B301:M322,C212-1999,B212)</f>
        <v>150.9</v>
      </c>
      <c r="E212" s="270"/>
      <c r="F212" s="268"/>
    </row>
    <row r="213" spans="1:6" x14ac:dyDescent="0.2">
      <c r="A213" s="269" t="s">
        <v>264</v>
      </c>
      <c r="B213" s="270">
        <f>'Input &amp; Summary'!$F$6</f>
        <v>13</v>
      </c>
      <c r="C213" s="267">
        <f>'Input &amp; Summary'!$F$7</f>
        <v>2010</v>
      </c>
      <c r="D213" s="39">
        <f>INDEX('PPI Look Up Table'!B301:N322,C213-1999,B213)</f>
        <v>197.3</v>
      </c>
      <c r="E213" s="270"/>
      <c r="F213" s="268"/>
    </row>
    <row r="214" spans="1:6" x14ac:dyDescent="0.2">
      <c r="A214" s="277" t="s">
        <v>279</v>
      </c>
      <c r="B214" s="278"/>
      <c r="C214" s="278"/>
      <c r="D214" s="39"/>
      <c r="E214" s="39">
        <v>3359291</v>
      </c>
      <c r="F214" s="268">
        <v>0.7</v>
      </c>
    </row>
    <row r="215" spans="1:6" x14ac:dyDescent="0.2">
      <c r="A215" s="269" t="s">
        <v>283</v>
      </c>
      <c r="B215" s="270">
        <v>9</v>
      </c>
      <c r="C215" s="270">
        <v>2003</v>
      </c>
      <c r="D215" s="39">
        <f>INDEX('PPI Look Up Table'!B327:M348,C215-1999,B215)</f>
        <v>119.2</v>
      </c>
      <c r="E215" s="270"/>
      <c r="F215" s="268"/>
    </row>
    <row r="216" spans="1:6" x14ac:dyDescent="0.2">
      <c r="A216" s="269" t="s">
        <v>264</v>
      </c>
      <c r="B216" s="270">
        <f>'Input &amp; Summary'!$F$6</f>
        <v>13</v>
      </c>
      <c r="C216" s="267">
        <f>'Input &amp; Summary'!$F$7</f>
        <v>2010</v>
      </c>
      <c r="D216" s="39">
        <f>INDEX('PPI Look Up Table'!B327:N348,C216-1999,B216)</f>
        <v>227.1</v>
      </c>
      <c r="E216" s="270"/>
      <c r="F216" s="268"/>
    </row>
    <row r="217" spans="1:6" x14ac:dyDescent="0.2">
      <c r="A217" s="269"/>
      <c r="B217" s="270"/>
      <c r="C217" s="270"/>
      <c r="D217" s="39"/>
      <c r="E217" s="39"/>
      <c r="F217" s="268"/>
    </row>
    <row r="218" spans="1:6" x14ac:dyDescent="0.2">
      <c r="A218" s="265" t="s">
        <v>309</v>
      </c>
      <c r="B218" s="266"/>
      <c r="C218" s="267">
        <v>2003</v>
      </c>
      <c r="D218" s="39">
        <f>HLOOKUP(C218,'PPI Look Up Table'!$B$7:$V$9,3)</f>
        <v>1.0539999999999998</v>
      </c>
      <c r="E218" s="39"/>
      <c r="F218" s="268">
        <v>0.2</v>
      </c>
    </row>
    <row r="219" spans="1:6" x14ac:dyDescent="0.2">
      <c r="A219" s="265"/>
      <c r="B219" s="266"/>
      <c r="C219" s="267">
        <f>'Input &amp; Summary'!$F$7</f>
        <v>2010</v>
      </c>
      <c r="D219" s="39">
        <f>HLOOKUP(C219,'PPI Look Up Table'!$B$7:$V$9,3)</f>
        <v>1.1589999999999998</v>
      </c>
      <c r="E219" s="39"/>
      <c r="F219" s="268"/>
    </row>
    <row r="220" spans="1:6" x14ac:dyDescent="0.2">
      <c r="A220" s="265"/>
      <c r="B220" s="266"/>
      <c r="C220" s="267"/>
      <c r="D220" s="39"/>
      <c r="E220" s="39"/>
      <c r="F220" s="268"/>
    </row>
    <row r="221" spans="1:6" ht="13.5" thickBot="1" x14ac:dyDescent="0.25">
      <c r="A221" s="544" t="s">
        <v>265</v>
      </c>
      <c r="B221" s="545"/>
      <c r="C221" s="545"/>
      <c r="D221" s="546">
        <f>(D210/D209)*F208+(D213/D212)*F211+(D216/D215)*F214+(D219/D218)*F218</f>
        <v>1.7169987025414939</v>
      </c>
      <c r="E221" s="96"/>
      <c r="F221" s="271"/>
    </row>
    <row r="222" spans="1:6" ht="14.25" thickTop="1" thickBot="1" x14ac:dyDescent="0.25">
      <c r="A222" s="20"/>
      <c r="B222" s="20"/>
      <c r="C222" s="20"/>
      <c r="F222" s="17"/>
    </row>
    <row r="223" spans="1:6" ht="13.5" thickTop="1" x14ac:dyDescent="0.2">
      <c r="A223" s="298" t="s">
        <v>970</v>
      </c>
      <c r="B223" s="286"/>
      <c r="C223" s="286"/>
      <c r="D223" s="263"/>
      <c r="E223" s="263"/>
      <c r="F223" s="264"/>
    </row>
    <row r="224" spans="1:6" x14ac:dyDescent="0.2">
      <c r="A224" s="265" t="s">
        <v>350</v>
      </c>
      <c r="B224" s="266"/>
      <c r="C224" s="267">
        <v>2002</v>
      </c>
      <c r="D224" s="39">
        <f>HLOOKUP(C224,'PPI Look Up Table'!$B$7:$V$9,3)</f>
        <v>1.0289999999999999</v>
      </c>
      <c r="E224" s="39"/>
      <c r="F224" s="268"/>
    </row>
    <row r="225" spans="1:6" x14ac:dyDescent="0.2">
      <c r="A225" s="265"/>
      <c r="B225" s="266"/>
      <c r="C225" s="267">
        <f>'Input &amp; Summary'!$F$7</f>
        <v>2010</v>
      </c>
      <c r="D225" s="39">
        <f>HLOOKUP(C225,'PPI Look Up Table'!$B$7:$V$9,3)</f>
        <v>1.1589999999999998</v>
      </c>
      <c r="E225" s="39"/>
      <c r="F225" s="268"/>
    </row>
    <row r="226" spans="1:6" ht="13.5" thickBot="1" x14ac:dyDescent="0.25">
      <c r="A226" s="544" t="s">
        <v>354</v>
      </c>
      <c r="B226" s="549"/>
      <c r="C226" s="549"/>
      <c r="D226" s="546">
        <f>D225/D224</f>
        <v>1.1263362487852282</v>
      </c>
      <c r="E226" s="96"/>
      <c r="F226" s="271"/>
    </row>
    <row r="227" spans="1:6" ht="14.25" thickTop="1" thickBot="1" x14ac:dyDescent="0.25">
      <c r="A227" s="134"/>
      <c r="B227" s="134"/>
      <c r="C227" s="134"/>
      <c r="F227" s="17"/>
    </row>
    <row r="228" spans="1:6" ht="13.5" thickTop="1" x14ac:dyDescent="0.2">
      <c r="A228" s="298" t="s">
        <v>969</v>
      </c>
      <c r="B228" s="286"/>
      <c r="C228" s="286"/>
      <c r="D228" s="263"/>
      <c r="E228" s="263"/>
      <c r="F228" s="264"/>
    </row>
    <row r="229" spans="1:6" x14ac:dyDescent="0.2">
      <c r="A229" s="265" t="s">
        <v>350</v>
      </c>
      <c r="B229" s="266"/>
      <c r="C229" s="267">
        <v>2003</v>
      </c>
      <c r="D229" s="39">
        <f>HLOOKUP(C229,'PPI Look Up Table'!$B$7:$V$9,3)</f>
        <v>1.0539999999999998</v>
      </c>
      <c r="E229" s="39"/>
      <c r="F229" s="268"/>
    </row>
    <row r="230" spans="1:6" x14ac:dyDescent="0.2">
      <c r="A230" s="265"/>
      <c r="B230" s="266"/>
      <c r="C230" s="267">
        <f>'Input &amp; Summary'!$F$7</f>
        <v>2010</v>
      </c>
      <c r="D230" s="39">
        <f>HLOOKUP(C230,'PPI Look Up Table'!$B$7:$V$9,3)</f>
        <v>1.1589999999999998</v>
      </c>
      <c r="E230" s="39"/>
      <c r="F230" s="268"/>
    </row>
    <row r="231" spans="1:6" ht="13.5" thickBot="1" x14ac:dyDescent="0.25">
      <c r="A231" s="544" t="s">
        <v>354</v>
      </c>
      <c r="B231" s="549"/>
      <c r="C231" s="549"/>
      <c r="D231" s="546">
        <f>D230/D229</f>
        <v>1.0996204933586338</v>
      </c>
      <c r="E231" s="96"/>
      <c r="F231" s="271"/>
    </row>
    <row r="232" spans="1:6" ht="14.25" thickTop="1" thickBot="1" x14ac:dyDescent="0.25">
      <c r="A232" s="134"/>
      <c r="B232" s="134"/>
      <c r="C232" s="134"/>
      <c r="F232" s="17"/>
    </row>
    <row r="233" spans="1:6" ht="13.5" thickTop="1" x14ac:dyDescent="0.2">
      <c r="A233" s="298" t="s">
        <v>787</v>
      </c>
      <c r="B233" s="286"/>
      <c r="C233" s="286"/>
      <c r="D233" s="263"/>
      <c r="E233" s="263"/>
      <c r="F233" s="264"/>
    </row>
    <row r="234" spans="1:6" x14ac:dyDescent="0.2">
      <c r="A234" s="265" t="s">
        <v>350</v>
      </c>
      <c r="B234" s="266"/>
      <c r="C234" s="267">
        <v>2002</v>
      </c>
      <c r="D234" s="39">
        <f>HLOOKUP(C234,'PPI Look Up Table'!$B$7:$V$9,3)</f>
        <v>1.0289999999999999</v>
      </c>
      <c r="E234" s="39"/>
      <c r="F234" s="268"/>
    </row>
    <row r="235" spans="1:6" x14ac:dyDescent="0.2">
      <c r="A235" s="265"/>
      <c r="B235" s="266"/>
      <c r="C235" s="267">
        <f>'Input &amp; Summary'!$F$7</f>
        <v>2010</v>
      </c>
      <c r="D235" s="39">
        <f>HLOOKUP(C235,'PPI Look Up Table'!$B$7:$V$9,3)</f>
        <v>1.1589999999999998</v>
      </c>
      <c r="E235" s="39"/>
      <c r="F235" s="268"/>
    </row>
    <row r="236" spans="1:6" ht="13.5" thickBot="1" x14ac:dyDescent="0.25">
      <c r="A236" s="544" t="s">
        <v>354</v>
      </c>
      <c r="B236" s="549"/>
      <c r="C236" s="549"/>
      <c r="D236" s="546">
        <f>D235/D234</f>
        <v>1.1263362487852282</v>
      </c>
      <c r="E236" s="96"/>
      <c r="F236" s="271"/>
    </row>
    <row r="237" spans="1:6" ht="14.25" thickTop="1" thickBot="1" x14ac:dyDescent="0.25">
      <c r="A237" s="654"/>
      <c r="B237" s="655"/>
      <c r="C237" s="655"/>
      <c r="D237" s="656"/>
      <c r="E237" s="39"/>
      <c r="F237" s="657"/>
    </row>
    <row r="238" spans="1:6" ht="13.5" thickTop="1" x14ac:dyDescent="0.2">
      <c r="A238" s="298" t="s">
        <v>788</v>
      </c>
      <c r="B238" s="286"/>
      <c r="C238" s="286"/>
      <c r="D238" s="263"/>
      <c r="E238" s="263"/>
      <c r="F238" s="264"/>
    </row>
    <row r="239" spans="1:6" x14ac:dyDescent="0.2">
      <c r="A239" s="265" t="s">
        <v>350</v>
      </c>
      <c r="B239" s="266"/>
      <c r="C239" s="267">
        <v>2003</v>
      </c>
      <c r="D239" s="39">
        <f>HLOOKUP(C239,'PPI Look Up Table'!$B$7:$V$9,3)</f>
        <v>1.0539999999999998</v>
      </c>
      <c r="E239" s="39"/>
      <c r="F239" s="268"/>
    </row>
    <row r="240" spans="1:6" x14ac:dyDescent="0.2">
      <c r="A240" s="265"/>
      <c r="B240" s="266"/>
      <c r="C240" s="267">
        <f>'Input &amp; Summary'!$F$7</f>
        <v>2010</v>
      </c>
      <c r="D240" s="39">
        <f>HLOOKUP(C240,'PPI Look Up Table'!$B$7:$V$9,3)</f>
        <v>1.1589999999999998</v>
      </c>
      <c r="E240" s="39"/>
      <c r="F240" s="268"/>
    </row>
    <row r="241" spans="1:6" ht="13.5" thickBot="1" x14ac:dyDescent="0.25">
      <c r="A241" s="544" t="s">
        <v>354</v>
      </c>
      <c r="B241" s="549"/>
      <c r="C241" s="549"/>
      <c r="D241" s="546">
        <f>D240/D239</f>
        <v>1.0996204933586338</v>
      </c>
      <c r="E241" s="96"/>
      <c r="F241" s="271"/>
    </row>
    <row r="242" spans="1:6" ht="14.25" thickTop="1" thickBot="1" x14ac:dyDescent="0.25">
      <c r="A242" s="134"/>
      <c r="B242" s="134"/>
      <c r="C242" s="134"/>
      <c r="F242" s="17"/>
    </row>
    <row r="243" spans="1:6" ht="13.5" thickTop="1" x14ac:dyDescent="0.2">
      <c r="A243" s="298" t="s">
        <v>793</v>
      </c>
      <c r="B243" s="286"/>
      <c r="C243" s="286"/>
      <c r="D243" s="263"/>
      <c r="E243" s="263"/>
      <c r="F243" s="264"/>
    </row>
    <row r="244" spans="1:6" x14ac:dyDescent="0.2">
      <c r="A244" s="265" t="s">
        <v>350</v>
      </c>
      <c r="B244" s="266"/>
      <c r="C244" s="267">
        <v>2002</v>
      </c>
      <c r="D244" s="39">
        <f>HLOOKUP(C244,'PPI Look Up Table'!$B$7:$V$9,3)</f>
        <v>1.0289999999999999</v>
      </c>
      <c r="E244" s="39"/>
      <c r="F244" s="268"/>
    </row>
    <row r="245" spans="1:6" x14ac:dyDescent="0.2">
      <c r="A245" s="265"/>
      <c r="B245" s="266"/>
      <c r="C245" s="267">
        <f>'Input &amp; Summary'!$F$7</f>
        <v>2010</v>
      </c>
      <c r="D245" s="39">
        <f>HLOOKUP(C245,'PPI Look Up Table'!$B$7:$V$9,3)</f>
        <v>1.1589999999999998</v>
      </c>
      <c r="E245" s="39"/>
      <c r="F245" s="268"/>
    </row>
    <row r="246" spans="1:6" ht="13.5" thickBot="1" x14ac:dyDescent="0.25">
      <c r="A246" s="544" t="s">
        <v>354</v>
      </c>
      <c r="B246" s="549"/>
      <c r="C246" s="549"/>
      <c r="D246" s="546">
        <f>D245/D244</f>
        <v>1.1263362487852282</v>
      </c>
      <c r="E246" s="96"/>
      <c r="F246" s="271"/>
    </row>
    <row r="247" spans="1:6" ht="14.25" thickTop="1" thickBot="1" x14ac:dyDescent="0.25">
      <c r="A247" s="134"/>
      <c r="B247" s="134"/>
      <c r="C247" s="134"/>
      <c r="F247" s="17"/>
    </row>
    <row r="248" spans="1:6" ht="13.5" thickTop="1" x14ac:dyDescent="0.2">
      <c r="A248" s="298" t="s">
        <v>794</v>
      </c>
      <c r="B248" s="286"/>
      <c r="C248" s="286"/>
      <c r="D248" s="263"/>
      <c r="E248" s="263"/>
      <c r="F248" s="264"/>
    </row>
    <row r="249" spans="1:6" x14ac:dyDescent="0.2">
      <c r="A249" s="265" t="s">
        <v>350</v>
      </c>
      <c r="B249" s="266"/>
      <c r="C249" s="267">
        <v>2003</v>
      </c>
      <c r="D249" s="39">
        <f>HLOOKUP(C249,'PPI Look Up Table'!$B$7:$V$9,3)</f>
        <v>1.0539999999999998</v>
      </c>
      <c r="E249" s="39"/>
      <c r="F249" s="268"/>
    </row>
    <row r="250" spans="1:6" x14ac:dyDescent="0.2">
      <c r="A250" s="265"/>
      <c r="B250" s="266"/>
      <c r="C250" s="267">
        <f>'Input &amp; Summary'!$F$7</f>
        <v>2010</v>
      </c>
      <c r="D250" s="39">
        <f>HLOOKUP(C250,'PPI Look Up Table'!$B$7:$V$9,3)</f>
        <v>1.1589999999999998</v>
      </c>
      <c r="E250" s="39"/>
      <c r="F250" s="268"/>
    </row>
    <row r="251" spans="1:6" ht="13.5" thickBot="1" x14ac:dyDescent="0.25">
      <c r="A251" s="544" t="s">
        <v>354</v>
      </c>
      <c r="B251" s="549"/>
      <c r="C251" s="549"/>
      <c r="D251" s="546">
        <f>D250/D249</f>
        <v>1.0996204933586338</v>
      </c>
      <c r="E251" s="96"/>
      <c r="F251" s="271"/>
    </row>
    <row r="252" spans="1:6" ht="14.25" thickTop="1" thickBot="1" x14ac:dyDescent="0.25">
      <c r="A252" s="134"/>
      <c r="B252" s="134"/>
      <c r="C252" s="134"/>
      <c r="F252" s="17"/>
    </row>
    <row r="253" spans="1:6" ht="13.5" thickTop="1" x14ac:dyDescent="0.2">
      <c r="A253" s="298" t="s">
        <v>993</v>
      </c>
      <c r="B253" s="286"/>
      <c r="C253" s="286"/>
      <c r="D253" s="263"/>
      <c r="E253" s="263"/>
      <c r="F253" s="264"/>
    </row>
    <row r="254" spans="1:6" x14ac:dyDescent="0.2">
      <c r="A254" s="265" t="s">
        <v>350</v>
      </c>
      <c r="B254" s="266"/>
      <c r="C254" s="267">
        <v>2002</v>
      </c>
      <c r="D254" s="39">
        <f>HLOOKUP(C254,'PPI Look Up Table'!$B$7:$V$9,3)</f>
        <v>1.0289999999999999</v>
      </c>
      <c r="E254" s="39"/>
      <c r="F254" s="276"/>
    </row>
    <row r="255" spans="1:6" x14ac:dyDescent="0.2">
      <c r="A255" s="265"/>
      <c r="B255" s="266"/>
      <c r="C255" s="267">
        <f>'Input &amp; Summary'!$F$7</f>
        <v>2010</v>
      </c>
      <c r="D255" s="39">
        <f>HLOOKUP(C255,'PPI Look Up Table'!$B$7:$V$9,3)</f>
        <v>1.1589999999999998</v>
      </c>
      <c r="E255" s="39"/>
      <c r="F255" s="276"/>
    </row>
    <row r="256" spans="1:6" ht="13.5" thickBot="1" x14ac:dyDescent="0.25">
      <c r="A256" s="544" t="s">
        <v>354</v>
      </c>
      <c r="B256" s="549"/>
      <c r="C256" s="549"/>
      <c r="D256" s="546">
        <f>D255/D254</f>
        <v>1.1263362487852282</v>
      </c>
      <c r="E256" s="96"/>
      <c r="F256" s="289"/>
    </row>
    <row r="257" spans="1:6" ht="14.25" thickTop="1" thickBot="1" x14ac:dyDescent="0.25"/>
    <row r="258" spans="1:6" ht="13.5" thickTop="1" x14ac:dyDescent="0.2">
      <c r="A258" s="298" t="s">
        <v>692</v>
      </c>
      <c r="B258" s="286"/>
      <c r="C258" s="286"/>
      <c r="D258" s="263"/>
      <c r="E258" s="263"/>
      <c r="F258" s="264"/>
    </row>
    <row r="259" spans="1:6" x14ac:dyDescent="0.2">
      <c r="A259" s="285" t="s">
        <v>353</v>
      </c>
      <c r="B259" s="135"/>
      <c r="C259" s="135"/>
      <c r="D259" s="39"/>
      <c r="E259" s="39" t="s">
        <v>337</v>
      </c>
      <c r="F259" s="268"/>
    </row>
    <row r="260" spans="1:6" x14ac:dyDescent="0.2">
      <c r="A260" s="269" t="s">
        <v>283</v>
      </c>
      <c r="B260" s="270">
        <v>9</v>
      </c>
      <c r="C260" s="270">
        <v>2002</v>
      </c>
      <c r="D260" s="39">
        <f>INDEX('PPI Look Up Table'!B458:M480,C260-1999,B260)</f>
        <v>67.071393880524525</v>
      </c>
      <c r="E260" s="39"/>
      <c r="F260" s="268"/>
    </row>
    <row r="261" spans="1:6" x14ac:dyDescent="0.2">
      <c r="A261" s="269" t="s">
        <v>264</v>
      </c>
      <c r="B261" s="270">
        <f>'Input &amp; Summary'!$F$6</f>
        <v>13</v>
      </c>
      <c r="C261" s="267">
        <f>'Input &amp; Summary'!$F$7</f>
        <v>2010</v>
      </c>
      <c r="D261" s="39">
        <f>INDEX('PPI Look Up Table'!B458:N480,C261-1999,B261)</f>
        <v>100.00288975230694</v>
      </c>
      <c r="E261" s="39"/>
      <c r="F261" s="268"/>
    </row>
    <row r="262" spans="1:6" ht="13.5" thickBot="1" x14ac:dyDescent="0.25">
      <c r="A262" s="544" t="s">
        <v>265</v>
      </c>
      <c r="B262" s="545"/>
      <c r="C262" s="545"/>
      <c r="D262" s="546">
        <f>D261/D260</f>
        <v>1.4909916727009414</v>
      </c>
      <c r="E262" s="96"/>
      <c r="F262" s="271"/>
    </row>
    <row r="263" spans="1:6" ht="14.25" thickTop="1" thickBot="1" x14ac:dyDescent="0.25"/>
    <row r="264" spans="1:6" ht="13.5" thickTop="1" x14ac:dyDescent="0.2">
      <c r="A264" s="298" t="s">
        <v>706</v>
      </c>
      <c r="B264" s="286"/>
      <c r="C264" s="286"/>
      <c r="D264" s="263"/>
      <c r="E264" s="263"/>
      <c r="F264" s="264"/>
    </row>
    <row r="265" spans="1:6" x14ac:dyDescent="0.2">
      <c r="A265" s="285" t="s">
        <v>723</v>
      </c>
      <c r="B265" s="135"/>
      <c r="C265" s="135"/>
      <c r="D265" s="39"/>
      <c r="E265" s="39" t="s">
        <v>336</v>
      </c>
      <c r="F265" s="268"/>
    </row>
    <row r="266" spans="1:6" x14ac:dyDescent="0.2">
      <c r="A266" s="269" t="s">
        <v>283</v>
      </c>
      <c r="B266" s="270">
        <v>9</v>
      </c>
      <c r="C266" s="270">
        <v>2002</v>
      </c>
      <c r="D266" s="39">
        <f>INDEX('PPI Look Up Table'!B431:M453,C266-1999,B266)</f>
        <v>61.906955320128972</v>
      </c>
      <c r="E266" s="39"/>
      <c r="F266" s="268"/>
    </row>
    <row r="267" spans="1:6" x14ac:dyDescent="0.2">
      <c r="A267" s="269" t="s">
        <v>264</v>
      </c>
      <c r="B267" s="270">
        <f>'Input &amp; Summary'!$F$6</f>
        <v>13</v>
      </c>
      <c r="C267" s="267">
        <f>'Input &amp; Summary'!$F$7</f>
        <v>2010</v>
      </c>
      <c r="D267" s="39">
        <f>INDEX('PPI Look Up Table'!B431:N453,C267-1999,B267)</f>
        <v>100.00332412098879</v>
      </c>
      <c r="E267" s="39"/>
      <c r="F267" s="268"/>
    </row>
    <row r="268" spans="1:6" ht="13.5" thickBot="1" x14ac:dyDescent="0.25">
      <c r="A268" s="544" t="s">
        <v>265</v>
      </c>
      <c r="B268" s="545"/>
      <c r="C268" s="545"/>
      <c r="D268" s="546">
        <f>D267/D266</f>
        <v>1.6153810763888889</v>
      </c>
      <c r="E268" s="96"/>
      <c r="F268" s="271"/>
    </row>
    <row r="269" spans="1:6" ht="14.25" thickTop="1" thickBot="1" x14ac:dyDescent="0.25"/>
    <row r="270" spans="1:6" ht="13.5" thickTop="1" x14ac:dyDescent="0.2">
      <c r="A270" s="290" t="s">
        <v>772</v>
      </c>
      <c r="B270" s="261"/>
      <c r="C270" s="262">
        <v>2003</v>
      </c>
      <c r="D270" s="263">
        <f>HLOOKUP(C270,'PPI Look Up Table'!$B$7:$V$9,3)</f>
        <v>1.0539999999999998</v>
      </c>
      <c r="E270" s="263"/>
      <c r="F270" s="264"/>
    </row>
    <row r="271" spans="1:6" x14ac:dyDescent="0.2">
      <c r="A271" s="265"/>
      <c r="B271" s="266"/>
      <c r="C271" s="267">
        <f>'Input &amp; Summary'!$F$7</f>
        <v>2010</v>
      </c>
      <c r="D271" s="39">
        <f>HLOOKUP(C271,'PPI Look Up Table'!$B$7:$V$9,3)</f>
        <v>1.1589999999999998</v>
      </c>
      <c r="E271" s="39"/>
      <c r="F271" s="268"/>
    </row>
    <row r="272" spans="1:6" x14ac:dyDescent="0.2">
      <c r="A272" s="269"/>
      <c r="B272" s="270"/>
      <c r="C272" s="270"/>
      <c r="D272" s="39"/>
      <c r="E272" s="39"/>
      <c r="F272" s="268"/>
    </row>
    <row r="273" spans="1:6" ht="13.5" thickBot="1" x14ac:dyDescent="0.25">
      <c r="A273" s="544" t="s">
        <v>265</v>
      </c>
      <c r="B273" s="545"/>
      <c r="C273" s="545"/>
      <c r="D273" s="546">
        <f>D271/D270</f>
        <v>1.0996204933586338</v>
      </c>
      <c r="E273" s="96"/>
      <c r="F273" s="271"/>
    </row>
    <row r="274" spans="1:6" ht="13.5" thickTop="1" x14ac:dyDescent="0.2"/>
  </sheetData>
  <phoneticPr fontId="3" type="noConversion"/>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33"/>
    <pageSetUpPr fitToPage="1"/>
  </sheetPr>
  <dimension ref="A1:AH559"/>
  <sheetViews>
    <sheetView workbookViewId="0">
      <pane xSplit="1" topLeftCell="B1" activePane="topRight" state="frozen"/>
      <selection activeCell="A242" sqref="A242"/>
      <selection pane="topRight"/>
    </sheetView>
  </sheetViews>
  <sheetFormatPr defaultColWidth="8.85546875" defaultRowHeight="12.75" x14ac:dyDescent="0.2"/>
  <cols>
    <col min="1" max="1" width="34.7109375" bestFit="1" customWidth="1"/>
    <col min="2" max="2" width="10" bestFit="1" customWidth="1"/>
    <col min="257" max="257" width="34.7109375" bestFit="1" customWidth="1"/>
    <col min="258" max="258" width="10" bestFit="1" customWidth="1"/>
    <col min="513" max="513" width="34.7109375" bestFit="1" customWidth="1"/>
    <col min="514" max="514" width="10" bestFit="1" customWidth="1"/>
    <col min="769" max="769" width="34.7109375" bestFit="1" customWidth="1"/>
    <col min="770" max="770" width="10" bestFit="1" customWidth="1"/>
    <col min="1025" max="1025" width="34.7109375" bestFit="1" customWidth="1"/>
    <col min="1026" max="1026" width="10" bestFit="1" customWidth="1"/>
    <col min="1281" max="1281" width="34.7109375" bestFit="1" customWidth="1"/>
    <col min="1282" max="1282" width="10" bestFit="1" customWidth="1"/>
    <col min="1537" max="1537" width="34.7109375" bestFit="1" customWidth="1"/>
    <col min="1538" max="1538" width="10" bestFit="1" customWidth="1"/>
    <col min="1793" max="1793" width="34.7109375" bestFit="1" customWidth="1"/>
    <col min="1794" max="1794" width="10" bestFit="1" customWidth="1"/>
    <col min="2049" max="2049" width="34.7109375" bestFit="1" customWidth="1"/>
    <col min="2050" max="2050" width="10" bestFit="1" customWidth="1"/>
    <col min="2305" max="2305" width="34.7109375" bestFit="1" customWidth="1"/>
    <col min="2306" max="2306" width="10" bestFit="1" customWidth="1"/>
    <col min="2561" max="2561" width="34.7109375" bestFit="1" customWidth="1"/>
    <col min="2562" max="2562" width="10" bestFit="1" customWidth="1"/>
    <col min="2817" max="2817" width="34.7109375" bestFit="1" customWidth="1"/>
    <col min="2818" max="2818" width="10" bestFit="1" customWidth="1"/>
    <col min="3073" max="3073" width="34.7109375" bestFit="1" customWidth="1"/>
    <col min="3074" max="3074" width="10" bestFit="1" customWidth="1"/>
    <col min="3329" max="3329" width="34.7109375" bestFit="1" customWidth="1"/>
    <col min="3330" max="3330" width="10" bestFit="1" customWidth="1"/>
    <col min="3585" max="3585" width="34.7109375" bestFit="1" customWidth="1"/>
    <col min="3586" max="3586" width="10" bestFit="1" customWidth="1"/>
    <col min="3841" max="3841" width="34.7109375" bestFit="1" customWidth="1"/>
    <col min="3842" max="3842" width="10" bestFit="1" customWidth="1"/>
    <col min="4097" max="4097" width="34.7109375" bestFit="1" customWidth="1"/>
    <col min="4098" max="4098" width="10" bestFit="1" customWidth="1"/>
    <col min="4353" max="4353" width="34.7109375" bestFit="1" customWidth="1"/>
    <col min="4354" max="4354" width="10" bestFit="1" customWidth="1"/>
    <col min="4609" max="4609" width="34.7109375" bestFit="1" customWidth="1"/>
    <col min="4610" max="4610" width="10" bestFit="1" customWidth="1"/>
    <col min="4865" max="4865" width="34.7109375" bestFit="1" customWidth="1"/>
    <col min="4866" max="4866" width="10" bestFit="1" customWidth="1"/>
    <col min="5121" max="5121" width="34.7109375" bestFit="1" customWidth="1"/>
    <col min="5122" max="5122" width="10" bestFit="1" customWidth="1"/>
    <col min="5377" max="5377" width="34.7109375" bestFit="1" customWidth="1"/>
    <col min="5378" max="5378" width="10" bestFit="1" customWidth="1"/>
    <col min="5633" max="5633" width="34.7109375" bestFit="1" customWidth="1"/>
    <col min="5634" max="5634" width="10" bestFit="1" customWidth="1"/>
    <col min="5889" max="5889" width="34.7109375" bestFit="1" customWidth="1"/>
    <col min="5890" max="5890" width="10" bestFit="1" customWidth="1"/>
    <col min="6145" max="6145" width="34.7109375" bestFit="1" customWidth="1"/>
    <col min="6146" max="6146" width="10" bestFit="1" customWidth="1"/>
    <col min="6401" max="6401" width="34.7109375" bestFit="1" customWidth="1"/>
    <col min="6402" max="6402" width="10" bestFit="1" customWidth="1"/>
    <col min="6657" max="6657" width="34.7109375" bestFit="1" customWidth="1"/>
    <col min="6658" max="6658" width="10" bestFit="1" customWidth="1"/>
    <col min="6913" max="6913" width="34.7109375" bestFit="1" customWidth="1"/>
    <col min="6914" max="6914" width="10" bestFit="1" customWidth="1"/>
    <col min="7169" max="7169" width="34.7109375" bestFit="1" customWidth="1"/>
    <col min="7170" max="7170" width="10" bestFit="1" customWidth="1"/>
    <col min="7425" max="7425" width="34.7109375" bestFit="1" customWidth="1"/>
    <col min="7426" max="7426" width="10" bestFit="1" customWidth="1"/>
    <col min="7681" max="7681" width="34.7109375" bestFit="1" customWidth="1"/>
    <col min="7682" max="7682" width="10" bestFit="1" customWidth="1"/>
    <col min="7937" max="7937" width="34.7109375" bestFit="1" customWidth="1"/>
    <col min="7938" max="7938" width="10" bestFit="1" customWidth="1"/>
    <col min="8193" max="8193" width="34.7109375" bestFit="1" customWidth="1"/>
    <col min="8194" max="8194" width="10" bestFit="1" customWidth="1"/>
    <col min="8449" max="8449" width="34.7109375" bestFit="1" customWidth="1"/>
    <col min="8450" max="8450" width="10" bestFit="1" customWidth="1"/>
    <col min="8705" max="8705" width="34.7109375" bestFit="1" customWidth="1"/>
    <col min="8706" max="8706" width="10" bestFit="1" customWidth="1"/>
    <col min="8961" max="8961" width="34.7109375" bestFit="1" customWidth="1"/>
    <col min="8962" max="8962" width="10" bestFit="1" customWidth="1"/>
    <col min="9217" max="9217" width="34.7109375" bestFit="1" customWidth="1"/>
    <col min="9218" max="9218" width="10" bestFit="1" customWidth="1"/>
    <col min="9473" max="9473" width="34.7109375" bestFit="1" customWidth="1"/>
    <col min="9474" max="9474" width="10" bestFit="1" customWidth="1"/>
    <col min="9729" max="9729" width="34.7109375" bestFit="1" customWidth="1"/>
    <col min="9730" max="9730" width="10" bestFit="1" customWidth="1"/>
    <col min="9985" max="9985" width="34.7109375" bestFit="1" customWidth="1"/>
    <col min="9986" max="9986" width="10" bestFit="1" customWidth="1"/>
    <col min="10241" max="10241" width="34.7109375" bestFit="1" customWidth="1"/>
    <col min="10242" max="10242" width="10" bestFit="1" customWidth="1"/>
    <col min="10497" max="10497" width="34.7109375" bestFit="1" customWidth="1"/>
    <col min="10498" max="10498" width="10" bestFit="1" customWidth="1"/>
    <col min="10753" max="10753" width="34.7109375" bestFit="1" customWidth="1"/>
    <col min="10754" max="10754" width="10" bestFit="1" customWidth="1"/>
    <col min="11009" max="11009" width="34.7109375" bestFit="1" customWidth="1"/>
    <col min="11010" max="11010" width="10" bestFit="1" customWidth="1"/>
    <col min="11265" max="11265" width="34.7109375" bestFit="1" customWidth="1"/>
    <col min="11266" max="11266" width="10" bestFit="1" customWidth="1"/>
    <col min="11521" max="11521" width="34.7109375" bestFit="1" customWidth="1"/>
    <col min="11522" max="11522" width="10" bestFit="1" customWidth="1"/>
    <col min="11777" max="11777" width="34.7109375" bestFit="1" customWidth="1"/>
    <col min="11778" max="11778" width="10" bestFit="1" customWidth="1"/>
    <col min="12033" max="12033" width="34.7109375" bestFit="1" customWidth="1"/>
    <col min="12034" max="12034" width="10" bestFit="1" customWidth="1"/>
    <col min="12289" max="12289" width="34.7109375" bestFit="1" customWidth="1"/>
    <col min="12290" max="12290" width="10" bestFit="1" customWidth="1"/>
    <col min="12545" max="12545" width="34.7109375" bestFit="1" customWidth="1"/>
    <col min="12546" max="12546" width="10" bestFit="1" customWidth="1"/>
    <col min="12801" max="12801" width="34.7109375" bestFit="1" customWidth="1"/>
    <col min="12802" max="12802" width="10" bestFit="1" customWidth="1"/>
    <col min="13057" max="13057" width="34.7109375" bestFit="1" customWidth="1"/>
    <col min="13058" max="13058" width="10" bestFit="1" customWidth="1"/>
    <col min="13313" max="13313" width="34.7109375" bestFit="1" customWidth="1"/>
    <col min="13314" max="13314" width="10" bestFit="1" customWidth="1"/>
    <col min="13569" max="13569" width="34.7109375" bestFit="1" customWidth="1"/>
    <col min="13570" max="13570" width="10" bestFit="1" customWidth="1"/>
    <col min="13825" max="13825" width="34.7109375" bestFit="1" customWidth="1"/>
    <col min="13826" max="13826" width="10" bestFit="1" customWidth="1"/>
    <col min="14081" max="14081" width="34.7109375" bestFit="1" customWidth="1"/>
    <col min="14082" max="14082" width="10" bestFit="1" customWidth="1"/>
    <col min="14337" max="14337" width="34.7109375" bestFit="1" customWidth="1"/>
    <col min="14338" max="14338" width="10" bestFit="1" customWidth="1"/>
    <col min="14593" max="14593" width="34.7109375" bestFit="1" customWidth="1"/>
    <col min="14594" max="14594" width="10" bestFit="1" customWidth="1"/>
    <col min="14849" max="14849" width="34.7109375" bestFit="1" customWidth="1"/>
    <col min="14850" max="14850" width="10" bestFit="1" customWidth="1"/>
    <col min="15105" max="15105" width="34.7109375" bestFit="1" customWidth="1"/>
    <col min="15106" max="15106" width="10" bestFit="1" customWidth="1"/>
    <col min="15361" max="15361" width="34.7109375" bestFit="1" customWidth="1"/>
    <col min="15362" max="15362" width="10" bestFit="1" customWidth="1"/>
    <col min="15617" max="15617" width="34.7109375" bestFit="1" customWidth="1"/>
    <col min="15618" max="15618" width="10" bestFit="1" customWidth="1"/>
    <col min="15873" max="15873" width="34.7109375" bestFit="1" customWidth="1"/>
    <col min="15874" max="15874" width="10" bestFit="1" customWidth="1"/>
    <col min="16129" max="16129" width="34.7109375" bestFit="1" customWidth="1"/>
    <col min="16130" max="16130" width="10" bestFit="1" customWidth="1"/>
  </cols>
  <sheetData>
    <row r="1" spans="1:34" x14ac:dyDescent="0.2">
      <c r="A1" s="1173" t="str">
        <f>'Input &amp; Summary'!A1</f>
        <v>Based on Combined Land Based-Offshore Turbine Cost Model. V2.01.12</v>
      </c>
      <c r="B1" s="1173"/>
      <c r="C1" s="1173"/>
      <c r="D1" s="1173"/>
      <c r="E1" s="1153"/>
      <c r="F1" s="1153"/>
      <c r="G1" s="1153"/>
      <c r="H1" s="1153"/>
      <c r="I1" s="1153"/>
      <c r="J1" s="1153"/>
      <c r="K1" s="1153"/>
      <c r="L1" s="1153"/>
      <c r="M1" s="1153"/>
      <c r="N1" s="1153"/>
      <c r="O1" s="1153"/>
      <c r="P1" s="1153"/>
      <c r="Q1" s="1153"/>
      <c r="R1" s="1153"/>
      <c r="S1" s="1153"/>
    </row>
    <row r="2" spans="1:34" x14ac:dyDescent="0.2">
      <c r="A2" s="1171"/>
      <c r="B2" s="1171"/>
      <c r="C2" s="1171"/>
      <c r="D2" s="1153"/>
      <c r="E2" s="1153"/>
      <c r="F2" s="1153"/>
      <c r="G2" s="1153"/>
      <c r="H2" s="1153"/>
      <c r="J2" s="1153"/>
      <c r="K2" s="1153"/>
      <c r="L2" s="1153"/>
      <c r="M2" s="1153"/>
      <c r="N2" s="1153"/>
      <c r="O2" s="1153"/>
      <c r="P2" s="1153"/>
      <c r="Q2" s="1153"/>
      <c r="R2" s="1153"/>
      <c r="S2" s="1153"/>
    </row>
    <row r="3" spans="1:34" x14ac:dyDescent="0.2">
      <c r="A3" s="1153"/>
      <c r="B3" s="1153"/>
      <c r="C3" s="1153"/>
      <c r="D3" s="1153"/>
      <c r="E3" s="1153"/>
      <c r="F3" s="1153"/>
      <c r="G3" s="1153"/>
      <c r="H3" s="1153"/>
      <c r="I3" s="1224"/>
      <c r="J3" s="1224"/>
      <c r="K3" s="1224"/>
      <c r="L3" s="1224"/>
      <c r="M3" s="1224"/>
      <c r="N3" s="1224"/>
      <c r="O3" s="1224"/>
      <c r="P3" s="1224"/>
      <c r="Q3" s="1224"/>
      <c r="R3" s="1224"/>
      <c r="S3" s="1224"/>
      <c r="T3" s="817"/>
    </row>
    <row r="4" spans="1:34" x14ac:dyDescent="0.2">
      <c r="A4" s="1154" t="s">
        <v>314</v>
      </c>
      <c r="B4" s="1153"/>
      <c r="C4" s="1153"/>
      <c r="D4" s="1153"/>
      <c r="E4" s="1153"/>
      <c r="F4" s="1153"/>
      <c r="G4" s="1153"/>
      <c r="H4" s="1153"/>
      <c r="I4" s="1223"/>
      <c r="J4" s="1223"/>
      <c r="K4" s="1223"/>
      <c r="L4" s="1223"/>
      <c r="M4" s="1223"/>
      <c r="N4" s="1223"/>
      <c r="O4" s="1223"/>
      <c r="P4" s="1223"/>
      <c r="Q4" s="1223"/>
      <c r="R4" s="1223"/>
      <c r="S4" s="1223"/>
      <c r="T4" s="818"/>
    </row>
    <row r="5" spans="1:34" x14ac:dyDescent="0.2">
      <c r="A5" s="1153"/>
      <c r="B5" s="1153"/>
      <c r="C5" s="1153"/>
      <c r="D5" s="1153"/>
      <c r="E5" s="1153"/>
      <c r="F5" s="1153"/>
      <c r="G5" s="1153"/>
      <c r="H5" s="1153"/>
      <c r="I5" s="1157"/>
      <c r="J5" s="1157"/>
      <c r="K5" s="1157"/>
      <c r="L5" s="1157"/>
      <c r="M5" s="1157"/>
      <c r="N5" s="1157"/>
      <c r="O5" s="1157"/>
      <c r="P5" s="1157"/>
      <c r="Q5" s="1157"/>
      <c r="R5" s="1157"/>
      <c r="S5" s="1157"/>
    </row>
    <row r="6" spans="1:34" x14ac:dyDescent="0.2">
      <c r="A6" s="356" t="s">
        <v>287</v>
      </c>
      <c r="B6" s="1172" t="s">
        <v>1470</v>
      </c>
      <c r="C6" s="1160"/>
      <c r="D6" s="1160"/>
      <c r="F6" s="1160"/>
      <c r="G6" s="1160"/>
      <c r="H6" s="1153"/>
      <c r="I6" s="1153"/>
      <c r="J6" s="1153"/>
      <c r="K6" s="1153"/>
      <c r="L6" s="1153"/>
      <c r="M6" s="1153"/>
      <c r="N6" s="1153"/>
      <c r="O6" s="1153"/>
      <c r="P6" s="1153"/>
      <c r="Q6" s="1153"/>
      <c r="R6" s="1153"/>
      <c r="S6" s="1153"/>
    </row>
    <row r="7" spans="1:34" x14ac:dyDescent="0.2">
      <c r="A7" s="1158" t="s">
        <v>288</v>
      </c>
      <c r="B7" s="1159">
        <v>2000</v>
      </c>
      <c r="C7" s="1159">
        <v>2001</v>
      </c>
      <c r="D7" s="1159">
        <v>2002</v>
      </c>
      <c r="E7" s="1159">
        <v>2003</v>
      </c>
      <c r="F7" s="1159">
        <v>2004</v>
      </c>
      <c r="G7" s="1159">
        <v>2005</v>
      </c>
      <c r="H7" s="1159">
        <v>2006</v>
      </c>
      <c r="I7" s="1159">
        <v>2007</v>
      </c>
      <c r="J7" s="1159">
        <v>2008</v>
      </c>
      <c r="K7" s="1159">
        <v>2009</v>
      </c>
      <c r="L7" s="1159">
        <v>2010</v>
      </c>
      <c r="M7" s="1159">
        <v>2011</v>
      </c>
      <c r="N7" s="1159">
        <v>2012</v>
      </c>
      <c r="O7" s="1159">
        <v>2013</v>
      </c>
      <c r="P7" s="1159">
        <v>2014</v>
      </c>
      <c r="Q7" s="1159">
        <v>2015</v>
      </c>
      <c r="R7" s="1159">
        <v>2016</v>
      </c>
      <c r="S7" s="1159">
        <v>2017</v>
      </c>
      <c r="T7" s="1159">
        <v>2018</v>
      </c>
      <c r="U7" s="1159">
        <v>2019</v>
      </c>
      <c r="V7" s="1159">
        <v>2020</v>
      </c>
      <c r="W7" s="1153"/>
      <c r="X7" s="1153"/>
      <c r="Y7" s="1153"/>
      <c r="Z7" s="1153"/>
      <c r="AA7" s="1153"/>
      <c r="AB7" s="1153"/>
      <c r="AC7" s="1153"/>
      <c r="AD7" s="1153"/>
      <c r="AE7" s="1153"/>
      <c r="AF7" s="1153"/>
      <c r="AG7" s="1153"/>
      <c r="AH7" s="1153"/>
    </row>
    <row r="8" spans="1:34" x14ac:dyDescent="0.2">
      <c r="A8" s="1158" t="s">
        <v>290</v>
      </c>
      <c r="B8" s="1222">
        <v>4.0999999999999996</v>
      </c>
      <c r="C8" s="1222">
        <v>1.1000000000000001</v>
      </c>
      <c r="D8" s="1222">
        <v>1.8</v>
      </c>
      <c r="E8" s="1222">
        <v>2.5</v>
      </c>
      <c r="F8" s="1222">
        <v>3.6</v>
      </c>
      <c r="G8" s="1222">
        <v>3.1</v>
      </c>
      <c r="H8" s="1222">
        <v>2.7</v>
      </c>
      <c r="I8" s="1222">
        <v>1.9</v>
      </c>
      <c r="J8" s="1222">
        <v>-0.3</v>
      </c>
      <c r="K8" s="1222">
        <v>-3.5</v>
      </c>
      <c r="L8" s="1222">
        <v>3</v>
      </c>
      <c r="M8" s="1222">
        <v>1.7</v>
      </c>
      <c r="N8" s="1225" t="s">
        <v>1471</v>
      </c>
      <c r="O8" s="1225" t="s">
        <v>1471</v>
      </c>
      <c r="P8" s="1225" t="s">
        <v>1471</v>
      </c>
      <c r="Q8" s="1225" t="s">
        <v>1471</v>
      </c>
      <c r="R8" s="1225" t="s">
        <v>1471</v>
      </c>
      <c r="S8" s="1225" t="s">
        <v>1471</v>
      </c>
      <c r="T8" s="1225" t="s">
        <v>1471</v>
      </c>
      <c r="U8" s="1225" t="s">
        <v>1471</v>
      </c>
      <c r="V8" s="1225" t="s">
        <v>1471</v>
      </c>
      <c r="W8" s="1153"/>
      <c r="X8" s="1153"/>
      <c r="Y8" s="1153"/>
      <c r="Z8" s="1153"/>
      <c r="AA8" s="1153"/>
      <c r="AB8" s="1153"/>
      <c r="AC8" s="1153"/>
      <c r="AD8" s="1153"/>
      <c r="AE8" s="1153"/>
      <c r="AF8" s="1153"/>
      <c r="AG8" s="1153"/>
      <c r="AH8" s="1153"/>
    </row>
    <row r="9" spans="1:34" x14ac:dyDescent="0.2">
      <c r="A9" s="1159" t="s">
        <v>289</v>
      </c>
      <c r="B9" s="219">
        <v>1</v>
      </c>
      <c r="C9" s="219">
        <v>1.0109999999999999</v>
      </c>
      <c r="D9" s="219">
        <v>1.0289999999999999</v>
      </c>
      <c r="E9" s="219">
        <v>1.0539999999999998</v>
      </c>
      <c r="F9" s="219">
        <v>1.0899999999999999</v>
      </c>
      <c r="G9" s="219">
        <v>1.1209999999999998</v>
      </c>
      <c r="H9" s="219">
        <v>1.1479999999999997</v>
      </c>
      <c r="I9" s="219">
        <v>1.1669999999999996</v>
      </c>
      <c r="J9" s="219">
        <v>1.1639999999999997</v>
      </c>
      <c r="K9" s="219">
        <v>1.1289999999999998</v>
      </c>
      <c r="L9" s="219">
        <v>1.1589999999999998</v>
      </c>
      <c r="M9" s="219">
        <v>1.1759999999999999</v>
      </c>
      <c r="N9" s="112" t="s">
        <v>1471</v>
      </c>
      <c r="O9" s="112" t="s">
        <v>1471</v>
      </c>
      <c r="P9" s="112" t="s">
        <v>1471</v>
      </c>
      <c r="Q9" s="112" t="s">
        <v>1471</v>
      </c>
      <c r="R9" s="112" t="s">
        <v>1471</v>
      </c>
      <c r="S9" s="112" t="s">
        <v>1471</v>
      </c>
      <c r="T9" s="112" t="s">
        <v>1471</v>
      </c>
      <c r="U9" s="112" t="s">
        <v>1471</v>
      </c>
      <c r="V9" s="112" t="s">
        <v>1471</v>
      </c>
      <c r="W9" s="1153"/>
      <c r="X9" s="1153"/>
      <c r="Y9" s="1153"/>
      <c r="Z9" s="1153"/>
      <c r="AA9" s="1153"/>
      <c r="AB9" s="1153"/>
      <c r="AC9" s="1153"/>
      <c r="AD9" s="1153"/>
      <c r="AE9" s="1153"/>
      <c r="AF9" s="1153"/>
      <c r="AG9" s="1153"/>
      <c r="AH9" s="1153"/>
    </row>
    <row r="10" spans="1:34" x14ac:dyDescent="0.2">
      <c r="A10" s="1157"/>
      <c r="B10" s="1359" t="s">
        <v>838</v>
      </c>
      <c r="C10" s="1360"/>
      <c r="D10" s="1360"/>
      <c r="E10" s="1157"/>
      <c r="F10" s="1157"/>
      <c r="G10" s="1157"/>
      <c r="H10" s="1153"/>
      <c r="I10" s="1153"/>
      <c r="J10" s="1153"/>
      <c r="K10" s="1153"/>
      <c r="L10" s="1153"/>
      <c r="M10" s="1153"/>
      <c r="N10" s="1153"/>
      <c r="O10" s="1153"/>
      <c r="P10" s="1153"/>
      <c r="Q10" s="1153"/>
      <c r="R10" s="1153"/>
      <c r="S10" s="1153"/>
    </row>
    <row r="11" spans="1:34" ht="15" x14ac:dyDescent="0.3">
      <c r="A11" s="1153"/>
      <c r="B11" s="1174" t="s">
        <v>1472</v>
      </c>
      <c r="C11" s="1153"/>
      <c r="D11" s="1174">
        <v>198306</v>
      </c>
      <c r="E11" s="1153"/>
      <c r="F11" s="1153"/>
      <c r="G11" s="1153"/>
      <c r="H11" s="1153"/>
      <c r="I11" s="1153"/>
      <c r="J11" s="1153"/>
      <c r="K11" s="1153"/>
      <c r="L11" s="1153"/>
      <c r="M11" s="1153"/>
      <c r="N11" s="1153"/>
      <c r="O11" s="1153"/>
      <c r="P11" s="1153"/>
      <c r="Q11" s="1153"/>
      <c r="R11" s="1153"/>
      <c r="S11" s="1153"/>
    </row>
    <row r="12" spans="1:34" x14ac:dyDescent="0.2">
      <c r="A12" s="1154" t="s">
        <v>286</v>
      </c>
      <c r="B12" s="1162">
        <v>3272123</v>
      </c>
      <c r="C12" s="1154" t="s">
        <v>303</v>
      </c>
      <c r="D12" s="1153"/>
      <c r="E12" s="1153"/>
      <c r="F12" s="1153"/>
      <c r="G12" s="1153"/>
      <c r="H12" s="1153"/>
      <c r="I12" s="1153"/>
      <c r="J12" s="1153"/>
      <c r="K12" s="1153"/>
      <c r="L12" s="1153"/>
      <c r="M12" s="1153"/>
      <c r="N12" s="1153"/>
      <c r="O12" s="1153" t="s">
        <v>306</v>
      </c>
      <c r="P12" s="1153"/>
      <c r="Q12" s="1153"/>
      <c r="R12" s="1153"/>
      <c r="S12" s="1153"/>
    </row>
    <row r="13" spans="1:34" x14ac:dyDescent="0.2">
      <c r="A13" s="1154"/>
      <c r="B13" s="1157" t="s">
        <v>291</v>
      </c>
      <c r="C13" s="1168" t="s">
        <v>292</v>
      </c>
      <c r="D13" s="1167" t="s">
        <v>293</v>
      </c>
      <c r="E13" s="1167" t="s">
        <v>294</v>
      </c>
      <c r="F13" s="1167" t="s">
        <v>295</v>
      </c>
      <c r="G13" s="1167" t="s">
        <v>296</v>
      </c>
      <c r="H13" s="1167" t="s">
        <v>297</v>
      </c>
      <c r="I13" s="1167" t="s">
        <v>298</v>
      </c>
      <c r="J13" s="1167" t="s">
        <v>299</v>
      </c>
      <c r="K13" s="1167" t="s">
        <v>300</v>
      </c>
      <c r="L13" s="1167" t="s">
        <v>301</v>
      </c>
      <c r="M13" s="1167" t="s">
        <v>302</v>
      </c>
      <c r="N13" s="1167" t="s">
        <v>318</v>
      </c>
      <c r="O13" s="1153"/>
      <c r="P13" s="1153"/>
      <c r="Q13" s="1153"/>
      <c r="R13" s="1153"/>
      <c r="S13" s="1153"/>
      <c r="T13" s="1172" t="s">
        <v>1474</v>
      </c>
    </row>
    <row r="14" spans="1:34" x14ac:dyDescent="0.2">
      <c r="A14" s="1161" t="s">
        <v>307</v>
      </c>
      <c r="B14" s="1164">
        <v>1</v>
      </c>
      <c r="C14" s="1164">
        <v>2</v>
      </c>
      <c r="D14" s="1164">
        <v>3</v>
      </c>
      <c r="E14" s="1164">
        <v>4</v>
      </c>
      <c r="F14" s="1164">
        <v>5</v>
      </c>
      <c r="G14" s="1164">
        <v>6</v>
      </c>
      <c r="H14" s="1164">
        <v>7</v>
      </c>
      <c r="I14" s="1164">
        <v>8</v>
      </c>
      <c r="J14" s="1164">
        <v>9</v>
      </c>
      <c r="K14" s="1164">
        <v>10</v>
      </c>
      <c r="L14" s="1164">
        <v>11</v>
      </c>
      <c r="M14" s="1164">
        <v>12</v>
      </c>
      <c r="N14" s="1164">
        <v>13</v>
      </c>
      <c r="O14" s="1165">
        <v>1</v>
      </c>
      <c r="P14" s="1153"/>
      <c r="Q14" s="1153"/>
      <c r="R14" s="1153"/>
      <c r="S14" s="1153"/>
      <c r="T14" s="1153" t="s">
        <v>1472</v>
      </c>
    </row>
    <row r="15" spans="1:34" x14ac:dyDescent="0.2">
      <c r="A15" s="1169">
        <v>2000</v>
      </c>
      <c r="B15" s="1175">
        <v>94.2</v>
      </c>
      <c r="C15" s="1175">
        <v>97.9</v>
      </c>
      <c r="D15" s="1175">
        <v>100.6</v>
      </c>
      <c r="E15" s="1175">
        <v>100.7</v>
      </c>
      <c r="F15" s="1175">
        <v>101.1</v>
      </c>
      <c r="G15" s="1175">
        <v>101.4</v>
      </c>
      <c r="H15" s="1175">
        <v>100.1</v>
      </c>
      <c r="I15" s="1175">
        <v>99.5</v>
      </c>
      <c r="J15" s="1175">
        <v>101.7</v>
      </c>
      <c r="K15" s="1175">
        <v>102.1</v>
      </c>
      <c r="L15" s="1175">
        <v>100.6</v>
      </c>
      <c r="M15" s="1175">
        <v>101.7</v>
      </c>
      <c r="N15" s="1175">
        <v>100.1</v>
      </c>
      <c r="O15" s="1163">
        <v>2</v>
      </c>
      <c r="P15" s="1153"/>
      <c r="Q15" s="1153"/>
      <c r="R15" s="1153"/>
      <c r="S15" s="1153"/>
      <c r="T15" s="1153" t="s">
        <v>247</v>
      </c>
    </row>
    <row r="16" spans="1:34" x14ac:dyDescent="0.2">
      <c r="A16" s="1169">
        <v>2001</v>
      </c>
      <c r="B16" s="1175">
        <v>102.7</v>
      </c>
      <c r="C16" s="1175">
        <v>103.6</v>
      </c>
      <c r="D16" s="1175">
        <v>103.8</v>
      </c>
      <c r="E16" s="1175">
        <v>103.1</v>
      </c>
      <c r="F16" s="1175">
        <v>106.6</v>
      </c>
      <c r="G16" s="1175">
        <v>104.6</v>
      </c>
      <c r="H16" s="1175">
        <v>105.1</v>
      </c>
      <c r="I16" s="1175">
        <v>103.5</v>
      </c>
      <c r="J16" s="1175">
        <v>105.3</v>
      </c>
      <c r="K16" s="1175">
        <v>102.1</v>
      </c>
      <c r="L16" s="1175">
        <v>102.1</v>
      </c>
      <c r="M16" s="1175">
        <v>102.2</v>
      </c>
      <c r="N16" s="1175">
        <v>103.7</v>
      </c>
      <c r="O16" s="1163">
        <v>3</v>
      </c>
      <c r="P16" s="1153"/>
      <c r="Q16" s="1153"/>
      <c r="R16" s="1153"/>
      <c r="S16" s="1153"/>
      <c r="T16" s="1153" t="s">
        <v>865</v>
      </c>
    </row>
    <row r="17" spans="1:25" x14ac:dyDescent="0.2">
      <c r="A17" s="1169">
        <v>2002</v>
      </c>
      <c r="B17" s="1175">
        <v>102.3</v>
      </c>
      <c r="C17" s="1175">
        <v>100.7</v>
      </c>
      <c r="D17" s="1175">
        <v>101.3</v>
      </c>
      <c r="E17" s="1175">
        <v>98.8</v>
      </c>
      <c r="F17" s="1175">
        <v>97</v>
      </c>
      <c r="G17" s="1175">
        <v>97</v>
      </c>
      <c r="H17" s="1175">
        <v>97.8</v>
      </c>
      <c r="I17" s="1175">
        <v>100.2</v>
      </c>
      <c r="J17" s="1175">
        <v>101.7</v>
      </c>
      <c r="K17" s="1175">
        <v>96.6</v>
      </c>
      <c r="L17" s="1175">
        <v>100.6</v>
      </c>
      <c r="M17" s="1175">
        <v>100.4</v>
      </c>
      <c r="N17" s="1175">
        <v>99.5</v>
      </c>
      <c r="O17" s="1163">
        <v>4</v>
      </c>
      <c r="T17" s="1153" t="s">
        <v>666</v>
      </c>
    </row>
    <row r="18" spans="1:25" x14ac:dyDescent="0.2">
      <c r="A18" s="1169">
        <v>2003</v>
      </c>
      <c r="B18" s="1175">
        <v>100.9</v>
      </c>
      <c r="C18" s="1175">
        <v>96.9</v>
      </c>
      <c r="D18" s="1175">
        <v>96.1</v>
      </c>
      <c r="E18" s="1175">
        <v>96.1</v>
      </c>
      <c r="F18" s="1175">
        <v>97.6</v>
      </c>
      <c r="G18" s="1175">
        <v>98.1</v>
      </c>
      <c r="H18" s="1175">
        <v>94.8</v>
      </c>
      <c r="I18" s="1175">
        <v>95.5</v>
      </c>
      <c r="J18" s="1175">
        <v>95.2</v>
      </c>
      <c r="K18" s="1175">
        <v>91.9</v>
      </c>
      <c r="L18" s="1175">
        <v>91.1</v>
      </c>
      <c r="M18" s="1175">
        <v>89.2</v>
      </c>
      <c r="N18" s="1175">
        <v>95.3</v>
      </c>
      <c r="O18" s="1163">
        <v>5</v>
      </c>
      <c r="T18" s="1153" t="s">
        <v>667</v>
      </c>
    </row>
    <row r="19" spans="1:25" x14ac:dyDescent="0.2">
      <c r="A19" s="1169">
        <v>2004</v>
      </c>
      <c r="B19" s="1175">
        <v>87.1</v>
      </c>
      <c r="C19" s="1175">
        <v>87.4</v>
      </c>
      <c r="D19" s="1175">
        <v>86.8</v>
      </c>
      <c r="E19" s="1175">
        <v>86.1</v>
      </c>
      <c r="F19" s="1175">
        <v>86.8</v>
      </c>
      <c r="G19" s="1175">
        <v>84.2</v>
      </c>
      <c r="H19" s="1175">
        <v>88.4</v>
      </c>
      <c r="I19" s="1175">
        <v>87.1</v>
      </c>
      <c r="J19" s="1175">
        <v>88.7</v>
      </c>
      <c r="K19" s="1175">
        <v>87.2</v>
      </c>
      <c r="L19" s="1175">
        <v>87.2</v>
      </c>
      <c r="M19" s="1175">
        <v>89.1</v>
      </c>
      <c r="N19" s="1175">
        <v>87.2</v>
      </c>
      <c r="O19" s="1163">
        <v>6</v>
      </c>
      <c r="T19" s="1153" t="s">
        <v>668</v>
      </c>
    </row>
    <row r="20" spans="1:25" x14ac:dyDescent="0.2">
      <c r="A20" s="1169">
        <v>2005</v>
      </c>
      <c r="B20" s="1175">
        <v>89</v>
      </c>
      <c r="C20" s="1175">
        <v>88.8</v>
      </c>
      <c r="D20" s="1179">
        <v>90.3</v>
      </c>
      <c r="E20" s="1179">
        <v>90.7</v>
      </c>
      <c r="F20" s="1179">
        <v>90.6</v>
      </c>
      <c r="G20" s="1179">
        <v>90.4</v>
      </c>
      <c r="H20" s="1179">
        <v>90.8</v>
      </c>
      <c r="I20" s="1179">
        <v>91.1</v>
      </c>
      <c r="J20" s="1179">
        <v>90.2</v>
      </c>
      <c r="K20" s="1179">
        <v>90.8</v>
      </c>
      <c r="L20" s="1179">
        <v>91</v>
      </c>
      <c r="M20" s="1179">
        <v>91.5</v>
      </c>
      <c r="N20" s="1179">
        <v>90.4</v>
      </c>
      <c r="O20" s="1163">
        <v>7</v>
      </c>
      <c r="T20" s="1153" t="s">
        <v>669</v>
      </c>
    </row>
    <row r="21" spans="1:25" x14ac:dyDescent="0.2">
      <c r="A21" s="1169">
        <v>2006</v>
      </c>
      <c r="B21" s="1179">
        <v>90.7</v>
      </c>
      <c r="C21" s="1180">
        <v>89.8</v>
      </c>
      <c r="D21" s="1181">
        <v>89.4</v>
      </c>
      <c r="E21" s="1181">
        <v>89.4</v>
      </c>
      <c r="F21" s="1181">
        <v>90.4</v>
      </c>
      <c r="G21" s="1181">
        <v>90.4</v>
      </c>
      <c r="H21" s="1181">
        <v>89.7</v>
      </c>
      <c r="I21" s="1182">
        <v>89.8</v>
      </c>
      <c r="J21" s="1182">
        <v>90.9</v>
      </c>
      <c r="K21" s="1182">
        <v>89.6</v>
      </c>
      <c r="L21" s="1182">
        <v>89.6</v>
      </c>
      <c r="M21" s="1182">
        <v>88.5</v>
      </c>
      <c r="N21" s="1182">
        <v>89.8</v>
      </c>
      <c r="O21" s="1163">
        <v>8</v>
      </c>
      <c r="T21" s="1153" t="s">
        <v>670</v>
      </c>
    </row>
    <row r="22" spans="1:25" x14ac:dyDescent="0.2">
      <c r="A22" s="1169">
        <v>2007</v>
      </c>
      <c r="B22" s="1176">
        <v>89.1</v>
      </c>
      <c r="C22" s="1176">
        <v>88.1</v>
      </c>
      <c r="D22" s="1181">
        <v>86.7</v>
      </c>
      <c r="E22" s="1181">
        <v>87</v>
      </c>
      <c r="F22" s="1181">
        <v>86.7</v>
      </c>
      <c r="G22" s="1181">
        <v>87.1</v>
      </c>
      <c r="H22" s="1181">
        <v>88.1</v>
      </c>
      <c r="I22" s="1182">
        <v>87.6</v>
      </c>
      <c r="J22" s="1182">
        <v>87.5</v>
      </c>
      <c r="K22" s="1182">
        <v>87.4</v>
      </c>
      <c r="L22" s="1182">
        <v>87.6</v>
      </c>
      <c r="M22" s="1182">
        <v>87.1</v>
      </c>
      <c r="N22" s="1182">
        <v>87.5</v>
      </c>
      <c r="O22" s="1163">
        <v>9</v>
      </c>
      <c r="T22" s="1153" t="s">
        <v>671</v>
      </c>
    </row>
    <row r="23" spans="1:25" ht="12.75" customHeight="1" x14ac:dyDescent="0.25">
      <c r="A23" s="1169">
        <v>2008</v>
      </c>
      <c r="B23" s="1183">
        <v>87.7</v>
      </c>
      <c r="C23" s="1176">
        <v>82.1</v>
      </c>
      <c r="D23" s="1181">
        <v>82.3</v>
      </c>
      <c r="E23" s="1181">
        <v>82.7</v>
      </c>
      <c r="F23" s="1181">
        <v>85.1</v>
      </c>
      <c r="G23" s="1181">
        <v>84.8</v>
      </c>
      <c r="H23" s="1181">
        <v>84.8</v>
      </c>
      <c r="I23" s="1182">
        <v>85.3</v>
      </c>
      <c r="J23" s="1182">
        <v>87.2</v>
      </c>
      <c r="K23" s="1182">
        <v>87.2</v>
      </c>
      <c r="L23" s="1182">
        <v>86.8</v>
      </c>
      <c r="M23" s="1182">
        <v>86.8</v>
      </c>
      <c r="N23" s="1182">
        <v>85.2</v>
      </c>
      <c r="O23" s="1163">
        <v>10</v>
      </c>
      <c r="T23" s="1153" t="s">
        <v>672</v>
      </c>
      <c r="Y23" s="1227"/>
    </row>
    <row r="24" spans="1:25" x14ac:dyDescent="0.2">
      <c r="A24" s="1169">
        <v>2009</v>
      </c>
      <c r="B24" s="1156">
        <v>88.1</v>
      </c>
      <c r="C24" s="1182">
        <v>87.9</v>
      </c>
      <c r="D24" s="1182">
        <v>87.9</v>
      </c>
      <c r="E24" s="1182">
        <v>86.6</v>
      </c>
      <c r="F24" s="1182">
        <v>86.6</v>
      </c>
      <c r="G24" s="1182">
        <v>85.5</v>
      </c>
      <c r="H24" s="1182">
        <v>85.5</v>
      </c>
      <c r="I24" s="1182">
        <v>85.5</v>
      </c>
      <c r="J24" s="1155">
        <v>85.5</v>
      </c>
      <c r="K24" s="1192">
        <v>85.5</v>
      </c>
      <c r="L24" s="1192">
        <v>85.5</v>
      </c>
      <c r="M24" s="1192">
        <v>85.4</v>
      </c>
      <c r="N24" s="1192">
        <v>86.3</v>
      </c>
      <c r="O24" s="1163">
        <v>11</v>
      </c>
      <c r="T24" s="1153" t="s">
        <v>673</v>
      </c>
    </row>
    <row r="25" spans="1:25" x14ac:dyDescent="0.2">
      <c r="A25" s="1169">
        <v>2010</v>
      </c>
      <c r="B25" s="1192">
        <v>83.5</v>
      </c>
      <c r="C25" s="1182">
        <v>82.8</v>
      </c>
      <c r="D25" s="1182">
        <v>82.8</v>
      </c>
      <c r="E25" s="1182">
        <v>83.3</v>
      </c>
      <c r="F25" s="1182">
        <v>83.9</v>
      </c>
      <c r="G25" s="1182">
        <v>83.9</v>
      </c>
      <c r="H25" s="1182">
        <v>83.9</v>
      </c>
      <c r="I25" s="1182">
        <v>83.1</v>
      </c>
      <c r="J25" s="1155">
        <v>83.1</v>
      </c>
      <c r="K25" s="1192">
        <v>83.1</v>
      </c>
      <c r="L25" s="1192">
        <v>83</v>
      </c>
      <c r="M25" s="1192">
        <v>83</v>
      </c>
      <c r="N25" s="1192">
        <v>83.3</v>
      </c>
      <c r="O25" s="1163">
        <v>12</v>
      </c>
      <c r="T25" s="1153" t="s">
        <v>683</v>
      </c>
    </row>
    <row r="26" spans="1:25" x14ac:dyDescent="0.2">
      <c r="A26" s="1218">
        <v>2011</v>
      </c>
      <c r="B26" s="1155">
        <v>82.5</v>
      </c>
      <c r="C26" s="1182">
        <v>83.5</v>
      </c>
      <c r="D26" s="1182">
        <v>83.5</v>
      </c>
      <c r="E26" s="1192">
        <v>83.4</v>
      </c>
      <c r="F26" s="1192">
        <v>84.4</v>
      </c>
      <c r="G26" s="1192">
        <v>84.5</v>
      </c>
      <c r="H26" s="1192">
        <v>85.2</v>
      </c>
      <c r="I26" s="1226">
        <v>85.1</v>
      </c>
      <c r="J26" s="1226">
        <v>85.3</v>
      </c>
      <c r="K26" s="1226">
        <v>84.7</v>
      </c>
      <c r="L26" s="1226">
        <v>84.9</v>
      </c>
      <c r="M26" s="1226">
        <v>84.6</v>
      </c>
      <c r="N26" s="1226">
        <v>84.3</v>
      </c>
      <c r="O26" s="1163">
        <v>13</v>
      </c>
      <c r="T26" s="1153" t="s">
        <v>674</v>
      </c>
    </row>
    <row r="27" spans="1:25" s="1153" customFormat="1" x14ac:dyDescent="0.2">
      <c r="A27" s="1169">
        <v>2012</v>
      </c>
      <c r="B27" s="1226">
        <v>84.5</v>
      </c>
      <c r="C27" s="1226">
        <v>84.5</v>
      </c>
      <c r="D27" s="1196">
        <v>84.5</v>
      </c>
      <c r="E27" s="1196">
        <v>84.5</v>
      </c>
      <c r="F27" s="1196">
        <v>84.3</v>
      </c>
      <c r="G27" s="1196">
        <v>84.6</v>
      </c>
      <c r="H27" s="1226" t="s">
        <v>1471</v>
      </c>
      <c r="I27" s="1226" t="s">
        <v>1471</v>
      </c>
      <c r="J27" s="1226" t="s">
        <v>1471</v>
      </c>
      <c r="K27" s="1226" t="s">
        <v>1471</v>
      </c>
      <c r="L27" s="1226" t="s">
        <v>1471</v>
      </c>
      <c r="M27" s="1226" t="s">
        <v>1471</v>
      </c>
      <c r="N27" s="1226" t="s">
        <v>1471</v>
      </c>
      <c r="O27" s="1163">
        <v>14</v>
      </c>
      <c r="T27" s="1153" t="s">
        <v>676</v>
      </c>
    </row>
    <row r="28" spans="1:25" s="1153" customFormat="1" x14ac:dyDescent="0.2">
      <c r="A28" s="1169">
        <v>2013</v>
      </c>
      <c r="B28" s="1226" t="s">
        <v>1471</v>
      </c>
      <c r="C28" s="1226" t="s">
        <v>1471</v>
      </c>
      <c r="D28" s="1226" t="s">
        <v>1471</v>
      </c>
      <c r="E28" s="1226" t="s">
        <v>1471</v>
      </c>
      <c r="F28" s="1226" t="s">
        <v>1471</v>
      </c>
      <c r="G28" s="1226" t="s">
        <v>1471</v>
      </c>
      <c r="H28" s="1226" t="s">
        <v>1471</v>
      </c>
      <c r="I28" s="1226" t="s">
        <v>1471</v>
      </c>
      <c r="J28" s="1226" t="s">
        <v>1471</v>
      </c>
      <c r="K28" s="1226" t="s">
        <v>1471</v>
      </c>
      <c r="L28" s="1226" t="s">
        <v>1471</v>
      </c>
      <c r="M28" s="1226" t="s">
        <v>1471</v>
      </c>
      <c r="N28" s="1226" t="s">
        <v>1471</v>
      </c>
      <c r="O28" s="1163">
        <v>15</v>
      </c>
      <c r="T28" s="1153" t="s">
        <v>675</v>
      </c>
    </row>
    <row r="29" spans="1:25" s="1153" customFormat="1" x14ac:dyDescent="0.2">
      <c r="A29" s="1218">
        <v>2014</v>
      </c>
      <c r="B29" s="1226" t="s">
        <v>1471</v>
      </c>
      <c r="C29" s="1226" t="s">
        <v>1471</v>
      </c>
      <c r="D29" s="1226" t="s">
        <v>1471</v>
      </c>
      <c r="E29" s="1226" t="s">
        <v>1471</v>
      </c>
      <c r="F29" s="1226" t="s">
        <v>1471</v>
      </c>
      <c r="G29" s="1226" t="s">
        <v>1471</v>
      </c>
      <c r="H29" s="1226" t="s">
        <v>1471</v>
      </c>
      <c r="I29" s="1226" t="s">
        <v>1471</v>
      </c>
      <c r="J29" s="1226" t="s">
        <v>1471</v>
      </c>
      <c r="K29" s="1226" t="s">
        <v>1471</v>
      </c>
      <c r="L29" s="1226" t="s">
        <v>1471</v>
      </c>
      <c r="M29" s="1226" t="s">
        <v>1471</v>
      </c>
      <c r="N29" s="1226" t="s">
        <v>1471</v>
      </c>
      <c r="O29" s="1163">
        <v>16</v>
      </c>
      <c r="T29" s="1153" t="s">
        <v>677</v>
      </c>
    </row>
    <row r="30" spans="1:25" s="1153" customFormat="1" ht="15" x14ac:dyDescent="0.3">
      <c r="A30" s="1169">
        <v>2015</v>
      </c>
      <c r="B30" s="1226" t="s">
        <v>1471</v>
      </c>
      <c r="C30" s="1226" t="s">
        <v>1471</v>
      </c>
      <c r="D30" s="1226" t="s">
        <v>1471</v>
      </c>
      <c r="E30" s="1226" t="s">
        <v>1471</v>
      </c>
      <c r="F30" s="1226" t="s">
        <v>1471</v>
      </c>
      <c r="G30" s="1226" t="s">
        <v>1471</v>
      </c>
      <c r="H30" s="1226" t="s">
        <v>1471</v>
      </c>
      <c r="I30" s="1226" t="s">
        <v>1471</v>
      </c>
      <c r="J30" s="1226" t="s">
        <v>1471</v>
      </c>
      <c r="K30" s="1226" t="s">
        <v>1471</v>
      </c>
      <c r="L30" s="1226" t="s">
        <v>1471</v>
      </c>
      <c r="M30" s="1226" t="s">
        <v>1471</v>
      </c>
      <c r="N30" s="1226" t="s">
        <v>1471</v>
      </c>
      <c r="O30" s="1163">
        <v>17</v>
      </c>
      <c r="T30" s="1174" t="s">
        <v>1473</v>
      </c>
    </row>
    <row r="31" spans="1:25" s="1153" customFormat="1" x14ac:dyDescent="0.2">
      <c r="A31" s="1169">
        <v>2016</v>
      </c>
      <c r="B31" s="1226" t="s">
        <v>1471</v>
      </c>
      <c r="C31" s="1226" t="s">
        <v>1471</v>
      </c>
      <c r="D31" s="1226" t="s">
        <v>1471</v>
      </c>
      <c r="E31" s="1226" t="s">
        <v>1471</v>
      </c>
      <c r="F31" s="1226" t="s">
        <v>1471</v>
      </c>
      <c r="G31" s="1226" t="s">
        <v>1471</v>
      </c>
      <c r="H31" s="1226" t="s">
        <v>1471</v>
      </c>
      <c r="I31" s="1226" t="s">
        <v>1471</v>
      </c>
      <c r="J31" s="1226" t="s">
        <v>1471</v>
      </c>
      <c r="K31" s="1226" t="s">
        <v>1471</v>
      </c>
      <c r="L31" s="1226" t="s">
        <v>1471</v>
      </c>
      <c r="M31" s="1226" t="s">
        <v>1471</v>
      </c>
      <c r="N31" s="1226" t="s">
        <v>1471</v>
      </c>
      <c r="O31" s="1163">
        <v>18</v>
      </c>
      <c r="T31" s="1153" t="s">
        <v>680</v>
      </c>
    </row>
    <row r="32" spans="1:25" s="1153" customFormat="1" x14ac:dyDescent="0.2">
      <c r="A32" s="1218">
        <v>2017</v>
      </c>
      <c r="B32" s="1226" t="s">
        <v>1471</v>
      </c>
      <c r="C32" s="1226" t="s">
        <v>1471</v>
      </c>
      <c r="D32" s="1226" t="s">
        <v>1471</v>
      </c>
      <c r="E32" s="1226" t="s">
        <v>1471</v>
      </c>
      <c r="F32" s="1226" t="s">
        <v>1471</v>
      </c>
      <c r="G32" s="1226" t="s">
        <v>1471</v>
      </c>
      <c r="H32" s="1226" t="s">
        <v>1471</v>
      </c>
      <c r="I32" s="1226" t="s">
        <v>1471</v>
      </c>
      <c r="J32" s="1226" t="s">
        <v>1471</v>
      </c>
      <c r="K32" s="1226" t="s">
        <v>1471</v>
      </c>
      <c r="L32" s="1226" t="s">
        <v>1471</v>
      </c>
      <c r="M32" s="1226" t="s">
        <v>1471</v>
      </c>
      <c r="N32" s="1226" t="s">
        <v>1471</v>
      </c>
      <c r="O32" s="1163">
        <v>19</v>
      </c>
      <c r="T32" s="1153" t="s">
        <v>681</v>
      </c>
    </row>
    <row r="33" spans="1:20" s="1153" customFormat="1" x14ac:dyDescent="0.2">
      <c r="A33" s="1169">
        <v>2018</v>
      </c>
      <c r="B33" s="1226" t="s">
        <v>1471</v>
      </c>
      <c r="C33" s="1226" t="s">
        <v>1471</v>
      </c>
      <c r="D33" s="1226" t="s">
        <v>1471</v>
      </c>
      <c r="E33" s="1226" t="s">
        <v>1471</v>
      </c>
      <c r="F33" s="1226" t="s">
        <v>1471</v>
      </c>
      <c r="G33" s="1226" t="s">
        <v>1471</v>
      </c>
      <c r="H33" s="1226" t="s">
        <v>1471</v>
      </c>
      <c r="I33" s="1226" t="s">
        <v>1471</v>
      </c>
      <c r="J33" s="1226" t="s">
        <v>1471</v>
      </c>
      <c r="K33" s="1226" t="s">
        <v>1471</v>
      </c>
      <c r="L33" s="1226" t="s">
        <v>1471</v>
      </c>
      <c r="M33" s="1226" t="s">
        <v>1471</v>
      </c>
      <c r="N33" s="1226" t="s">
        <v>1471</v>
      </c>
      <c r="O33" s="1163">
        <v>20</v>
      </c>
      <c r="T33" s="1153" t="s">
        <v>682</v>
      </c>
    </row>
    <row r="34" spans="1:20" s="1153" customFormat="1" x14ac:dyDescent="0.2">
      <c r="A34" s="1169">
        <v>2019</v>
      </c>
      <c r="B34" s="1226" t="s">
        <v>1471</v>
      </c>
      <c r="C34" s="1226" t="s">
        <v>1471</v>
      </c>
      <c r="D34" s="1226" t="s">
        <v>1471</v>
      </c>
      <c r="E34" s="1226" t="s">
        <v>1471</v>
      </c>
      <c r="F34" s="1226" t="s">
        <v>1471</v>
      </c>
      <c r="G34" s="1226" t="s">
        <v>1471</v>
      </c>
      <c r="H34" s="1226" t="s">
        <v>1471</v>
      </c>
      <c r="I34" s="1226" t="s">
        <v>1471</v>
      </c>
      <c r="J34" s="1226" t="s">
        <v>1471</v>
      </c>
      <c r="K34" s="1226" t="s">
        <v>1471</v>
      </c>
      <c r="L34" s="1226" t="s">
        <v>1471</v>
      </c>
      <c r="M34" s="1226" t="s">
        <v>1471</v>
      </c>
      <c r="N34" s="1226" t="s">
        <v>1471</v>
      </c>
      <c r="O34" s="1163">
        <v>21</v>
      </c>
    </row>
    <row r="35" spans="1:20" s="1153" customFormat="1" x14ac:dyDescent="0.2">
      <c r="A35" s="1218">
        <v>2020</v>
      </c>
      <c r="B35" s="1226" t="s">
        <v>1471</v>
      </c>
      <c r="C35" s="1226" t="s">
        <v>1471</v>
      </c>
      <c r="D35" s="1226" t="s">
        <v>1471</v>
      </c>
      <c r="E35" s="1226" t="s">
        <v>1471</v>
      </c>
      <c r="F35" s="1226" t="s">
        <v>1471</v>
      </c>
      <c r="G35" s="1226" t="s">
        <v>1471</v>
      </c>
      <c r="H35" s="1226" t="s">
        <v>1471</v>
      </c>
      <c r="I35" s="1226" t="s">
        <v>1471</v>
      </c>
      <c r="J35" s="1226" t="s">
        <v>1471</v>
      </c>
      <c r="K35" s="1226" t="s">
        <v>1471</v>
      </c>
      <c r="L35" s="1226" t="s">
        <v>1471</v>
      </c>
      <c r="M35" s="1226" t="s">
        <v>1471</v>
      </c>
      <c r="N35" s="1226" t="s">
        <v>1471</v>
      </c>
      <c r="O35" s="1163">
        <v>22</v>
      </c>
    </row>
    <row r="36" spans="1:20" x14ac:dyDescent="0.2">
      <c r="A36" s="1169"/>
      <c r="B36" s="1159"/>
      <c r="C36" s="1159"/>
      <c r="D36" s="1159"/>
      <c r="E36" s="1159"/>
      <c r="F36" s="1159"/>
      <c r="G36" s="1159"/>
      <c r="H36" s="1159"/>
      <c r="I36" s="1159"/>
      <c r="J36" s="1159"/>
      <c r="K36" s="1159"/>
      <c r="L36" s="1159"/>
      <c r="M36" s="1159"/>
      <c r="N36" s="1159"/>
      <c r="O36" s="1163">
        <v>23</v>
      </c>
    </row>
    <row r="37" spans="1:20" ht="15" x14ac:dyDescent="0.3">
      <c r="A37" s="1153"/>
      <c r="B37" s="1174" t="s">
        <v>247</v>
      </c>
      <c r="C37" s="1153"/>
      <c r="D37" s="1174"/>
      <c r="E37" s="1153"/>
      <c r="F37" s="1153"/>
      <c r="G37" s="1153"/>
      <c r="H37" s="1153"/>
      <c r="I37" s="1153"/>
      <c r="J37" s="1153"/>
      <c r="K37" s="1153"/>
      <c r="L37" s="1153"/>
      <c r="M37" s="1153"/>
      <c r="N37" s="1153"/>
      <c r="O37" s="1166"/>
    </row>
    <row r="38" spans="1:20" ht="15" x14ac:dyDescent="0.3">
      <c r="A38" s="1154" t="s">
        <v>286</v>
      </c>
      <c r="B38" s="1162">
        <v>3255204</v>
      </c>
      <c r="C38" s="1177" t="s">
        <v>246</v>
      </c>
      <c r="D38" s="1153"/>
      <c r="E38" s="1153"/>
      <c r="F38" s="1153"/>
      <c r="G38" s="1153"/>
      <c r="H38" s="1153"/>
      <c r="I38" s="1153"/>
      <c r="J38" s="1153"/>
      <c r="K38" s="1153"/>
      <c r="L38" s="1153"/>
      <c r="M38" s="1153"/>
      <c r="N38" s="1153"/>
      <c r="O38" s="1153" t="s">
        <v>306</v>
      </c>
    </row>
    <row r="39" spans="1:20" x14ac:dyDescent="0.2">
      <c r="A39" s="1154"/>
      <c r="B39" s="1157" t="s">
        <v>291</v>
      </c>
      <c r="C39" s="1168" t="s">
        <v>292</v>
      </c>
      <c r="D39" s="1167" t="s">
        <v>293</v>
      </c>
      <c r="E39" s="1167" t="s">
        <v>294</v>
      </c>
      <c r="F39" s="1167" t="s">
        <v>295</v>
      </c>
      <c r="G39" s="1167" t="s">
        <v>296</v>
      </c>
      <c r="H39" s="1167" t="s">
        <v>297</v>
      </c>
      <c r="I39" s="1167" t="s">
        <v>298</v>
      </c>
      <c r="J39" s="1167" t="s">
        <v>299</v>
      </c>
      <c r="K39" s="1167" t="s">
        <v>300</v>
      </c>
      <c r="L39" s="1167" t="s">
        <v>301</v>
      </c>
      <c r="M39" s="1167" t="s">
        <v>302</v>
      </c>
      <c r="N39" s="1167" t="s">
        <v>318</v>
      </c>
      <c r="O39" s="1153"/>
    </row>
    <row r="40" spans="1:20" x14ac:dyDescent="0.2">
      <c r="A40" s="1161" t="s">
        <v>319</v>
      </c>
      <c r="B40" s="1164">
        <v>1</v>
      </c>
      <c r="C40" s="1164">
        <v>2</v>
      </c>
      <c r="D40" s="1164">
        <v>3</v>
      </c>
      <c r="E40" s="1164">
        <v>4</v>
      </c>
      <c r="F40" s="1164">
        <v>5</v>
      </c>
      <c r="G40" s="1164">
        <v>6</v>
      </c>
      <c r="H40" s="1164">
        <v>7</v>
      </c>
      <c r="I40" s="1164">
        <v>8</v>
      </c>
      <c r="J40" s="1164">
        <v>9</v>
      </c>
      <c r="K40" s="1164">
        <v>10</v>
      </c>
      <c r="L40" s="1164">
        <v>11</v>
      </c>
      <c r="M40" s="1164">
        <v>12</v>
      </c>
      <c r="N40" s="1164">
        <v>13</v>
      </c>
      <c r="O40" s="1165">
        <v>1</v>
      </c>
    </row>
    <row r="41" spans="1:20" x14ac:dyDescent="0.2">
      <c r="A41" s="1169">
        <v>2000</v>
      </c>
      <c r="B41" s="1175">
        <v>153.1</v>
      </c>
      <c r="C41" s="1175">
        <v>153.6</v>
      </c>
      <c r="D41" s="1175">
        <v>154</v>
      </c>
      <c r="E41" s="1175">
        <v>154.19999999999999</v>
      </c>
      <c r="F41" s="1175">
        <v>154.19999999999999</v>
      </c>
      <c r="G41" s="1175">
        <v>155.30000000000001</v>
      </c>
      <c r="H41" s="1175">
        <v>156.19999999999999</v>
      </c>
      <c r="I41" s="1175">
        <v>156.19999999999999</v>
      </c>
      <c r="J41" s="1175">
        <v>156.4</v>
      </c>
      <c r="K41" s="1175">
        <v>156.69999999999999</v>
      </c>
      <c r="L41" s="1175">
        <v>158</v>
      </c>
      <c r="M41" s="1175">
        <v>158.30000000000001</v>
      </c>
      <c r="N41" s="1175">
        <v>155.5</v>
      </c>
      <c r="O41" s="1163">
        <v>2</v>
      </c>
    </row>
    <row r="42" spans="1:20" x14ac:dyDescent="0.2">
      <c r="A42" s="1169">
        <v>2001</v>
      </c>
      <c r="B42" s="1175">
        <v>158.80000000000001</v>
      </c>
      <c r="C42" s="1175">
        <v>160.9</v>
      </c>
      <c r="D42" s="1175">
        <v>161</v>
      </c>
      <c r="E42" s="1175">
        <v>161</v>
      </c>
      <c r="F42" s="1175">
        <v>161.1</v>
      </c>
      <c r="G42" s="1175">
        <v>161.19999999999999</v>
      </c>
      <c r="H42" s="1175">
        <v>161.80000000000001</v>
      </c>
      <c r="I42" s="1175">
        <v>163.6</v>
      </c>
      <c r="J42" s="1175">
        <v>163.5</v>
      </c>
      <c r="K42" s="1175">
        <v>163.5</v>
      </c>
      <c r="L42" s="1175">
        <v>163.4</v>
      </c>
      <c r="M42" s="1175">
        <v>162.30000000000001</v>
      </c>
      <c r="N42" s="1175">
        <v>161.80000000000001</v>
      </c>
      <c r="O42" s="1163">
        <v>3</v>
      </c>
    </row>
    <row r="43" spans="1:20" x14ac:dyDescent="0.2">
      <c r="A43" s="1169">
        <v>2002</v>
      </c>
      <c r="B43" s="1175">
        <v>162.80000000000001</v>
      </c>
      <c r="C43" s="1175">
        <v>162.69999999999999</v>
      </c>
      <c r="D43" s="1175">
        <v>162.69999999999999</v>
      </c>
      <c r="E43" s="1175">
        <v>162.4</v>
      </c>
      <c r="F43" s="1175">
        <v>162.30000000000001</v>
      </c>
      <c r="G43" s="1175">
        <v>162.19999999999999</v>
      </c>
      <c r="H43" s="1175">
        <v>162.19999999999999</v>
      </c>
      <c r="I43" s="1175">
        <v>162.1</v>
      </c>
      <c r="J43" s="1175">
        <v>162.1</v>
      </c>
      <c r="K43" s="1175">
        <v>161.9</v>
      </c>
      <c r="L43" s="1175">
        <v>161.9</v>
      </c>
      <c r="M43" s="1175">
        <v>161.80000000000001</v>
      </c>
      <c r="N43" s="1175">
        <v>162.30000000000001</v>
      </c>
      <c r="O43" s="1163">
        <v>4</v>
      </c>
    </row>
    <row r="44" spans="1:20" x14ac:dyDescent="0.2">
      <c r="A44" s="1169">
        <v>2003</v>
      </c>
      <c r="B44" s="1175">
        <v>162.4</v>
      </c>
      <c r="C44" s="1175">
        <v>162.30000000000001</v>
      </c>
      <c r="D44" s="1175">
        <v>163.4</v>
      </c>
      <c r="E44" s="1175">
        <v>163.69999999999999</v>
      </c>
      <c r="F44" s="1175">
        <v>163.69999999999999</v>
      </c>
      <c r="G44" s="1175">
        <v>163.80000000000001</v>
      </c>
      <c r="H44" s="1175">
        <v>163.9</v>
      </c>
      <c r="I44" s="1175">
        <v>164</v>
      </c>
      <c r="J44" s="1175">
        <v>165.9</v>
      </c>
      <c r="K44" s="1175">
        <v>165.9</v>
      </c>
      <c r="L44" s="1175">
        <v>165.9</v>
      </c>
      <c r="M44" s="1175">
        <v>166</v>
      </c>
      <c r="N44" s="1175">
        <v>164.2</v>
      </c>
      <c r="O44" s="1163">
        <v>5</v>
      </c>
    </row>
    <row r="45" spans="1:20" x14ac:dyDescent="0.2">
      <c r="A45" s="1169">
        <v>2004</v>
      </c>
      <c r="B45" s="1175">
        <v>165.9</v>
      </c>
      <c r="C45" s="1175">
        <v>167.6</v>
      </c>
      <c r="D45" s="1175">
        <v>166.2</v>
      </c>
      <c r="E45" s="1175">
        <v>166.5</v>
      </c>
      <c r="F45" s="1175">
        <v>166.5</v>
      </c>
      <c r="G45" s="1175">
        <v>166.6</v>
      </c>
      <c r="H45" s="1175">
        <v>167.3</v>
      </c>
      <c r="I45" s="1175">
        <v>168.8</v>
      </c>
      <c r="J45" s="1175">
        <v>168.8</v>
      </c>
      <c r="K45" s="1175">
        <v>168.8</v>
      </c>
      <c r="L45" s="1175">
        <v>169.7</v>
      </c>
      <c r="M45" s="1175">
        <v>170</v>
      </c>
      <c r="N45" s="1175">
        <v>167.7</v>
      </c>
      <c r="O45" s="1163">
        <v>6</v>
      </c>
    </row>
    <row r="46" spans="1:20" x14ac:dyDescent="0.2">
      <c r="A46" s="1169">
        <v>2005</v>
      </c>
      <c r="B46" s="1175">
        <v>171.3</v>
      </c>
      <c r="C46" s="1175">
        <v>172.2</v>
      </c>
      <c r="D46" s="1179">
        <v>173</v>
      </c>
      <c r="E46" s="1179">
        <v>172.4</v>
      </c>
      <c r="F46" s="1179">
        <v>173.8</v>
      </c>
      <c r="G46" s="1179">
        <v>174.6</v>
      </c>
      <c r="H46" s="1179">
        <v>174.6</v>
      </c>
      <c r="I46" s="1179">
        <v>175.2</v>
      </c>
      <c r="J46" s="1179">
        <v>180.5</v>
      </c>
      <c r="K46" s="1179">
        <v>182.6</v>
      </c>
      <c r="L46" s="1179">
        <v>184.8</v>
      </c>
      <c r="M46" s="1179">
        <v>186.5</v>
      </c>
      <c r="N46" s="1179">
        <v>176.8</v>
      </c>
      <c r="O46" s="1163">
        <v>7</v>
      </c>
    </row>
    <row r="47" spans="1:20" x14ac:dyDescent="0.2">
      <c r="A47" s="1169">
        <v>2006</v>
      </c>
      <c r="B47" s="1179">
        <v>188.9</v>
      </c>
      <c r="C47" s="1180">
        <v>189.9</v>
      </c>
      <c r="D47" s="1181">
        <v>191.9</v>
      </c>
      <c r="E47" s="1181">
        <v>192.3</v>
      </c>
      <c r="F47" s="1181">
        <v>192.8</v>
      </c>
      <c r="G47" s="1181">
        <v>192.8</v>
      </c>
      <c r="H47" s="1182">
        <v>192.1</v>
      </c>
      <c r="I47" s="1182">
        <v>192.8</v>
      </c>
      <c r="J47" s="1182">
        <v>193.7</v>
      </c>
      <c r="K47" s="1182">
        <v>194.6</v>
      </c>
      <c r="L47" s="1182">
        <v>195.1</v>
      </c>
      <c r="M47" s="1182">
        <v>195.2</v>
      </c>
      <c r="N47" s="1182">
        <v>192.7</v>
      </c>
      <c r="O47" s="1163">
        <v>8</v>
      </c>
    </row>
    <row r="48" spans="1:20" x14ac:dyDescent="0.2">
      <c r="A48" s="1169">
        <v>2007</v>
      </c>
      <c r="B48" s="1176">
        <v>197.3</v>
      </c>
      <c r="C48" s="1176">
        <v>200.1</v>
      </c>
      <c r="D48" s="1181">
        <v>199.8</v>
      </c>
      <c r="E48" s="1181">
        <v>200.5</v>
      </c>
      <c r="F48" s="1181">
        <v>200.6</v>
      </c>
      <c r="G48" s="1181">
        <v>200.6</v>
      </c>
      <c r="H48" s="1182">
        <v>200.9</v>
      </c>
      <c r="I48" s="1182">
        <v>201.5</v>
      </c>
      <c r="J48" s="1182">
        <v>202</v>
      </c>
      <c r="K48" s="1182">
        <v>202.6</v>
      </c>
      <c r="L48" s="1182">
        <v>202.6</v>
      </c>
      <c r="M48" s="1182">
        <v>202.8</v>
      </c>
      <c r="N48" s="1182">
        <v>200.9</v>
      </c>
      <c r="O48" s="1163">
        <v>9</v>
      </c>
    </row>
    <row r="49" spans="1:15" x14ac:dyDescent="0.2">
      <c r="A49" s="1169">
        <v>2008</v>
      </c>
      <c r="B49" s="1183">
        <v>204.6</v>
      </c>
      <c r="C49" s="1176">
        <v>206</v>
      </c>
      <c r="D49" s="1181">
        <v>207.6</v>
      </c>
      <c r="E49" s="1181">
        <v>208.9</v>
      </c>
      <c r="F49" s="1181">
        <v>208.4</v>
      </c>
      <c r="G49" s="1181">
        <v>211.3</v>
      </c>
      <c r="H49" s="1182">
        <v>220.7</v>
      </c>
      <c r="I49" s="1182">
        <v>222.1</v>
      </c>
      <c r="J49" s="1182">
        <v>228.6</v>
      </c>
      <c r="K49" s="1182">
        <v>229.4</v>
      </c>
      <c r="L49" s="1182">
        <v>230.1</v>
      </c>
      <c r="M49" s="1182">
        <v>231.2</v>
      </c>
      <c r="N49" s="1182">
        <v>217.4</v>
      </c>
      <c r="O49" s="1163">
        <v>10</v>
      </c>
    </row>
    <row r="50" spans="1:15" x14ac:dyDescent="0.2">
      <c r="A50" s="1169">
        <v>2009</v>
      </c>
      <c r="B50" s="1192">
        <v>232.2</v>
      </c>
      <c r="C50" s="1182">
        <v>232.4</v>
      </c>
      <c r="D50" s="1182">
        <v>232.5</v>
      </c>
      <c r="E50" s="1182">
        <v>231.8</v>
      </c>
      <c r="F50" s="1182">
        <v>230.6</v>
      </c>
      <c r="G50" s="1182">
        <v>230.8</v>
      </c>
      <c r="H50" s="1182">
        <v>230.9</v>
      </c>
      <c r="I50" s="1182">
        <v>230.9</v>
      </c>
      <c r="J50" s="1155">
        <v>230.9</v>
      </c>
      <c r="K50" s="1192">
        <v>225.9</v>
      </c>
      <c r="L50" s="1192">
        <v>225</v>
      </c>
      <c r="M50" s="1192">
        <v>224.6</v>
      </c>
      <c r="N50" s="1192">
        <v>229.9</v>
      </c>
      <c r="O50" s="1163">
        <v>11</v>
      </c>
    </row>
    <row r="51" spans="1:15" x14ac:dyDescent="0.2">
      <c r="A51" s="1169">
        <v>2010</v>
      </c>
      <c r="B51" s="1192">
        <v>224.9</v>
      </c>
      <c r="C51" s="1182">
        <v>226.9</v>
      </c>
      <c r="D51" s="1182">
        <v>225.9</v>
      </c>
      <c r="E51" s="1182">
        <v>226.1</v>
      </c>
      <c r="F51" s="1182">
        <v>226.6</v>
      </c>
      <c r="G51" s="1182">
        <v>240.3</v>
      </c>
      <c r="H51" s="1182">
        <v>241.6</v>
      </c>
      <c r="I51" s="1182">
        <v>241.6</v>
      </c>
      <c r="J51" s="1155">
        <v>241.6</v>
      </c>
      <c r="K51" s="1192">
        <v>242.7</v>
      </c>
      <c r="L51" s="1192">
        <v>243.4</v>
      </c>
      <c r="M51" s="1192">
        <v>243.4</v>
      </c>
      <c r="N51" s="1192">
        <v>235.4</v>
      </c>
      <c r="O51" s="1163">
        <v>12</v>
      </c>
    </row>
    <row r="52" spans="1:15" x14ac:dyDescent="0.2">
      <c r="A52" s="1169">
        <v>2011</v>
      </c>
      <c r="B52" s="1153">
        <v>245.6</v>
      </c>
      <c r="C52" s="1182">
        <v>246.5</v>
      </c>
      <c r="D52" s="1182">
        <v>249.4</v>
      </c>
      <c r="E52" s="1192">
        <v>250.1</v>
      </c>
      <c r="F52" s="1192">
        <v>256.89999999999998</v>
      </c>
      <c r="G52" s="1192">
        <v>256.89999999999998</v>
      </c>
      <c r="H52" s="1192">
        <v>260</v>
      </c>
      <c r="I52" s="1226">
        <v>263.7</v>
      </c>
      <c r="J52" s="1226">
        <v>263.8</v>
      </c>
      <c r="K52" s="1226">
        <v>264.89999999999998</v>
      </c>
      <c r="L52" s="1226">
        <v>265.5</v>
      </c>
      <c r="M52" s="1226">
        <v>265.5</v>
      </c>
      <c r="N52" s="1226">
        <v>257.39999999999998</v>
      </c>
      <c r="O52" s="1163">
        <v>13</v>
      </c>
    </row>
    <row r="53" spans="1:15" s="1153" customFormat="1" x14ac:dyDescent="0.2">
      <c r="A53" s="1169">
        <v>2012</v>
      </c>
      <c r="B53" s="1226">
        <v>267.7</v>
      </c>
      <c r="C53" s="1226">
        <v>263.39999999999998</v>
      </c>
      <c r="D53" s="1196">
        <v>268.5</v>
      </c>
      <c r="E53" s="1196">
        <v>271.60000000000002</v>
      </c>
      <c r="F53" s="1196">
        <v>275.10000000000002</v>
      </c>
      <c r="G53" s="1196">
        <v>265.8</v>
      </c>
      <c r="H53" s="1226" t="s">
        <v>1471</v>
      </c>
      <c r="I53" s="1226" t="s">
        <v>1471</v>
      </c>
      <c r="J53" s="1226" t="s">
        <v>1471</v>
      </c>
      <c r="K53" s="1226" t="s">
        <v>1471</v>
      </c>
      <c r="L53" s="1226" t="s">
        <v>1471</v>
      </c>
      <c r="M53" s="1226" t="s">
        <v>1471</v>
      </c>
      <c r="N53" s="1226" t="s">
        <v>1471</v>
      </c>
      <c r="O53" s="1163">
        <v>14</v>
      </c>
    </row>
    <row r="54" spans="1:15" s="1153" customFormat="1" x14ac:dyDescent="0.2">
      <c r="A54" s="1169">
        <v>2013</v>
      </c>
      <c r="B54" s="1226" t="s">
        <v>1471</v>
      </c>
      <c r="C54" s="1226" t="s">
        <v>1471</v>
      </c>
      <c r="D54" s="1226" t="s">
        <v>1471</v>
      </c>
      <c r="E54" s="1226" t="s">
        <v>1471</v>
      </c>
      <c r="F54" s="1226" t="s">
        <v>1471</v>
      </c>
      <c r="G54" s="1226" t="s">
        <v>1471</v>
      </c>
      <c r="H54" s="1226" t="s">
        <v>1471</v>
      </c>
      <c r="I54" s="1226" t="s">
        <v>1471</v>
      </c>
      <c r="J54" s="1226" t="s">
        <v>1471</v>
      </c>
      <c r="K54" s="1226" t="s">
        <v>1471</v>
      </c>
      <c r="L54" s="1226" t="s">
        <v>1471</v>
      </c>
      <c r="M54" s="1226" t="s">
        <v>1471</v>
      </c>
      <c r="N54" s="1226" t="s">
        <v>1471</v>
      </c>
      <c r="O54" s="1163">
        <v>15</v>
      </c>
    </row>
    <row r="55" spans="1:15" s="1153" customFormat="1" x14ac:dyDescent="0.2">
      <c r="A55" s="1169">
        <v>2014</v>
      </c>
      <c r="B55" s="1226" t="s">
        <v>1471</v>
      </c>
      <c r="C55" s="1226" t="s">
        <v>1471</v>
      </c>
      <c r="D55" s="1226" t="s">
        <v>1471</v>
      </c>
      <c r="E55" s="1226" t="s">
        <v>1471</v>
      </c>
      <c r="F55" s="1226" t="s">
        <v>1471</v>
      </c>
      <c r="G55" s="1226" t="s">
        <v>1471</v>
      </c>
      <c r="H55" s="1226" t="s">
        <v>1471</v>
      </c>
      <c r="I55" s="1226" t="s">
        <v>1471</v>
      </c>
      <c r="J55" s="1226" t="s">
        <v>1471</v>
      </c>
      <c r="K55" s="1226" t="s">
        <v>1471</v>
      </c>
      <c r="L55" s="1226" t="s">
        <v>1471</v>
      </c>
      <c r="M55" s="1226" t="s">
        <v>1471</v>
      </c>
      <c r="N55" s="1226" t="s">
        <v>1471</v>
      </c>
      <c r="O55" s="1163">
        <v>16</v>
      </c>
    </row>
    <row r="56" spans="1:15" s="1153" customFormat="1" x14ac:dyDescent="0.2">
      <c r="A56" s="1169">
        <v>2015</v>
      </c>
      <c r="B56" s="1226" t="s">
        <v>1471</v>
      </c>
      <c r="C56" s="1226" t="s">
        <v>1471</v>
      </c>
      <c r="D56" s="1226" t="s">
        <v>1471</v>
      </c>
      <c r="E56" s="1226" t="s">
        <v>1471</v>
      </c>
      <c r="F56" s="1226" t="s">
        <v>1471</v>
      </c>
      <c r="G56" s="1226" t="s">
        <v>1471</v>
      </c>
      <c r="H56" s="1226" t="s">
        <v>1471</v>
      </c>
      <c r="I56" s="1226" t="s">
        <v>1471</v>
      </c>
      <c r="J56" s="1226" t="s">
        <v>1471</v>
      </c>
      <c r="K56" s="1226" t="s">
        <v>1471</v>
      </c>
      <c r="L56" s="1226" t="s">
        <v>1471</v>
      </c>
      <c r="M56" s="1226" t="s">
        <v>1471</v>
      </c>
      <c r="N56" s="1226" t="s">
        <v>1471</v>
      </c>
      <c r="O56" s="1163">
        <v>17</v>
      </c>
    </row>
    <row r="57" spans="1:15" s="1153" customFormat="1" x14ac:dyDescent="0.2">
      <c r="A57" s="1169">
        <v>2016</v>
      </c>
      <c r="B57" s="1226" t="s">
        <v>1471</v>
      </c>
      <c r="C57" s="1226" t="s">
        <v>1471</v>
      </c>
      <c r="D57" s="1226" t="s">
        <v>1471</v>
      </c>
      <c r="E57" s="1226" t="s">
        <v>1471</v>
      </c>
      <c r="F57" s="1226" t="s">
        <v>1471</v>
      </c>
      <c r="G57" s="1226" t="s">
        <v>1471</v>
      </c>
      <c r="H57" s="1226" t="s">
        <v>1471</v>
      </c>
      <c r="I57" s="1226" t="s">
        <v>1471</v>
      </c>
      <c r="J57" s="1226" t="s">
        <v>1471</v>
      </c>
      <c r="K57" s="1226" t="s">
        <v>1471</v>
      </c>
      <c r="L57" s="1226" t="s">
        <v>1471</v>
      </c>
      <c r="M57" s="1226" t="s">
        <v>1471</v>
      </c>
      <c r="N57" s="1226" t="s">
        <v>1471</v>
      </c>
      <c r="O57" s="1163">
        <v>18</v>
      </c>
    </row>
    <row r="58" spans="1:15" s="1153" customFormat="1" x14ac:dyDescent="0.2">
      <c r="A58" s="1169">
        <v>2017</v>
      </c>
      <c r="B58" s="1226" t="s">
        <v>1471</v>
      </c>
      <c r="C58" s="1226" t="s">
        <v>1471</v>
      </c>
      <c r="D58" s="1226" t="s">
        <v>1471</v>
      </c>
      <c r="E58" s="1226" t="s">
        <v>1471</v>
      </c>
      <c r="F58" s="1226" t="s">
        <v>1471</v>
      </c>
      <c r="G58" s="1226" t="s">
        <v>1471</v>
      </c>
      <c r="H58" s="1226" t="s">
        <v>1471</v>
      </c>
      <c r="I58" s="1226" t="s">
        <v>1471</v>
      </c>
      <c r="J58" s="1226" t="s">
        <v>1471</v>
      </c>
      <c r="K58" s="1226" t="s">
        <v>1471</v>
      </c>
      <c r="L58" s="1226" t="s">
        <v>1471</v>
      </c>
      <c r="M58" s="1226" t="s">
        <v>1471</v>
      </c>
      <c r="N58" s="1226" t="s">
        <v>1471</v>
      </c>
      <c r="O58" s="1163">
        <v>19</v>
      </c>
    </row>
    <row r="59" spans="1:15" s="1153" customFormat="1" x14ac:dyDescent="0.2">
      <c r="A59" s="1169">
        <v>2018</v>
      </c>
      <c r="B59" s="1226" t="s">
        <v>1471</v>
      </c>
      <c r="C59" s="1226" t="s">
        <v>1471</v>
      </c>
      <c r="D59" s="1226" t="s">
        <v>1471</v>
      </c>
      <c r="E59" s="1226" t="s">
        <v>1471</v>
      </c>
      <c r="F59" s="1226" t="s">
        <v>1471</v>
      </c>
      <c r="G59" s="1226" t="s">
        <v>1471</v>
      </c>
      <c r="H59" s="1226" t="s">
        <v>1471</v>
      </c>
      <c r="I59" s="1226" t="s">
        <v>1471</v>
      </c>
      <c r="J59" s="1226" t="s">
        <v>1471</v>
      </c>
      <c r="K59" s="1226" t="s">
        <v>1471</v>
      </c>
      <c r="L59" s="1226" t="s">
        <v>1471</v>
      </c>
      <c r="M59" s="1226" t="s">
        <v>1471</v>
      </c>
      <c r="N59" s="1226" t="s">
        <v>1471</v>
      </c>
      <c r="O59" s="1163">
        <v>20</v>
      </c>
    </row>
    <row r="60" spans="1:15" s="1153" customFormat="1" x14ac:dyDescent="0.2">
      <c r="A60" s="1169">
        <v>2019</v>
      </c>
      <c r="B60" s="1226" t="s">
        <v>1471</v>
      </c>
      <c r="C60" s="1226" t="s">
        <v>1471</v>
      </c>
      <c r="D60" s="1226" t="s">
        <v>1471</v>
      </c>
      <c r="E60" s="1226" t="s">
        <v>1471</v>
      </c>
      <c r="F60" s="1226" t="s">
        <v>1471</v>
      </c>
      <c r="G60" s="1226" t="s">
        <v>1471</v>
      </c>
      <c r="H60" s="1226" t="s">
        <v>1471</v>
      </c>
      <c r="I60" s="1226" t="s">
        <v>1471</v>
      </c>
      <c r="J60" s="1226" t="s">
        <v>1471</v>
      </c>
      <c r="K60" s="1226" t="s">
        <v>1471</v>
      </c>
      <c r="L60" s="1226" t="s">
        <v>1471</v>
      </c>
      <c r="M60" s="1226" t="s">
        <v>1471</v>
      </c>
      <c r="N60" s="1226" t="s">
        <v>1471</v>
      </c>
      <c r="O60" s="1163">
        <v>21</v>
      </c>
    </row>
    <row r="61" spans="1:15" s="1153" customFormat="1" x14ac:dyDescent="0.2">
      <c r="A61" s="1169">
        <v>2020</v>
      </c>
      <c r="B61" s="1226" t="s">
        <v>1471</v>
      </c>
      <c r="C61" s="1226" t="s">
        <v>1471</v>
      </c>
      <c r="D61" s="1226" t="s">
        <v>1471</v>
      </c>
      <c r="E61" s="1226" t="s">
        <v>1471</v>
      </c>
      <c r="F61" s="1226" t="s">
        <v>1471</v>
      </c>
      <c r="G61" s="1226" t="s">
        <v>1471</v>
      </c>
      <c r="H61" s="1226" t="s">
        <v>1471</v>
      </c>
      <c r="I61" s="1226" t="s">
        <v>1471</v>
      </c>
      <c r="J61" s="1226" t="s">
        <v>1471</v>
      </c>
      <c r="K61" s="1226" t="s">
        <v>1471</v>
      </c>
      <c r="L61" s="1226" t="s">
        <v>1471</v>
      </c>
      <c r="M61" s="1226" t="s">
        <v>1471</v>
      </c>
      <c r="N61" s="1226" t="s">
        <v>1471</v>
      </c>
      <c r="O61" s="1163">
        <v>22</v>
      </c>
    </row>
    <row r="62" spans="1:15" x14ac:dyDescent="0.2">
      <c r="A62" s="1169"/>
      <c r="B62" s="1159"/>
      <c r="C62" s="1159"/>
      <c r="D62" s="1159"/>
      <c r="E62" s="1159"/>
      <c r="F62" s="1159"/>
      <c r="G62" s="1159"/>
      <c r="H62" s="1159"/>
      <c r="I62" s="1159"/>
      <c r="J62" s="1159"/>
      <c r="K62" s="1159"/>
      <c r="L62" s="1159"/>
      <c r="M62" s="1159"/>
      <c r="N62" s="1159"/>
      <c r="O62" s="1163">
        <v>23</v>
      </c>
    </row>
    <row r="63" spans="1:15" ht="15" x14ac:dyDescent="0.3">
      <c r="A63" s="1153"/>
      <c r="B63" s="1174" t="s">
        <v>865</v>
      </c>
      <c r="C63" s="1153"/>
      <c r="D63" s="1174">
        <v>198606</v>
      </c>
      <c r="E63" s="1153"/>
      <c r="F63" s="1153"/>
      <c r="G63" s="1153"/>
      <c r="H63" s="1153"/>
      <c r="I63" s="1153"/>
      <c r="J63" s="1153"/>
      <c r="K63" s="1153"/>
      <c r="L63" s="1153"/>
      <c r="M63" s="1153"/>
      <c r="N63" s="1153"/>
      <c r="O63" s="1153"/>
    </row>
    <row r="64" spans="1:15" x14ac:dyDescent="0.2">
      <c r="A64" s="1154" t="s">
        <v>286</v>
      </c>
      <c r="B64" s="1162">
        <v>3315113</v>
      </c>
      <c r="C64" s="1154" t="s">
        <v>315</v>
      </c>
      <c r="D64" s="1153"/>
      <c r="E64" s="1153"/>
      <c r="F64" s="1153"/>
      <c r="G64" s="1153"/>
      <c r="H64" s="1153"/>
      <c r="I64" s="1153"/>
      <c r="J64" s="1153"/>
      <c r="K64" s="1153"/>
      <c r="L64" s="1153"/>
      <c r="M64" s="1153"/>
      <c r="N64" s="1153"/>
      <c r="O64" s="1153" t="s">
        <v>306</v>
      </c>
    </row>
    <row r="65" spans="1:15" x14ac:dyDescent="0.2">
      <c r="A65" s="1154"/>
      <c r="B65" s="1157" t="s">
        <v>291</v>
      </c>
      <c r="C65" s="1168" t="s">
        <v>292</v>
      </c>
      <c r="D65" s="1167" t="s">
        <v>293</v>
      </c>
      <c r="E65" s="1167" t="s">
        <v>294</v>
      </c>
      <c r="F65" s="1167" t="s">
        <v>295</v>
      </c>
      <c r="G65" s="1167" t="s">
        <v>296</v>
      </c>
      <c r="H65" s="1167" t="s">
        <v>297</v>
      </c>
      <c r="I65" s="1167" t="s">
        <v>298</v>
      </c>
      <c r="J65" s="1167" t="s">
        <v>299</v>
      </c>
      <c r="K65" s="1167" t="s">
        <v>300</v>
      </c>
      <c r="L65" s="1167" t="s">
        <v>301</v>
      </c>
      <c r="M65" s="1167" t="s">
        <v>302</v>
      </c>
      <c r="N65" s="1167" t="s">
        <v>318</v>
      </c>
      <c r="O65" s="1153"/>
    </row>
    <row r="66" spans="1:15" x14ac:dyDescent="0.2">
      <c r="A66" s="1161" t="s">
        <v>319</v>
      </c>
      <c r="B66" s="1164">
        <v>1</v>
      </c>
      <c r="C66" s="1164">
        <v>2</v>
      </c>
      <c r="D66" s="1164">
        <v>3</v>
      </c>
      <c r="E66" s="1164">
        <v>4</v>
      </c>
      <c r="F66" s="1164">
        <v>5</v>
      </c>
      <c r="G66" s="1164">
        <v>6</v>
      </c>
      <c r="H66" s="1164">
        <v>7</v>
      </c>
      <c r="I66" s="1164">
        <v>8</v>
      </c>
      <c r="J66" s="1164">
        <v>9</v>
      </c>
      <c r="K66" s="1164">
        <v>10</v>
      </c>
      <c r="L66" s="1164">
        <v>11</v>
      </c>
      <c r="M66" s="1164">
        <v>12</v>
      </c>
      <c r="N66" s="1164">
        <v>13</v>
      </c>
      <c r="O66" s="1165">
        <v>1</v>
      </c>
    </row>
    <row r="67" spans="1:15" x14ac:dyDescent="0.2">
      <c r="A67" s="1169">
        <v>2000</v>
      </c>
      <c r="B67" s="1175">
        <v>113.4</v>
      </c>
      <c r="C67" s="1175">
        <v>113.4</v>
      </c>
      <c r="D67" s="1175">
        <v>113.5</v>
      </c>
      <c r="E67" s="1175">
        <v>113.3</v>
      </c>
      <c r="F67" s="1175">
        <v>113.3</v>
      </c>
      <c r="G67" s="1175">
        <v>113.3</v>
      </c>
      <c r="H67" s="1175">
        <v>113.2</v>
      </c>
      <c r="I67" s="1175">
        <v>113.1</v>
      </c>
      <c r="J67" s="1175">
        <v>113.1</v>
      </c>
      <c r="K67" s="1175">
        <v>112.9</v>
      </c>
      <c r="L67" s="1175">
        <v>113</v>
      </c>
      <c r="M67" s="1175">
        <v>113</v>
      </c>
      <c r="N67" s="1175">
        <v>113.2</v>
      </c>
      <c r="O67" s="1163">
        <v>2</v>
      </c>
    </row>
    <row r="68" spans="1:15" x14ac:dyDescent="0.2">
      <c r="A68" s="1169">
        <v>2001</v>
      </c>
      <c r="B68" s="1175">
        <v>112.7</v>
      </c>
      <c r="C68" s="1175">
        <v>113.2</v>
      </c>
      <c r="D68" s="1175">
        <v>113.3</v>
      </c>
      <c r="E68" s="1175">
        <v>113.3</v>
      </c>
      <c r="F68" s="1175">
        <v>113.3</v>
      </c>
      <c r="G68" s="1175">
        <v>113.2</v>
      </c>
      <c r="H68" s="1175">
        <v>112.6</v>
      </c>
      <c r="I68" s="1175">
        <v>112.7</v>
      </c>
      <c r="J68" s="1175">
        <v>112.7</v>
      </c>
      <c r="K68" s="1175">
        <v>112.7</v>
      </c>
      <c r="L68" s="1175">
        <v>112.7</v>
      </c>
      <c r="M68" s="1175">
        <v>112.7</v>
      </c>
      <c r="N68" s="1175">
        <v>112.9</v>
      </c>
      <c r="O68" s="1163">
        <v>3</v>
      </c>
    </row>
    <row r="69" spans="1:15" x14ac:dyDescent="0.2">
      <c r="A69" s="1169">
        <v>2002</v>
      </c>
      <c r="B69" s="1175">
        <v>113</v>
      </c>
      <c r="C69" s="1175">
        <v>113</v>
      </c>
      <c r="D69" s="1175">
        <v>113</v>
      </c>
      <c r="E69" s="1175">
        <v>113</v>
      </c>
      <c r="F69" s="1175">
        <v>112.9</v>
      </c>
      <c r="G69" s="1175">
        <v>113.2</v>
      </c>
      <c r="H69" s="1175">
        <v>112.7</v>
      </c>
      <c r="I69" s="1175">
        <v>112.8</v>
      </c>
      <c r="J69" s="1175">
        <v>113.1</v>
      </c>
      <c r="K69" s="1175">
        <v>113.2</v>
      </c>
      <c r="L69" s="1175">
        <v>113.2</v>
      </c>
      <c r="M69" s="1175">
        <v>113.3</v>
      </c>
      <c r="N69" s="1175">
        <v>113</v>
      </c>
      <c r="O69" s="1163">
        <v>4</v>
      </c>
    </row>
    <row r="70" spans="1:15" x14ac:dyDescent="0.2">
      <c r="A70" s="1169">
        <v>2003</v>
      </c>
      <c r="B70" s="1175">
        <v>113.3</v>
      </c>
      <c r="C70" s="1175">
        <v>113.3</v>
      </c>
      <c r="D70" s="1175">
        <v>113.3</v>
      </c>
      <c r="E70" s="1175">
        <v>114</v>
      </c>
      <c r="F70" s="1175">
        <v>114.2</v>
      </c>
      <c r="G70" s="1175">
        <v>114.2</v>
      </c>
      <c r="H70" s="1175">
        <v>114.2</v>
      </c>
      <c r="I70" s="1175">
        <v>114.2</v>
      </c>
      <c r="J70" s="1175">
        <v>114.2</v>
      </c>
      <c r="K70" s="1175">
        <v>114.5</v>
      </c>
      <c r="L70" s="1175">
        <v>114.8</v>
      </c>
      <c r="M70" s="1175">
        <v>115.2</v>
      </c>
      <c r="N70" s="1175">
        <v>114.1</v>
      </c>
      <c r="O70" s="1163">
        <v>5</v>
      </c>
    </row>
    <row r="71" spans="1:15" x14ac:dyDescent="0.2">
      <c r="A71" s="1169">
        <v>2004</v>
      </c>
      <c r="B71" s="1175">
        <v>115.7</v>
      </c>
      <c r="C71" s="1175">
        <v>115.8</v>
      </c>
      <c r="D71" s="1179">
        <v>114.7</v>
      </c>
      <c r="E71" s="1179">
        <v>117.5</v>
      </c>
      <c r="F71" s="1179">
        <v>117</v>
      </c>
      <c r="G71" s="1179">
        <v>118.3</v>
      </c>
      <c r="H71" s="1179">
        <v>118.9</v>
      </c>
      <c r="I71" s="1179">
        <v>119.3</v>
      </c>
      <c r="J71" s="1175">
        <v>121.7</v>
      </c>
      <c r="K71" s="1175">
        <v>123.1</v>
      </c>
      <c r="L71" s="1175">
        <v>122.7</v>
      </c>
      <c r="M71" s="1175">
        <v>124.5</v>
      </c>
      <c r="N71" s="1175">
        <v>119.1</v>
      </c>
      <c r="O71" s="1163">
        <v>6</v>
      </c>
    </row>
    <row r="72" spans="1:15" x14ac:dyDescent="0.2">
      <c r="A72" s="1169">
        <v>2005</v>
      </c>
      <c r="B72" s="1175">
        <v>127.3</v>
      </c>
      <c r="C72" s="1186">
        <v>126.9</v>
      </c>
      <c r="D72" s="1176">
        <v>126.6</v>
      </c>
      <c r="E72" s="1176">
        <v>127.3</v>
      </c>
      <c r="F72" s="1176">
        <v>126.4</v>
      </c>
      <c r="G72" s="1176">
        <v>125.9</v>
      </c>
      <c r="H72" s="1176">
        <v>126.6</v>
      </c>
      <c r="I72" s="1176">
        <v>126.5</v>
      </c>
      <c r="J72" s="1187">
        <v>123.5</v>
      </c>
      <c r="K72" s="1179">
        <v>122.3</v>
      </c>
      <c r="L72" s="1179">
        <v>126.2</v>
      </c>
      <c r="M72" s="1179">
        <v>128</v>
      </c>
      <c r="N72" s="1179">
        <v>126.1</v>
      </c>
      <c r="O72" s="1163">
        <v>7</v>
      </c>
    </row>
    <row r="73" spans="1:15" x14ac:dyDescent="0.2">
      <c r="A73" s="1169">
        <v>2006</v>
      </c>
      <c r="B73" s="1179">
        <v>129.80000000000001</v>
      </c>
      <c r="C73" s="1180">
        <v>129.9</v>
      </c>
      <c r="D73" s="1188">
        <v>130.19999999999999</v>
      </c>
      <c r="E73" s="1181">
        <v>130.6</v>
      </c>
      <c r="F73" s="1181">
        <v>129.80000000000001</v>
      </c>
      <c r="G73" s="1181">
        <v>130.4</v>
      </c>
      <c r="H73" s="1181">
        <v>133.5</v>
      </c>
      <c r="I73" s="1188">
        <v>134.4</v>
      </c>
      <c r="J73" s="1189">
        <v>135</v>
      </c>
      <c r="K73" s="1182">
        <v>133.6</v>
      </c>
      <c r="L73" s="1182">
        <v>132.9</v>
      </c>
      <c r="M73" s="1182">
        <v>132.6</v>
      </c>
      <c r="N73" s="1182">
        <v>131.9</v>
      </c>
      <c r="O73" s="1163">
        <v>8</v>
      </c>
    </row>
    <row r="74" spans="1:15" x14ac:dyDescent="0.2">
      <c r="A74" s="1169">
        <v>2007</v>
      </c>
      <c r="B74" s="1176">
        <v>130.30000000000001</v>
      </c>
      <c r="C74" s="1176">
        <v>130.9</v>
      </c>
      <c r="D74" s="1181">
        <v>131.80000000000001</v>
      </c>
      <c r="E74" s="1181">
        <v>134.4</v>
      </c>
      <c r="F74" s="1181">
        <v>136.19999999999999</v>
      </c>
      <c r="G74" s="1181">
        <v>135.4</v>
      </c>
      <c r="H74" s="1181">
        <v>137.1</v>
      </c>
      <c r="I74" s="1182">
        <v>137.4</v>
      </c>
      <c r="J74" s="1182">
        <v>137.6</v>
      </c>
      <c r="K74" s="1182">
        <v>137.80000000000001</v>
      </c>
      <c r="L74" s="1182">
        <v>137.9</v>
      </c>
      <c r="M74" s="1182">
        <v>137.30000000000001</v>
      </c>
      <c r="N74" s="1182">
        <v>135.30000000000001</v>
      </c>
      <c r="O74" s="1163">
        <v>9</v>
      </c>
    </row>
    <row r="75" spans="1:15" x14ac:dyDescent="0.2">
      <c r="A75" s="1169">
        <v>2008</v>
      </c>
      <c r="B75" s="1183">
        <v>139.19999999999999</v>
      </c>
      <c r="C75" s="1193">
        <v>141</v>
      </c>
      <c r="D75" s="1194">
        <v>141.69999999999999</v>
      </c>
      <c r="E75" s="1194">
        <v>149.19999999999999</v>
      </c>
      <c r="F75" s="1194">
        <v>159.80000000000001</v>
      </c>
      <c r="G75" s="1194">
        <v>168</v>
      </c>
      <c r="H75" s="1195">
        <v>174.2</v>
      </c>
      <c r="I75" s="1195">
        <v>179.9</v>
      </c>
      <c r="J75" s="1195">
        <v>179.2</v>
      </c>
      <c r="K75" s="1195">
        <v>165.2</v>
      </c>
      <c r="L75" s="1195">
        <v>155</v>
      </c>
      <c r="M75" s="1195">
        <v>147.1</v>
      </c>
      <c r="N75" s="1195">
        <v>158.30000000000001</v>
      </c>
      <c r="O75" s="1163">
        <v>10</v>
      </c>
    </row>
    <row r="76" spans="1:15" x14ac:dyDescent="0.2">
      <c r="A76" s="1169">
        <v>2009</v>
      </c>
      <c r="B76" s="1156">
        <v>148.19999999999999</v>
      </c>
      <c r="C76" s="1156">
        <v>150.80000000000001</v>
      </c>
      <c r="D76" s="1156">
        <v>146.69999999999999</v>
      </c>
      <c r="E76" s="1156">
        <v>145</v>
      </c>
      <c r="F76" s="1156">
        <v>143.69999999999999</v>
      </c>
      <c r="G76" s="1156">
        <v>144.1</v>
      </c>
      <c r="H76" s="1156">
        <v>143.5</v>
      </c>
      <c r="I76" s="1156">
        <v>145.69999999999999</v>
      </c>
      <c r="J76" s="1156">
        <v>146</v>
      </c>
      <c r="K76" s="1192">
        <v>147</v>
      </c>
      <c r="L76" s="1192">
        <v>146.9</v>
      </c>
      <c r="M76" s="1192">
        <v>147.6</v>
      </c>
      <c r="N76" s="1192">
        <v>146.30000000000001</v>
      </c>
      <c r="O76" s="1163">
        <v>11</v>
      </c>
    </row>
    <row r="77" spans="1:15" x14ac:dyDescent="0.2">
      <c r="A77" s="1169">
        <v>2010</v>
      </c>
      <c r="B77" s="1156">
        <v>149.9</v>
      </c>
      <c r="C77" s="1156">
        <v>152.5</v>
      </c>
      <c r="D77" s="1156">
        <v>153.6</v>
      </c>
      <c r="E77" s="1156">
        <v>158.6</v>
      </c>
      <c r="F77" s="1156">
        <v>161.80000000000001</v>
      </c>
      <c r="G77" s="1156">
        <v>161.6</v>
      </c>
      <c r="H77" s="1156">
        <v>160.80000000000001</v>
      </c>
      <c r="I77" s="1156">
        <v>158.19999999999999</v>
      </c>
      <c r="J77" s="1155">
        <v>157.9</v>
      </c>
      <c r="K77" s="1192">
        <v>159.19999999999999</v>
      </c>
      <c r="L77" s="1192">
        <v>157.69999999999999</v>
      </c>
      <c r="M77" s="1192">
        <v>158.30000000000001</v>
      </c>
      <c r="N77" s="1192">
        <v>157.5</v>
      </c>
      <c r="O77" s="1163">
        <v>12</v>
      </c>
    </row>
    <row r="78" spans="1:15" x14ac:dyDescent="0.2">
      <c r="A78" s="1169">
        <v>2011</v>
      </c>
      <c r="B78" s="1153">
        <v>161.19999999999999</v>
      </c>
      <c r="C78" s="1156">
        <v>164.8</v>
      </c>
      <c r="D78" s="1182">
        <v>164.2</v>
      </c>
      <c r="E78" s="1192">
        <v>164.5</v>
      </c>
      <c r="F78" s="1192">
        <v>165.4</v>
      </c>
      <c r="G78" s="1192">
        <v>166</v>
      </c>
      <c r="H78" s="1192">
        <v>166.5</v>
      </c>
      <c r="I78" s="1226">
        <v>167.4</v>
      </c>
      <c r="J78" s="1226">
        <v>169.2</v>
      </c>
      <c r="K78" s="1226">
        <v>173.1</v>
      </c>
      <c r="L78" s="1226">
        <v>171.6</v>
      </c>
      <c r="M78" s="1226">
        <v>169.4</v>
      </c>
      <c r="N78" s="1226">
        <v>166.9</v>
      </c>
      <c r="O78" s="1163">
        <v>13</v>
      </c>
    </row>
    <row r="79" spans="1:15" s="1153" customFormat="1" x14ac:dyDescent="0.2">
      <c r="A79" s="1169">
        <v>2012</v>
      </c>
      <c r="B79" s="1226">
        <v>174.4</v>
      </c>
      <c r="C79" s="1226">
        <v>177</v>
      </c>
      <c r="D79" s="1196">
        <v>173.2</v>
      </c>
      <c r="E79" s="1196">
        <v>175.5</v>
      </c>
      <c r="F79" s="1196">
        <v>175.2</v>
      </c>
      <c r="G79" s="1196">
        <v>174.7</v>
      </c>
      <c r="H79" s="1226" t="s">
        <v>1471</v>
      </c>
      <c r="I79" s="1226" t="s">
        <v>1471</v>
      </c>
      <c r="J79" s="1226" t="s">
        <v>1471</v>
      </c>
      <c r="K79" s="1226" t="s">
        <v>1471</v>
      </c>
      <c r="L79" s="1226" t="s">
        <v>1471</v>
      </c>
      <c r="M79" s="1226" t="s">
        <v>1471</v>
      </c>
      <c r="N79" s="1226" t="s">
        <v>1471</v>
      </c>
      <c r="O79" s="1163">
        <v>14</v>
      </c>
    </row>
    <row r="80" spans="1:15" s="1153" customFormat="1" x14ac:dyDescent="0.2">
      <c r="A80" s="1169">
        <v>2013</v>
      </c>
      <c r="B80" s="1226" t="s">
        <v>1471</v>
      </c>
      <c r="C80" s="1226" t="s">
        <v>1471</v>
      </c>
      <c r="D80" s="1226" t="s">
        <v>1471</v>
      </c>
      <c r="E80" s="1226" t="s">
        <v>1471</v>
      </c>
      <c r="F80" s="1226" t="s">
        <v>1471</v>
      </c>
      <c r="G80" s="1226" t="s">
        <v>1471</v>
      </c>
      <c r="H80" s="1226" t="s">
        <v>1471</v>
      </c>
      <c r="I80" s="1226" t="s">
        <v>1471</v>
      </c>
      <c r="J80" s="1226" t="s">
        <v>1471</v>
      </c>
      <c r="K80" s="1226" t="s">
        <v>1471</v>
      </c>
      <c r="L80" s="1226" t="s">
        <v>1471</v>
      </c>
      <c r="M80" s="1226" t="s">
        <v>1471</v>
      </c>
      <c r="N80" s="1226" t="s">
        <v>1471</v>
      </c>
      <c r="O80" s="1163">
        <v>15</v>
      </c>
    </row>
    <row r="81" spans="1:15" s="1153" customFormat="1" x14ac:dyDescent="0.2">
      <c r="A81" s="1169">
        <v>2014</v>
      </c>
      <c r="B81" s="1226" t="s">
        <v>1471</v>
      </c>
      <c r="C81" s="1226" t="s">
        <v>1471</v>
      </c>
      <c r="D81" s="1226" t="s">
        <v>1471</v>
      </c>
      <c r="E81" s="1226" t="s">
        <v>1471</v>
      </c>
      <c r="F81" s="1226" t="s">
        <v>1471</v>
      </c>
      <c r="G81" s="1226" t="s">
        <v>1471</v>
      </c>
      <c r="H81" s="1226" t="s">
        <v>1471</v>
      </c>
      <c r="I81" s="1226" t="s">
        <v>1471</v>
      </c>
      <c r="J81" s="1226" t="s">
        <v>1471</v>
      </c>
      <c r="K81" s="1226" t="s">
        <v>1471</v>
      </c>
      <c r="L81" s="1226" t="s">
        <v>1471</v>
      </c>
      <c r="M81" s="1226" t="s">
        <v>1471</v>
      </c>
      <c r="N81" s="1226" t="s">
        <v>1471</v>
      </c>
      <c r="O81" s="1163">
        <v>16</v>
      </c>
    </row>
    <row r="82" spans="1:15" s="1153" customFormat="1" x14ac:dyDescent="0.2">
      <c r="A82" s="1169">
        <v>2015</v>
      </c>
      <c r="B82" s="1226" t="s">
        <v>1471</v>
      </c>
      <c r="C82" s="1226" t="s">
        <v>1471</v>
      </c>
      <c r="D82" s="1226" t="s">
        <v>1471</v>
      </c>
      <c r="E82" s="1226" t="s">
        <v>1471</v>
      </c>
      <c r="F82" s="1226" t="s">
        <v>1471</v>
      </c>
      <c r="G82" s="1226" t="s">
        <v>1471</v>
      </c>
      <c r="H82" s="1226" t="s">
        <v>1471</v>
      </c>
      <c r="I82" s="1226" t="s">
        <v>1471</v>
      </c>
      <c r="J82" s="1226" t="s">
        <v>1471</v>
      </c>
      <c r="K82" s="1226" t="s">
        <v>1471</v>
      </c>
      <c r="L82" s="1226" t="s">
        <v>1471</v>
      </c>
      <c r="M82" s="1226" t="s">
        <v>1471</v>
      </c>
      <c r="N82" s="1226" t="s">
        <v>1471</v>
      </c>
      <c r="O82" s="1163">
        <v>17</v>
      </c>
    </row>
    <row r="83" spans="1:15" s="1153" customFormat="1" x14ac:dyDescent="0.2">
      <c r="A83" s="1169">
        <v>2016</v>
      </c>
      <c r="B83" s="1226" t="s">
        <v>1471</v>
      </c>
      <c r="C83" s="1226" t="s">
        <v>1471</v>
      </c>
      <c r="D83" s="1226" t="s">
        <v>1471</v>
      </c>
      <c r="E83" s="1226" t="s">
        <v>1471</v>
      </c>
      <c r="F83" s="1226" t="s">
        <v>1471</v>
      </c>
      <c r="G83" s="1226" t="s">
        <v>1471</v>
      </c>
      <c r="H83" s="1226" t="s">
        <v>1471</v>
      </c>
      <c r="I83" s="1226" t="s">
        <v>1471</v>
      </c>
      <c r="J83" s="1226" t="s">
        <v>1471</v>
      </c>
      <c r="K83" s="1226" t="s">
        <v>1471</v>
      </c>
      <c r="L83" s="1226" t="s">
        <v>1471</v>
      </c>
      <c r="M83" s="1226" t="s">
        <v>1471</v>
      </c>
      <c r="N83" s="1226" t="s">
        <v>1471</v>
      </c>
      <c r="O83" s="1163">
        <v>18</v>
      </c>
    </row>
    <row r="84" spans="1:15" s="1153" customFormat="1" x14ac:dyDescent="0.2">
      <c r="A84" s="1169">
        <v>2017</v>
      </c>
      <c r="B84" s="1226" t="s">
        <v>1471</v>
      </c>
      <c r="C84" s="1226" t="s">
        <v>1471</v>
      </c>
      <c r="D84" s="1226" t="s">
        <v>1471</v>
      </c>
      <c r="E84" s="1226" t="s">
        <v>1471</v>
      </c>
      <c r="F84" s="1226" t="s">
        <v>1471</v>
      </c>
      <c r="G84" s="1226" t="s">
        <v>1471</v>
      </c>
      <c r="H84" s="1226" t="s">
        <v>1471</v>
      </c>
      <c r="I84" s="1226" t="s">
        <v>1471</v>
      </c>
      <c r="J84" s="1226" t="s">
        <v>1471</v>
      </c>
      <c r="K84" s="1226" t="s">
        <v>1471</v>
      </c>
      <c r="L84" s="1226" t="s">
        <v>1471</v>
      </c>
      <c r="M84" s="1226" t="s">
        <v>1471</v>
      </c>
      <c r="N84" s="1226" t="s">
        <v>1471</v>
      </c>
      <c r="O84" s="1163">
        <v>19</v>
      </c>
    </row>
    <row r="85" spans="1:15" s="1153" customFormat="1" x14ac:dyDescent="0.2">
      <c r="A85" s="1169">
        <v>2018</v>
      </c>
      <c r="B85" s="1226" t="s">
        <v>1471</v>
      </c>
      <c r="C85" s="1226" t="s">
        <v>1471</v>
      </c>
      <c r="D85" s="1226" t="s">
        <v>1471</v>
      </c>
      <c r="E85" s="1226" t="s">
        <v>1471</v>
      </c>
      <c r="F85" s="1226" t="s">
        <v>1471</v>
      </c>
      <c r="G85" s="1226" t="s">
        <v>1471</v>
      </c>
      <c r="H85" s="1226" t="s">
        <v>1471</v>
      </c>
      <c r="I85" s="1226" t="s">
        <v>1471</v>
      </c>
      <c r="J85" s="1226" t="s">
        <v>1471</v>
      </c>
      <c r="K85" s="1226" t="s">
        <v>1471</v>
      </c>
      <c r="L85" s="1226" t="s">
        <v>1471</v>
      </c>
      <c r="M85" s="1226" t="s">
        <v>1471</v>
      </c>
      <c r="N85" s="1226" t="s">
        <v>1471</v>
      </c>
      <c r="O85" s="1163">
        <v>20</v>
      </c>
    </row>
    <row r="86" spans="1:15" s="1153" customFormat="1" x14ac:dyDescent="0.2">
      <c r="A86" s="1169">
        <v>2019</v>
      </c>
      <c r="B86" s="1226" t="s">
        <v>1471</v>
      </c>
      <c r="C86" s="1226" t="s">
        <v>1471</v>
      </c>
      <c r="D86" s="1226" t="s">
        <v>1471</v>
      </c>
      <c r="E86" s="1226" t="s">
        <v>1471</v>
      </c>
      <c r="F86" s="1226" t="s">
        <v>1471</v>
      </c>
      <c r="G86" s="1226" t="s">
        <v>1471</v>
      </c>
      <c r="H86" s="1226" t="s">
        <v>1471</v>
      </c>
      <c r="I86" s="1226" t="s">
        <v>1471</v>
      </c>
      <c r="J86" s="1226" t="s">
        <v>1471</v>
      </c>
      <c r="K86" s="1226" t="s">
        <v>1471</v>
      </c>
      <c r="L86" s="1226" t="s">
        <v>1471</v>
      </c>
      <c r="M86" s="1226" t="s">
        <v>1471</v>
      </c>
      <c r="N86" s="1226" t="s">
        <v>1471</v>
      </c>
      <c r="O86" s="1163">
        <v>21</v>
      </c>
    </row>
    <row r="87" spans="1:15" s="1153" customFormat="1" x14ac:dyDescent="0.2">
      <c r="A87" s="1169">
        <v>2020</v>
      </c>
      <c r="B87" s="1226" t="s">
        <v>1471</v>
      </c>
      <c r="C87" s="1226" t="s">
        <v>1471</v>
      </c>
      <c r="D87" s="1226" t="s">
        <v>1471</v>
      </c>
      <c r="E87" s="1226" t="s">
        <v>1471</v>
      </c>
      <c r="F87" s="1226" t="s">
        <v>1471</v>
      </c>
      <c r="G87" s="1226" t="s">
        <v>1471</v>
      </c>
      <c r="H87" s="1226" t="s">
        <v>1471</v>
      </c>
      <c r="I87" s="1226" t="s">
        <v>1471</v>
      </c>
      <c r="J87" s="1226" t="s">
        <v>1471</v>
      </c>
      <c r="K87" s="1226" t="s">
        <v>1471</v>
      </c>
      <c r="L87" s="1226" t="s">
        <v>1471</v>
      </c>
      <c r="M87" s="1226" t="s">
        <v>1471</v>
      </c>
      <c r="N87" s="1226" t="s">
        <v>1471</v>
      </c>
      <c r="O87" s="1163">
        <v>22</v>
      </c>
    </row>
    <row r="88" spans="1:15" x14ac:dyDescent="0.2">
      <c r="A88" s="1169"/>
      <c r="B88" s="1159"/>
      <c r="C88" s="1159"/>
      <c r="D88" s="1159"/>
      <c r="E88" s="1159"/>
      <c r="F88" s="1159"/>
      <c r="G88" s="1159"/>
      <c r="H88" s="1159"/>
      <c r="I88" s="1159"/>
      <c r="J88" s="1159"/>
      <c r="K88" s="1159"/>
      <c r="L88" s="1159"/>
      <c r="M88" s="1159"/>
      <c r="N88" s="1159"/>
      <c r="O88" s="1163">
        <v>23</v>
      </c>
    </row>
    <row r="89" spans="1:15" ht="15" x14ac:dyDescent="0.3">
      <c r="A89" s="1153"/>
      <c r="B89" s="1174" t="s">
        <v>666</v>
      </c>
      <c r="C89" s="1153"/>
      <c r="D89" s="1174">
        <v>198306</v>
      </c>
      <c r="E89" s="1153"/>
      <c r="F89" s="1153"/>
      <c r="G89" s="1153"/>
      <c r="H89" s="1153"/>
      <c r="I89" s="1153"/>
      <c r="J89" s="1153"/>
      <c r="K89" s="1153"/>
      <c r="L89" s="1153"/>
      <c r="M89" s="1153"/>
      <c r="N89" s="1153"/>
      <c r="O89" s="1153"/>
    </row>
    <row r="90" spans="1:15" x14ac:dyDescent="0.2">
      <c r="A90" s="1154" t="s">
        <v>286</v>
      </c>
      <c r="B90" s="1162" t="s">
        <v>316</v>
      </c>
      <c r="C90" s="1154" t="s">
        <v>317</v>
      </c>
      <c r="D90" s="1153"/>
      <c r="E90" s="1153"/>
      <c r="F90" s="1153"/>
      <c r="G90" s="1153"/>
      <c r="H90" s="1153"/>
      <c r="I90" s="1153"/>
      <c r="J90" s="1153"/>
      <c r="K90" s="1153"/>
      <c r="L90" s="1153"/>
      <c r="M90" s="1153"/>
      <c r="N90" s="1153"/>
      <c r="O90" s="1153" t="s">
        <v>306</v>
      </c>
    </row>
    <row r="91" spans="1:15" x14ac:dyDescent="0.2">
      <c r="A91" s="1154"/>
      <c r="B91" s="1157" t="s">
        <v>291</v>
      </c>
      <c r="C91" s="1168" t="s">
        <v>292</v>
      </c>
      <c r="D91" s="1167" t="s">
        <v>293</v>
      </c>
      <c r="E91" s="1167" t="s">
        <v>294</v>
      </c>
      <c r="F91" s="1167" t="s">
        <v>295</v>
      </c>
      <c r="G91" s="1167" t="s">
        <v>296</v>
      </c>
      <c r="H91" s="1167" t="s">
        <v>297</v>
      </c>
      <c r="I91" s="1167" t="s">
        <v>298</v>
      </c>
      <c r="J91" s="1167" t="s">
        <v>299</v>
      </c>
      <c r="K91" s="1167" t="s">
        <v>300</v>
      </c>
      <c r="L91" s="1167" t="s">
        <v>301</v>
      </c>
      <c r="M91" s="1167" t="s">
        <v>302</v>
      </c>
      <c r="N91" s="1167" t="s">
        <v>318</v>
      </c>
      <c r="O91" s="1153"/>
    </row>
    <row r="92" spans="1:15" x14ac:dyDescent="0.2">
      <c r="A92" s="1161" t="s">
        <v>319</v>
      </c>
      <c r="B92" s="1164">
        <v>1</v>
      </c>
      <c r="C92" s="1164">
        <v>2</v>
      </c>
      <c r="D92" s="1164">
        <v>3</v>
      </c>
      <c r="E92" s="1164">
        <v>4</v>
      </c>
      <c r="F92" s="1164">
        <v>5</v>
      </c>
      <c r="G92" s="1164">
        <v>6</v>
      </c>
      <c r="H92" s="1164">
        <v>7</v>
      </c>
      <c r="I92" s="1164">
        <v>8</v>
      </c>
      <c r="J92" s="1164">
        <v>9</v>
      </c>
      <c r="K92" s="1164">
        <v>10</v>
      </c>
      <c r="L92" s="1164">
        <v>11</v>
      </c>
      <c r="M92" s="1164">
        <v>12</v>
      </c>
      <c r="N92" s="1164">
        <v>13</v>
      </c>
      <c r="O92" s="1165">
        <v>1</v>
      </c>
    </row>
    <row r="93" spans="1:15" x14ac:dyDescent="0.2">
      <c r="A93" s="1169">
        <v>2000</v>
      </c>
      <c r="B93" s="1175">
        <v>165.4</v>
      </c>
      <c r="C93" s="1175">
        <v>165.7</v>
      </c>
      <c r="D93" s="1175">
        <v>165.8</v>
      </c>
      <c r="E93" s="1175">
        <v>165.8</v>
      </c>
      <c r="F93" s="1175">
        <v>165.8</v>
      </c>
      <c r="G93" s="1175">
        <v>165.8</v>
      </c>
      <c r="H93" s="1175">
        <v>167</v>
      </c>
      <c r="I93" s="1175">
        <v>167.9</v>
      </c>
      <c r="J93" s="1175">
        <v>168</v>
      </c>
      <c r="K93" s="1175">
        <v>168.1</v>
      </c>
      <c r="L93" s="1175">
        <v>168.1</v>
      </c>
      <c r="M93" s="1175">
        <v>168.1</v>
      </c>
      <c r="N93" s="1175">
        <v>166.8</v>
      </c>
      <c r="O93" s="1163">
        <v>2</v>
      </c>
    </row>
    <row r="94" spans="1:15" x14ac:dyDescent="0.2">
      <c r="A94" s="1169">
        <v>2001</v>
      </c>
      <c r="B94" s="1175">
        <v>168.5</v>
      </c>
      <c r="C94" s="1175">
        <v>168.6</v>
      </c>
      <c r="D94" s="1175">
        <v>167.5</v>
      </c>
      <c r="E94" s="1175">
        <v>167.5</v>
      </c>
      <c r="F94" s="1175">
        <v>167.5</v>
      </c>
      <c r="G94" s="1175">
        <v>167.3</v>
      </c>
      <c r="H94" s="1175">
        <v>167.4</v>
      </c>
      <c r="I94" s="1175">
        <v>167.4</v>
      </c>
      <c r="J94" s="1175">
        <v>168</v>
      </c>
      <c r="K94" s="1175">
        <v>168</v>
      </c>
      <c r="L94" s="1175">
        <v>168</v>
      </c>
      <c r="M94" s="1175">
        <v>168.2</v>
      </c>
      <c r="N94" s="1175">
        <v>167.8</v>
      </c>
      <c r="O94" s="1163">
        <v>3</v>
      </c>
    </row>
    <row r="95" spans="1:15" x14ac:dyDescent="0.2">
      <c r="A95" s="1169">
        <v>2002</v>
      </c>
      <c r="B95" s="1175">
        <v>168.6</v>
      </c>
      <c r="C95" s="1175">
        <v>168.6</v>
      </c>
      <c r="D95" s="1175">
        <v>168.6</v>
      </c>
      <c r="E95" s="1175">
        <v>167.8</v>
      </c>
      <c r="F95" s="1175">
        <v>167.8</v>
      </c>
      <c r="G95" s="1175">
        <v>168.4</v>
      </c>
      <c r="H95" s="1175">
        <v>169.1</v>
      </c>
      <c r="I95" s="1175">
        <v>169.1</v>
      </c>
      <c r="J95" s="1175">
        <v>169.2</v>
      </c>
      <c r="K95" s="1175">
        <v>169.1</v>
      </c>
      <c r="L95" s="1175">
        <v>169.2</v>
      </c>
      <c r="M95" s="1175">
        <v>169.5</v>
      </c>
      <c r="N95" s="1175">
        <v>168.7</v>
      </c>
      <c r="O95" s="1163">
        <v>4</v>
      </c>
    </row>
    <row r="96" spans="1:15" x14ac:dyDescent="0.2">
      <c r="A96" s="1169">
        <v>2003</v>
      </c>
      <c r="B96" s="1175">
        <v>170.3</v>
      </c>
      <c r="C96" s="1175">
        <v>170.3</v>
      </c>
      <c r="D96" s="1175">
        <v>170.3</v>
      </c>
      <c r="E96" s="1175">
        <v>170.7</v>
      </c>
      <c r="F96" s="1175">
        <v>170.7</v>
      </c>
      <c r="G96" s="1175">
        <v>170.9</v>
      </c>
      <c r="H96" s="1175">
        <v>170.5</v>
      </c>
      <c r="I96" s="1175">
        <v>170.5</v>
      </c>
      <c r="J96" s="1175">
        <v>170.5</v>
      </c>
      <c r="K96" s="1175">
        <v>170.2</v>
      </c>
      <c r="L96" s="1175">
        <v>170.2</v>
      </c>
      <c r="M96" s="1175">
        <v>170.1</v>
      </c>
      <c r="N96" s="1175">
        <v>170.4</v>
      </c>
      <c r="O96" s="1163">
        <v>5</v>
      </c>
    </row>
    <row r="97" spans="1:15" x14ac:dyDescent="0.2">
      <c r="A97" s="1169">
        <v>2004</v>
      </c>
      <c r="B97" s="1175">
        <v>171</v>
      </c>
      <c r="C97" s="1175">
        <v>173.4</v>
      </c>
      <c r="D97" s="1175">
        <v>173.4</v>
      </c>
      <c r="E97" s="1175">
        <v>173.5</v>
      </c>
      <c r="F97" s="1175">
        <v>174.6</v>
      </c>
      <c r="G97" s="1175">
        <v>175.5</v>
      </c>
      <c r="H97" s="1175">
        <v>175.5</v>
      </c>
      <c r="I97" s="1175">
        <v>175.5</v>
      </c>
      <c r="J97" s="1175">
        <v>175.7</v>
      </c>
      <c r="K97" s="1175">
        <v>175.8</v>
      </c>
      <c r="L97" s="1175">
        <v>176.2</v>
      </c>
      <c r="M97" s="1175">
        <v>176.4</v>
      </c>
      <c r="N97" s="1175">
        <v>174.7</v>
      </c>
      <c r="O97" s="1163">
        <v>6</v>
      </c>
    </row>
    <row r="98" spans="1:15" x14ac:dyDescent="0.2">
      <c r="A98" s="1169">
        <v>2005</v>
      </c>
      <c r="B98" s="1175">
        <v>177</v>
      </c>
      <c r="C98" s="1175">
        <v>179.7</v>
      </c>
      <c r="D98" s="1179">
        <v>182.5</v>
      </c>
      <c r="E98" s="1179">
        <v>183.8</v>
      </c>
      <c r="F98" s="1179">
        <v>184.2</v>
      </c>
      <c r="G98" s="1179">
        <v>184.3</v>
      </c>
      <c r="H98" s="1179">
        <v>184.8</v>
      </c>
      <c r="I98" s="1179">
        <v>185.1</v>
      </c>
      <c r="J98" s="1179">
        <v>188.1</v>
      </c>
      <c r="K98" s="1179">
        <v>188.5</v>
      </c>
      <c r="L98" s="1179">
        <v>187.8</v>
      </c>
      <c r="M98" s="1179">
        <v>187.9</v>
      </c>
      <c r="N98" s="1179">
        <v>184.5</v>
      </c>
      <c r="O98" s="1163">
        <v>7</v>
      </c>
    </row>
    <row r="99" spans="1:15" x14ac:dyDescent="0.2">
      <c r="A99" s="1169">
        <v>2006</v>
      </c>
      <c r="B99" s="1179">
        <v>188.7</v>
      </c>
      <c r="C99" s="1180">
        <v>189.9</v>
      </c>
      <c r="D99" s="1181">
        <v>190.1</v>
      </c>
      <c r="E99" s="1181">
        <v>190.1</v>
      </c>
      <c r="F99" s="1181">
        <v>189.8</v>
      </c>
      <c r="G99" s="1181">
        <v>189.8</v>
      </c>
      <c r="H99" s="1181">
        <v>193.7</v>
      </c>
      <c r="I99" s="1182">
        <v>194.3</v>
      </c>
      <c r="J99" s="1182">
        <v>194.7</v>
      </c>
      <c r="K99" s="1182">
        <v>194.8</v>
      </c>
      <c r="L99" s="1182">
        <v>194.8</v>
      </c>
      <c r="M99" s="1182">
        <v>195.1</v>
      </c>
      <c r="N99" s="1182">
        <v>192.2</v>
      </c>
      <c r="O99" s="1163">
        <v>8</v>
      </c>
    </row>
    <row r="100" spans="1:15" x14ac:dyDescent="0.2">
      <c r="A100" s="1169">
        <v>2007</v>
      </c>
      <c r="B100" s="1176">
        <v>197.5</v>
      </c>
      <c r="C100" s="1176">
        <v>197.6</v>
      </c>
      <c r="D100" s="1181">
        <v>197.7</v>
      </c>
      <c r="E100" s="1181">
        <v>197.5</v>
      </c>
      <c r="F100" s="1181">
        <v>197.4</v>
      </c>
      <c r="G100" s="1181">
        <v>197.3</v>
      </c>
      <c r="H100" s="1181">
        <v>197.4</v>
      </c>
      <c r="I100" s="1182">
        <v>202.6</v>
      </c>
      <c r="J100" s="1182">
        <v>202.6</v>
      </c>
      <c r="K100" s="1182">
        <v>203</v>
      </c>
      <c r="L100" s="1182">
        <v>203.6</v>
      </c>
      <c r="M100" s="1182">
        <v>203.5</v>
      </c>
      <c r="N100" s="1182">
        <v>199.8</v>
      </c>
      <c r="O100" s="1163">
        <v>9</v>
      </c>
    </row>
    <row r="101" spans="1:15" x14ac:dyDescent="0.2">
      <c r="A101" s="1169">
        <v>2008</v>
      </c>
      <c r="B101" s="1183">
        <v>204.3</v>
      </c>
      <c r="C101" s="1193">
        <v>204.7</v>
      </c>
      <c r="D101" s="1194">
        <v>205.2</v>
      </c>
      <c r="E101" s="1194">
        <v>205.8</v>
      </c>
      <c r="F101" s="1194">
        <v>207.1</v>
      </c>
      <c r="G101" s="1194">
        <v>207.9</v>
      </c>
      <c r="H101" s="1194">
        <v>216.9</v>
      </c>
      <c r="I101" s="1195">
        <v>217</v>
      </c>
      <c r="J101" s="1195">
        <v>217.3</v>
      </c>
      <c r="K101" s="1195">
        <v>218.5</v>
      </c>
      <c r="L101" s="1195">
        <v>218.6</v>
      </c>
      <c r="M101" s="1195">
        <v>219.9</v>
      </c>
      <c r="N101" s="1195">
        <v>211.9</v>
      </c>
      <c r="O101" s="1163">
        <v>10</v>
      </c>
    </row>
    <row r="102" spans="1:15" x14ac:dyDescent="0.2">
      <c r="A102" s="1169">
        <v>2009</v>
      </c>
      <c r="B102" s="1156">
        <v>220.4</v>
      </c>
      <c r="C102" s="1156">
        <v>220.9</v>
      </c>
      <c r="D102" s="1156">
        <v>220</v>
      </c>
      <c r="E102" s="1156">
        <v>219.8</v>
      </c>
      <c r="F102" s="1156">
        <v>224.1</v>
      </c>
      <c r="G102" s="1156">
        <v>224.1</v>
      </c>
      <c r="H102" s="1156">
        <v>224.6</v>
      </c>
      <c r="I102" s="1156">
        <v>223.6</v>
      </c>
      <c r="J102" s="1155">
        <v>224.4</v>
      </c>
      <c r="K102" s="1192">
        <v>224.1</v>
      </c>
      <c r="L102" s="1192">
        <v>224.1</v>
      </c>
      <c r="M102" s="1192">
        <v>223.9</v>
      </c>
      <c r="N102" s="1192">
        <v>222.8</v>
      </c>
      <c r="O102" s="1163">
        <v>11</v>
      </c>
    </row>
    <row r="103" spans="1:15" x14ac:dyDescent="0.2">
      <c r="A103" s="1169">
        <v>2010</v>
      </c>
      <c r="B103" s="1156">
        <v>224.9</v>
      </c>
      <c r="C103" s="1156">
        <v>224.9</v>
      </c>
      <c r="D103" s="1156">
        <v>225</v>
      </c>
      <c r="E103" s="1156">
        <v>224.9</v>
      </c>
      <c r="F103" s="1156">
        <v>225.1</v>
      </c>
      <c r="G103" s="1156">
        <v>225.1</v>
      </c>
      <c r="H103" s="1156">
        <v>225.5</v>
      </c>
      <c r="I103" s="1156">
        <v>229.9</v>
      </c>
      <c r="J103" s="1155">
        <v>229.8</v>
      </c>
      <c r="K103" s="1192">
        <v>229.9</v>
      </c>
      <c r="L103" s="1192">
        <v>230.1</v>
      </c>
      <c r="M103" s="1192">
        <v>230.4</v>
      </c>
      <c r="N103" s="1192">
        <v>227.1</v>
      </c>
      <c r="O103" s="1163">
        <v>12</v>
      </c>
    </row>
    <row r="104" spans="1:15" x14ac:dyDescent="0.2">
      <c r="A104" s="1169">
        <v>2011</v>
      </c>
      <c r="B104" s="1153">
        <v>230.5</v>
      </c>
      <c r="C104" s="1156">
        <v>230.4</v>
      </c>
      <c r="D104" s="1182">
        <v>230.8</v>
      </c>
      <c r="E104" s="1192">
        <v>231.8</v>
      </c>
      <c r="F104" s="1192">
        <v>232</v>
      </c>
      <c r="G104" s="1192">
        <v>237.4</v>
      </c>
      <c r="H104" s="1192">
        <v>238</v>
      </c>
      <c r="I104" s="1226">
        <v>238.3</v>
      </c>
      <c r="J104" s="1226">
        <v>238.3</v>
      </c>
      <c r="K104" s="1226">
        <v>238.4</v>
      </c>
      <c r="L104" s="1226">
        <v>238.7</v>
      </c>
      <c r="M104" s="1226">
        <v>239.3</v>
      </c>
      <c r="N104" s="1226">
        <v>235.3</v>
      </c>
      <c r="O104" s="1163">
        <v>13</v>
      </c>
    </row>
    <row r="105" spans="1:15" s="1153" customFormat="1" x14ac:dyDescent="0.2">
      <c r="A105" s="1169">
        <v>2012</v>
      </c>
      <c r="B105" s="1226">
        <v>239.6</v>
      </c>
      <c r="C105" s="1226">
        <v>239.8</v>
      </c>
      <c r="D105" s="1196">
        <v>239.9</v>
      </c>
      <c r="E105" s="1196">
        <v>239.9</v>
      </c>
      <c r="F105" s="1196">
        <v>240.4</v>
      </c>
      <c r="G105" s="1196">
        <v>246</v>
      </c>
      <c r="H105" s="1226" t="s">
        <v>1471</v>
      </c>
      <c r="I105" s="1226" t="s">
        <v>1471</v>
      </c>
      <c r="J105" s="1226" t="s">
        <v>1471</v>
      </c>
      <c r="K105" s="1226" t="s">
        <v>1471</v>
      </c>
      <c r="L105" s="1226" t="s">
        <v>1471</v>
      </c>
      <c r="M105" s="1226" t="s">
        <v>1471</v>
      </c>
      <c r="N105" s="1226" t="s">
        <v>1471</v>
      </c>
      <c r="O105" s="1163">
        <v>14</v>
      </c>
    </row>
    <row r="106" spans="1:15" s="1153" customFormat="1" x14ac:dyDescent="0.2">
      <c r="A106" s="1169">
        <v>2013</v>
      </c>
      <c r="B106" s="1226" t="s">
        <v>1471</v>
      </c>
      <c r="C106" s="1226" t="s">
        <v>1471</v>
      </c>
      <c r="D106" s="1226" t="s">
        <v>1471</v>
      </c>
      <c r="E106" s="1226" t="s">
        <v>1471</v>
      </c>
      <c r="F106" s="1226" t="s">
        <v>1471</v>
      </c>
      <c r="G106" s="1226" t="s">
        <v>1471</v>
      </c>
      <c r="H106" s="1226" t="s">
        <v>1471</v>
      </c>
      <c r="I106" s="1226" t="s">
        <v>1471</v>
      </c>
      <c r="J106" s="1226" t="s">
        <v>1471</v>
      </c>
      <c r="K106" s="1226" t="s">
        <v>1471</v>
      </c>
      <c r="L106" s="1226" t="s">
        <v>1471</v>
      </c>
      <c r="M106" s="1226" t="s">
        <v>1471</v>
      </c>
      <c r="N106" s="1226" t="s">
        <v>1471</v>
      </c>
      <c r="O106" s="1163">
        <v>15</v>
      </c>
    </row>
    <row r="107" spans="1:15" s="1153" customFormat="1" x14ac:dyDescent="0.2">
      <c r="A107" s="1169">
        <v>2014</v>
      </c>
      <c r="B107" s="1226" t="s">
        <v>1471</v>
      </c>
      <c r="C107" s="1226" t="s">
        <v>1471</v>
      </c>
      <c r="D107" s="1226" t="s">
        <v>1471</v>
      </c>
      <c r="E107" s="1226" t="s">
        <v>1471</v>
      </c>
      <c r="F107" s="1226" t="s">
        <v>1471</v>
      </c>
      <c r="G107" s="1226" t="s">
        <v>1471</v>
      </c>
      <c r="H107" s="1226" t="s">
        <v>1471</v>
      </c>
      <c r="I107" s="1226" t="s">
        <v>1471</v>
      </c>
      <c r="J107" s="1226" t="s">
        <v>1471</v>
      </c>
      <c r="K107" s="1226" t="s">
        <v>1471</v>
      </c>
      <c r="L107" s="1226" t="s">
        <v>1471</v>
      </c>
      <c r="M107" s="1226" t="s">
        <v>1471</v>
      </c>
      <c r="N107" s="1226" t="s">
        <v>1471</v>
      </c>
      <c r="O107" s="1163">
        <v>16</v>
      </c>
    </row>
    <row r="108" spans="1:15" s="1153" customFormat="1" x14ac:dyDescent="0.2">
      <c r="A108" s="1169">
        <v>2015</v>
      </c>
      <c r="B108" s="1226" t="s">
        <v>1471</v>
      </c>
      <c r="C108" s="1226" t="s">
        <v>1471</v>
      </c>
      <c r="D108" s="1226" t="s">
        <v>1471</v>
      </c>
      <c r="E108" s="1226" t="s">
        <v>1471</v>
      </c>
      <c r="F108" s="1226" t="s">
        <v>1471</v>
      </c>
      <c r="G108" s="1226" t="s">
        <v>1471</v>
      </c>
      <c r="H108" s="1226" t="s">
        <v>1471</v>
      </c>
      <c r="I108" s="1226" t="s">
        <v>1471</v>
      </c>
      <c r="J108" s="1226" t="s">
        <v>1471</v>
      </c>
      <c r="K108" s="1226" t="s">
        <v>1471</v>
      </c>
      <c r="L108" s="1226" t="s">
        <v>1471</v>
      </c>
      <c r="M108" s="1226" t="s">
        <v>1471</v>
      </c>
      <c r="N108" s="1226" t="s">
        <v>1471</v>
      </c>
      <c r="O108" s="1163">
        <v>17</v>
      </c>
    </row>
    <row r="109" spans="1:15" s="1153" customFormat="1" x14ac:dyDescent="0.2">
      <c r="A109" s="1169">
        <v>2016</v>
      </c>
      <c r="B109" s="1226" t="s">
        <v>1471</v>
      </c>
      <c r="C109" s="1226" t="s">
        <v>1471</v>
      </c>
      <c r="D109" s="1226" t="s">
        <v>1471</v>
      </c>
      <c r="E109" s="1226" t="s">
        <v>1471</v>
      </c>
      <c r="F109" s="1226" t="s">
        <v>1471</v>
      </c>
      <c r="G109" s="1226" t="s">
        <v>1471</v>
      </c>
      <c r="H109" s="1226" t="s">
        <v>1471</v>
      </c>
      <c r="I109" s="1226" t="s">
        <v>1471</v>
      </c>
      <c r="J109" s="1226" t="s">
        <v>1471</v>
      </c>
      <c r="K109" s="1226" t="s">
        <v>1471</v>
      </c>
      <c r="L109" s="1226" t="s">
        <v>1471</v>
      </c>
      <c r="M109" s="1226" t="s">
        <v>1471</v>
      </c>
      <c r="N109" s="1226" t="s">
        <v>1471</v>
      </c>
      <c r="O109" s="1163">
        <v>18</v>
      </c>
    </row>
    <row r="110" spans="1:15" s="1153" customFormat="1" x14ac:dyDescent="0.2">
      <c r="A110" s="1169">
        <v>2017</v>
      </c>
      <c r="B110" s="1226" t="s">
        <v>1471</v>
      </c>
      <c r="C110" s="1226" t="s">
        <v>1471</v>
      </c>
      <c r="D110" s="1226" t="s">
        <v>1471</v>
      </c>
      <c r="E110" s="1226" t="s">
        <v>1471</v>
      </c>
      <c r="F110" s="1226" t="s">
        <v>1471</v>
      </c>
      <c r="G110" s="1226" t="s">
        <v>1471</v>
      </c>
      <c r="H110" s="1226" t="s">
        <v>1471</v>
      </c>
      <c r="I110" s="1226" t="s">
        <v>1471</v>
      </c>
      <c r="J110" s="1226" t="s">
        <v>1471</v>
      </c>
      <c r="K110" s="1226" t="s">
        <v>1471</v>
      </c>
      <c r="L110" s="1226" t="s">
        <v>1471</v>
      </c>
      <c r="M110" s="1226" t="s">
        <v>1471</v>
      </c>
      <c r="N110" s="1226" t="s">
        <v>1471</v>
      </c>
      <c r="O110" s="1163">
        <v>19</v>
      </c>
    </row>
    <row r="111" spans="1:15" s="1153" customFormat="1" x14ac:dyDescent="0.2">
      <c r="A111" s="1169">
        <v>2018</v>
      </c>
      <c r="B111" s="1226" t="s">
        <v>1471</v>
      </c>
      <c r="C111" s="1226" t="s">
        <v>1471</v>
      </c>
      <c r="D111" s="1226" t="s">
        <v>1471</v>
      </c>
      <c r="E111" s="1226" t="s">
        <v>1471</v>
      </c>
      <c r="F111" s="1226" t="s">
        <v>1471</v>
      </c>
      <c r="G111" s="1226" t="s">
        <v>1471</v>
      </c>
      <c r="H111" s="1226" t="s">
        <v>1471</v>
      </c>
      <c r="I111" s="1226" t="s">
        <v>1471</v>
      </c>
      <c r="J111" s="1226" t="s">
        <v>1471</v>
      </c>
      <c r="K111" s="1226" t="s">
        <v>1471</v>
      </c>
      <c r="L111" s="1226" t="s">
        <v>1471</v>
      </c>
      <c r="M111" s="1226" t="s">
        <v>1471</v>
      </c>
      <c r="N111" s="1226" t="s">
        <v>1471</v>
      </c>
      <c r="O111" s="1163">
        <v>20</v>
      </c>
    </row>
    <row r="112" spans="1:15" s="1153" customFormat="1" x14ac:dyDescent="0.2">
      <c r="A112" s="1169">
        <v>2019</v>
      </c>
      <c r="B112" s="1226" t="s">
        <v>1471</v>
      </c>
      <c r="C112" s="1226" t="s">
        <v>1471</v>
      </c>
      <c r="D112" s="1226" t="s">
        <v>1471</v>
      </c>
      <c r="E112" s="1226" t="s">
        <v>1471</v>
      </c>
      <c r="F112" s="1226" t="s">
        <v>1471</v>
      </c>
      <c r="G112" s="1226" t="s">
        <v>1471</v>
      </c>
      <c r="H112" s="1226" t="s">
        <v>1471</v>
      </c>
      <c r="I112" s="1226" t="s">
        <v>1471</v>
      </c>
      <c r="J112" s="1226" t="s">
        <v>1471</v>
      </c>
      <c r="K112" s="1226" t="s">
        <v>1471</v>
      </c>
      <c r="L112" s="1226" t="s">
        <v>1471</v>
      </c>
      <c r="M112" s="1226" t="s">
        <v>1471</v>
      </c>
      <c r="N112" s="1226" t="s">
        <v>1471</v>
      </c>
      <c r="O112" s="1163">
        <v>21</v>
      </c>
    </row>
    <row r="113" spans="1:15" s="1153" customFormat="1" x14ac:dyDescent="0.2">
      <c r="A113" s="1169">
        <v>2020</v>
      </c>
      <c r="B113" s="1226" t="s">
        <v>1471</v>
      </c>
      <c r="C113" s="1226" t="s">
        <v>1471</v>
      </c>
      <c r="D113" s="1226" t="s">
        <v>1471</v>
      </c>
      <c r="E113" s="1226" t="s">
        <v>1471</v>
      </c>
      <c r="F113" s="1226" t="s">
        <v>1471</v>
      </c>
      <c r="G113" s="1226" t="s">
        <v>1471</v>
      </c>
      <c r="H113" s="1226" t="s">
        <v>1471</v>
      </c>
      <c r="I113" s="1226" t="s">
        <v>1471</v>
      </c>
      <c r="J113" s="1226" t="s">
        <v>1471</v>
      </c>
      <c r="K113" s="1226" t="s">
        <v>1471</v>
      </c>
      <c r="L113" s="1226" t="s">
        <v>1471</v>
      </c>
      <c r="M113" s="1226" t="s">
        <v>1471</v>
      </c>
      <c r="N113" s="1226" t="s">
        <v>1471</v>
      </c>
      <c r="O113" s="1163">
        <v>22</v>
      </c>
    </row>
    <row r="114" spans="1:15" x14ac:dyDescent="0.2">
      <c r="A114" s="1169"/>
      <c r="B114" s="1159"/>
      <c r="C114" s="1159"/>
      <c r="D114" s="1159"/>
      <c r="E114" s="1159"/>
      <c r="F114" s="1159"/>
      <c r="G114" s="1159"/>
      <c r="H114" s="1159"/>
      <c r="I114" s="1159"/>
      <c r="J114" s="1159"/>
      <c r="K114" s="1159"/>
      <c r="L114" s="1159"/>
      <c r="M114" s="1159"/>
      <c r="N114" s="1159"/>
      <c r="O114" s="1163">
        <v>23</v>
      </c>
    </row>
    <row r="115" spans="1:15" ht="15" x14ac:dyDescent="0.3">
      <c r="A115" s="1153"/>
      <c r="B115" s="1174" t="s">
        <v>667</v>
      </c>
      <c r="C115" s="1153"/>
      <c r="D115" s="1174">
        <v>198306</v>
      </c>
      <c r="E115" s="1153"/>
      <c r="F115" s="1153"/>
      <c r="G115" s="1153"/>
      <c r="H115" s="1153"/>
      <c r="I115" s="1153"/>
      <c r="J115" s="1153"/>
      <c r="K115" s="1153"/>
      <c r="L115" s="1153"/>
      <c r="M115" s="1153"/>
      <c r="N115" s="1153"/>
      <c r="O115" s="1153"/>
    </row>
    <row r="116" spans="1:15" x14ac:dyDescent="0.2">
      <c r="A116" s="1154" t="s">
        <v>286</v>
      </c>
      <c r="B116" s="1162">
        <v>3353123</v>
      </c>
      <c r="C116" s="1154" t="s">
        <v>320</v>
      </c>
      <c r="D116" s="1153"/>
      <c r="E116" s="1153"/>
      <c r="F116" s="1153"/>
      <c r="G116" s="1153"/>
      <c r="H116" s="1153"/>
      <c r="I116" s="1153"/>
      <c r="J116" s="1153"/>
      <c r="K116" s="1153"/>
      <c r="L116" s="1153"/>
      <c r="M116" s="1153"/>
      <c r="N116" s="1153"/>
      <c r="O116" s="1153" t="s">
        <v>306</v>
      </c>
    </row>
    <row r="117" spans="1:15" x14ac:dyDescent="0.2">
      <c r="A117" s="1154"/>
      <c r="B117" s="1157" t="s">
        <v>291</v>
      </c>
      <c r="C117" s="1168" t="s">
        <v>292</v>
      </c>
      <c r="D117" s="1167" t="s">
        <v>293</v>
      </c>
      <c r="E117" s="1167" t="s">
        <v>294</v>
      </c>
      <c r="F117" s="1167" t="s">
        <v>295</v>
      </c>
      <c r="G117" s="1167" t="s">
        <v>296</v>
      </c>
      <c r="H117" s="1167" t="s">
        <v>297</v>
      </c>
      <c r="I117" s="1167" t="s">
        <v>298</v>
      </c>
      <c r="J117" s="1167" t="s">
        <v>299</v>
      </c>
      <c r="K117" s="1167" t="s">
        <v>300</v>
      </c>
      <c r="L117" s="1167" t="s">
        <v>301</v>
      </c>
      <c r="M117" s="1167" t="s">
        <v>302</v>
      </c>
      <c r="N117" s="1167" t="s">
        <v>318</v>
      </c>
      <c r="O117" s="1153"/>
    </row>
    <row r="118" spans="1:15" x14ac:dyDescent="0.2">
      <c r="A118" s="1161" t="s">
        <v>319</v>
      </c>
      <c r="B118" s="1164">
        <v>1</v>
      </c>
      <c r="C118" s="1164">
        <v>2</v>
      </c>
      <c r="D118" s="1164">
        <v>3</v>
      </c>
      <c r="E118" s="1164">
        <v>4</v>
      </c>
      <c r="F118" s="1164">
        <v>5</v>
      </c>
      <c r="G118" s="1164">
        <v>6</v>
      </c>
      <c r="H118" s="1164">
        <v>7</v>
      </c>
      <c r="I118" s="1164">
        <v>8</v>
      </c>
      <c r="J118" s="1164">
        <v>9</v>
      </c>
      <c r="K118" s="1164">
        <v>10</v>
      </c>
      <c r="L118" s="1164">
        <v>11</v>
      </c>
      <c r="M118" s="1164">
        <v>12</v>
      </c>
      <c r="N118" s="1164">
        <v>13</v>
      </c>
      <c r="O118" s="1165">
        <v>1</v>
      </c>
    </row>
    <row r="119" spans="1:15" x14ac:dyDescent="0.2">
      <c r="A119" s="1169">
        <v>2000</v>
      </c>
      <c r="B119" s="1175">
        <v>147.1</v>
      </c>
      <c r="C119" s="1175">
        <v>146.80000000000001</v>
      </c>
      <c r="D119" s="1175">
        <v>147.30000000000001</v>
      </c>
      <c r="E119" s="1175">
        <v>147.6</v>
      </c>
      <c r="F119" s="1175">
        <v>147.6</v>
      </c>
      <c r="G119" s="1175">
        <v>147.6</v>
      </c>
      <c r="H119" s="1175">
        <v>147.6</v>
      </c>
      <c r="I119" s="1175">
        <v>147.69999999999999</v>
      </c>
      <c r="J119" s="1175">
        <v>147.80000000000001</v>
      </c>
      <c r="K119" s="1175">
        <v>147.4</v>
      </c>
      <c r="L119" s="1175">
        <v>147.4</v>
      </c>
      <c r="M119" s="1175">
        <v>147.4</v>
      </c>
      <c r="N119" s="1175">
        <v>147.5</v>
      </c>
      <c r="O119" s="1163">
        <v>2</v>
      </c>
    </row>
    <row r="120" spans="1:15" x14ac:dyDescent="0.2">
      <c r="A120" s="1169">
        <v>2001</v>
      </c>
      <c r="B120" s="1175">
        <v>147.69999999999999</v>
      </c>
      <c r="C120" s="1175">
        <v>148</v>
      </c>
      <c r="D120" s="1175">
        <v>149.1</v>
      </c>
      <c r="E120" s="1175">
        <v>149.1</v>
      </c>
      <c r="F120" s="1175">
        <v>149.30000000000001</v>
      </c>
      <c r="G120" s="1175">
        <v>149</v>
      </c>
      <c r="H120" s="1175">
        <v>149</v>
      </c>
      <c r="I120" s="1175">
        <v>149</v>
      </c>
      <c r="J120" s="1175">
        <v>148.9</v>
      </c>
      <c r="K120" s="1175">
        <v>149</v>
      </c>
      <c r="L120" s="1175">
        <v>149.5</v>
      </c>
      <c r="M120" s="1175">
        <v>149.69999999999999</v>
      </c>
      <c r="N120" s="1175">
        <v>148.9</v>
      </c>
      <c r="O120" s="1163">
        <v>3</v>
      </c>
    </row>
    <row r="121" spans="1:15" x14ac:dyDescent="0.2">
      <c r="A121" s="1169">
        <v>2002</v>
      </c>
      <c r="B121" s="1175">
        <v>150</v>
      </c>
      <c r="C121" s="1175">
        <v>149.9</v>
      </c>
      <c r="D121" s="1175">
        <v>149.9</v>
      </c>
      <c r="E121" s="1175">
        <v>150</v>
      </c>
      <c r="F121" s="1175">
        <v>150.30000000000001</v>
      </c>
      <c r="G121" s="1175">
        <v>150.30000000000001</v>
      </c>
      <c r="H121" s="1175">
        <v>150.30000000000001</v>
      </c>
      <c r="I121" s="1175">
        <v>150.30000000000001</v>
      </c>
      <c r="J121" s="1175">
        <v>149.6</v>
      </c>
      <c r="K121" s="1175">
        <v>149.69999999999999</v>
      </c>
      <c r="L121" s="1175">
        <v>149.6</v>
      </c>
      <c r="M121" s="1175">
        <v>149.5</v>
      </c>
      <c r="N121" s="1175">
        <v>149.9</v>
      </c>
      <c r="O121" s="1163">
        <v>4</v>
      </c>
    </row>
    <row r="122" spans="1:15" x14ac:dyDescent="0.2">
      <c r="A122" s="1169">
        <v>2003</v>
      </c>
      <c r="B122" s="1175">
        <v>149.5</v>
      </c>
      <c r="C122" s="1175">
        <v>149.30000000000001</v>
      </c>
      <c r="D122" s="1175">
        <v>149.4</v>
      </c>
      <c r="E122" s="1175">
        <v>149.30000000000001</v>
      </c>
      <c r="F122" s="1175">
        <v>149.19999999999999</v>
      </c>
      <c r="G122" s="1175">
        <v>149.19999999999999</v>
      </c>
      <c r="H122" s="1175">
        <v>149.19999999999999</v>
      </c>
      <c r="I122" s="1175">
        <v>149.19999999999999</v>
      </c>
      <c r="J122" s="1175">
        <v>149.19999999999999</v>
      </c>
      <c r="K122" s="1175">
        <v>149.1</v>
      </c>
      <c r="L122" s="1175">
        <v>149.1</v>
      </c>
      <c r="M122" s="1175">
        <v>149.4</v>
      </c>
      <c r="N122" s="1175">
        <v>149.30000000000001</v>
      </c>
      <c r="O122" s="1163">
        <v>5</v>
      </c>
    </row>
    <row r="123" spans="1:15" x14ac:dyDescent="0.2">
      <c r="A123" s="1169">
        <v>2004</v>
      </c>
      <c r="B123" s="1175">
        <v>149.4</v>
      </c>
      <c r="C123" s="1175">
        <v>149.4</v>
      </c>
      <c r="D123" s="1175">
        <v>150.19999999999999</v>
      </c>
      <c r="E123" s="1175">
        <v>150.5</v>
      </c>
      <c r="F123" s="1175">
        <v>150.69999999999999</v>
      </c>
      <c r="G123" s="1175">
        <v>153.5</v>
      </c>
      <c r="H123" s="1175">
        <v>153.9</v>
      </c>
      <c r="I123" s="1175">
        <v>153.9</v>
      </c>
      <c r="J123" s="1175">
        <v>153.9</v>
      </c>
      <c r="K123" s="1175">
        <v>154</v>
      </c>
      <c r="L123" s="1175">
        <v>154</v>
      </c>
      <c r="M123" s="1175">
        <v>157.30000000000001</v>
      </c>
      <c r="N123" s="1175">
        <v>152.6</v>
      </c>
      <c r="O123" s="1163">
        <v>6</v>
      </c>
    </row>
    <row r="124" spans="1:15" x14ac:dyDescent="0.2">
      <c r="A124" s="1169">
        <v>2005</v>
      </c>
      <c r="B124" s="1175">
        <v>160.5</v>
      </c>
      <c r="C124" s="1175">
        <v>160.5</v>
      </c>
      <c r="D124" s="1179">
        <v>160.9</v>
      </c>
      <c r="E124" s="1179">
        <v>160.9</v>
      </c>
      <c r="F124" s="1179">
        <v>161.1</v>
      </c>
      <c r="G124" s="1179">
        <v>161.9</v>
      </c>
      <c r="H124" s="1179">
        <v>162.5</v>
      </c>
      <c r="I124" s="1179">
        <v>162.80000000000001</v>
      </c>
      <c r="J124" s="1179">
        <v>162.5</v>
      </c>
      <c r="K124" s="1179">
        <v>163.6</v>
      </c>
      <c r="L124" s="1179">
        <v>167.4</v>
      </c>
      <c r="M124" s="1179">
        <v>169.1</v>
      </c>
      <c r="N124" s="1179">
        <v>162.80000000000001</v>
      </c>
      <c r="O124" s="1163">
        <v>7</v>
      </c>
    </row>
    <row r="125" spans="1:15" x14ac:dyDescent="0.2">
      <c r="A125" s="1169">
        <v>2006</v>
      </c>
      <c r="B125" s="1179">
        <v>168.5</v>
      </c>
      <c r="C125" s="1180">
        <v>168.5</v>
      </c>
      <c r="D125" s="1181">
        <v>168.6</v>
      </c>
      <c r="E125" s="1181">
        <v>171</v>
      </c>
      <c r="F125" s="1181">
        <v>171</v>
      </c>
      <c r="G125" s="1181">
        <v>171</v>
      </c>
      <c r="H125" s="1181">
        <v>171.8</v>
      </c>
      <c r="I125" s="1182">
        <v>179</v>
      </c>
      <c r="J125" s="1182">
        <v>180.3</v>
      </c>
      <c r="K125" s="1182">
        <v>181.7</v>
      </c>
      <c r="L125" s="1182">
        <v>181.7</v>
      </c>
      <c r="M125" s="1182">
        <v>181.8</v>
      </c>
      <c r="N125" s="1182">
        <v>174.6</v>
      </c>
      <c r="O125" s="1163">
        <v>8</v>
      </c>
    </row>
    <row r="126" spans="1:15" x14ac:dyDescent="0.2">
      <c r="A126" s="1169">
        <v>2007</v>
      </c>
      <c r="B126" s="1176">
        <v>183.8</v>
      </c>
      <c r="C126" s="1176">
        <v>183.8</v>
      </c>
      <c r="D126" s="1181">
        <v>183.8</v>
      </c>
      <c r="E126" s="1181">
        <v>185.7</v>
      </c>
      <c r="F126" s="1181">
        <v>186</v>
      </c>
      <c r="G126" s="1181">
        <v>188.8</v>
      </c>
      <c r="H126" s="1181">
        <v>188.9</v>
      </c>
      <c r="I126" s="1182">
        <v>189</v>
      </c>
      <c r="J126" s="1182">
        <v>189.1</v>
      </c>
      <c r="K126" s="1182">
        <v>190.6</v>
      </c>
      <c r="L126" s="1182">
        <v>191.9</v>
      </c>
      <c r="M126" s="1182">
        <v>192.6</v>
      </c>
      <c r="N126" s="1182">
        <v>187.8</v>
      </c>
      <c r="O126" s="1163">
        <v>9</v>
      </c>
    </row>
    <row r="127" spans="1:15" x14ac:dyDescent="0.2">
      <c r="A127" s="1169">
        <v>2008</v>
      </c>
      <c r="B127" s="1183">
        <v>193.4</v>
      </c>
      <c r="C127" s="1193">
        <v>193.8</v>
      </c>
      <c r="D127" s="1194">
        <v>194.8</v>
      </c>
      <c r="E127" s="1194">
        <v>197.8</v>
      </c>
      <c r="F127" s="1194">
        <v>200.3</v>
      </c>
      <c r="G127" s="1194">
        <v>202.4</v>
      </c>
      <c r="H127" s="1194">
        <v>209.6</v>
      </c>
      <c r="I127" s="1195">
        <v>210.4</v>
      </c>
      <c r="J127" s="1195">
        <v>211.8</v>
      </c>
      <c r="K127" s="1195">
        <v>213.1</v>
      </c>
      <c r="L127" s="1195">
        <v>214</v>
      </c>
      <c r="M127" s="1195">
        <v>214</v>
      </c>
      <c r="N127" s="1195">
        <v>204.6</v>
      </c>
      <c r="O127" s="1163">
        <v>10</v>
      </c>
    </row>
    <row r="128" spans="1:15" x14ac:dyDescent="0.2">
      <c r="A128" s="1169">
        <v>2009</v>
      </c>
      <c r="B128" s="1156">
        <v>213.7</v>
      </c>
      <c r="C128" s="1156">
        <v>214.4</v>
      </c>
      <c r="D128" s="1156">
        <v>214.1</v>
      </c>
      <c r="E128" s="1156">
        <v>210.9</v>
      </c>
      <c r="F128" s="1156">
        <v>210.3</v>
      </c>
      <c r="G128" s="1156">
        <v>209.3</v>
      </c>
      <c r="H128" s="1156">
        <v>208.8</v>
      </c>
      <c r="I128" s="1156">
        <v>208.9</v>
      </c>
      <c r="J128" s="1197">
        <v>208.4</v>
      </c>
      <c r="K128" s="1197">
        <v>207.5</v>
      </c>
      <c r="L128" s="1197">
        <v>207.5</v>
      </c>
      <c r="M128" s="1197">
        <v>207.7</v>
      </c>
      <c r="N128" s="1197">
        <v>210.1</v>
      </c>
      <c r="O128" s="1163">
        <v>11</v>
      </c>
    </row>
    <row r="129" spans="1:15" x14ac:dyDescent="0.2">
      <c r="A129" s="1169">
        <v>2010</v>
      </c>
      <c r="B129" s="1156">
        <v>207.4</v>
      </c>
      <c r="C129" s="1156">
        <v>206.4</v>
      </c>
      <c r="D129" s="1156">
        <v>206.9</v>
      </c>
      <c r="E129" s="1156">
        <v>207.3</v>
      </c>
      <c r="F129" s="1156">
        <v>207.5</v>
      </c>
      <c r="G129" s="1156">
        <v>221.5</v>
      </c>
      <c r="H129" s="1156">
        <v>221.8</v>
      </c>
      <c r="I129" s="1156">
        <v>222.5</v>
      </c>
      <c r="J129" s="1155">
        <v>222.9</v>
      </c>
      <c r="K129" s="1192">
        <v>223.3</v>
      </c>
      <c r="L129" s="1192">
        <v>223.3</v>
      </c>
      <c r="M129" s="1192">
        <v>223.4</v>
      </c>
      <c r="N129" s="1192">
        <v>216.2</v>
      </c>
      <c r="O129" s="1163">
        <v>12</v>
      </c>
    </row>
    <row r="130" spans="1:15" x14ac:dyDescent="0.2">
      <c r="A130" s="1169">
        <v>2011</v>
      </c>
      <c r="B130" s="1153">
        <v>231.9</v>
      </c>
      <c r="C130" s="1156">
        <v>233</v>
      </c>
      <c r="D130" s="1182">
        <v>234.1</v>
      </c>
      <c r="E130" s="1192">
        <v>234.4</v>
      </c>
      <c r="F130" s="1192">
        <v>234.8</v>
      </c>
      <c r="G130" s="1192">
        <v>245.1</v>
      </c>
      <c r="H130" s="1192">
        <v>244.8</v>
      </c>
      <c r="I130" s="1226">
        <v>244.6</v>
      </c>
      <c r="J130" s="1226">
        <v>244.6</v>
      </c>
      <c r="K130" s="1226">
        <v>244.8</v>
      </c>
      <c r="L130" s="1226">
        <v>245.1</v>
      </c>
      <c r="M130" s="1226">
        <v>246.2</v>
      </c>
      <c r="N130" s="1226">
        <v>240.3</v>
      </c>
      <c r="O130" s="1163">
        <v>13</v>
      </c>
    </row>
    <row r="131" spans="1:15" s="1153" customFormat="1" x14ac:dyDescent="0.2">
      <c r="A131" s="1169">
        <v>2012</v>
      </c>
      <c r="B131" s="1226">
        <v>246.3</v>
      </c>
      <c r="C131" s="1226">
        <v>246.3</v>
      </c>
      <c r="D131" s="1196">
        <v>246.1</v>
      </c>
      <c r="E131" s="1196">
        <v>246.6</v>
      </c>
      <c r="F131" s="1196">
        <v>247.3</v>
      </c>
      <c r="G131" s="1196">
        <v>247.3</v>
      </c>
      <c r="H131" s="1226" t="s">
        <v>1471</v>
      </c>
      <c r="I131" s="1226" t="s">
        <v>1471</v>
      </c>
      <c r="J131" s="1226" t="s">
        <v>1471</v>
      </c>
      <c r="K131" s="1226" t="s">
        <v>1471</v>
      </c>
      <c r="L131" s="1226" t="s">
        <v>1471</v>
      </c>
      <c r="M131" s="1226" t="s">
        <v>1471</v>
      </c>
      <c r="N131" s="1226" t="s">
        <v>1471</v>
      </c>
      <c r="O131" s="1163">
        <v>14</v>
      </c>
    </row>
    <row r="132" spans="1:15" s="1153" customFormat="1" x14ac:dyDescent="0.2">
      <c r="A132" s="1169">
        <v>2013</v>
      </c>
      <c r="B132" s="1226" t="s">
        <v>1471</v>
      </c>
      <c r="C132" s="1226" t="s">
        <v>1471</v>
      </c>
      <c r="D132" s="1226" t="s">
        <v>1471</v>
      </c>
      <c r="E132" s="1226" t="s">
        <v>1471</v>
      </c>
      <c r="F132" s="1226" t="s">
        <v>1471</v>
      </c>
      <c r="G132" s="1226" t="s">
        <v>1471</v>
      </c>
      <c r="H132" s="1226" t="s">
        <v>1471</v>
      </c>
      <c r="I132" s="1226" t="s">
        <v>1471</v>
      </c>
      <c r="J132" s="1226" t="s">
        <v>1471</v>
      </c>
      <c r="K132" s="1226" t="s">
        <v>1471</v>
      </c>
      <c r="L132" s="1226" t="s">
        <v>1471</v>
      </c>
      <c r="M132" s="1226" t="s">
        <v>1471</v>
      </c>
      <c r="N132" s="1226" t="s">
        <v>1471</v>
      </c>
      <c r="O132" s="1163">
        <v>15</v>
      </c>
    </row>
    <row r="133" spans="1:15" s="1153" customFormat="1" x14ac:dyDescent="0.2">
      <c r="A133" s="1169">
        <v>2014</v>
      </c>
      <c r="B133" s="1226" t="s">
        <v>1471</v>
      </c>
      <c r="C133" s="1226" t="s">
        <v>1471</v>
      </c>
      <c r="D133" s="1226" t="s">
        <v>1471</v>
      </c>
      <c r="E133" s="1226" t="s">
        <v>1471</v>
      </c>
      <c r="F133" s="1226" t="s">
        <v>1471</v>
      </c>
      <c r="G133" s="1226" t="s">
        <v>1471</v>
      </c>
      <c r="H133" s="1226" t="s">
        <v>1471</v>
      </c>
      <c r="I133" s="1226" t="s">
        <v>1471</v>
      </c>
      <c r="J133" s="1226" t="s">
        <v>1471</v>
      </c>
      <c r="K133" s="1226" t="s">
        <v>1471</v>
      </c>
      <c r="L133" s="1226" t="s">
        <v>1471</v>
      </c>
      <c r="M133" s="1226" t="s">
        <v>1471</v>
      </c>
      <c r="N133" s="1226" t="s">
        <v>1471</v>
      </c>
      <c r="O133" s="1163">
        <v>16</v>
      </c>
    </row>
    <row r="134" spans="1:15" s="1153" customFormat="1" x14ac:dyDescent="0.2">
      <c r="A134" s="1169">
        <v>2015</v>
      </c>
      <c r="B134" s="1226" t="s">
        <v>1471</v>
      </c>
      <c r="C134" s="1226" t="s">
        <v>1471</v>
      </c>
      <c r="D134" s="1226" t="s">
        <v>1471</v>
      </c>
      <c r="E134" s="1226" t="s">
        <v>1471</v>
      </c>
      <c r="F134" s="1226" t="s">
        <v>1471</v>
      </c>
      <c r="G134" s="1226" t="s">
        <v>1471</v>
      </c>
      <c r="H134" s="1226" t="s">
        <v>1471</v>
      </c>
      <c r="I134" s="1226" t="s">
        <v>1471</v>
      </c>
      <c r="J134" s="1226" t="s">
        <v>1471</v>
      </c>
      <c r="K134" s="1226" t="s">
        <v>1471</v>
      </c>
      <c r="L134" s="1226" t="s">
        <v>1471</v>
      </c>
      <c r="M134" s="1226" t="s">
        <v>1471</v>
      </c>
      <c r="N134" s="1226" t="s">
        <v>1471</v>
      </c>
      <c r="O134" s="1163">
        <v>17</v>
      </c>
    </row>
    <row r="135" spans="1:15" s="1153" customFormat="1" x14ac:dyDescent="0.2">
      <c r="A135" s="1169">
        <v>2016</v>
      </c>
      <c r="B135" s="1226" t="s">
        <v>1471</v>
      </c>
      <c r="C135" s="1226" t="s">
        <v>1471</v>
      </c>
      <c r="D135" s="1226" t="s">
        <v>1471</v>
      </c>
      <c r="E135" s="1226" t="s">
        <v>1471</v>
      </c>
      <c r="F135" s="1226" t="s">
        <v>1471</v>
      </c>
      <c r="G135" s="1226" t="s">
        <v>1471</v>
      </c>
      <c r="H135" s="1226" t="s">
        <v>1471</v>
      </c>
      <c r="I135" s="1226" t="s">
        <v>1471</v>
      </c>
      <c r="J135" s="1226" t="s">
        <v>1471</v>
      </c>
      <c r="K135" s="1226" t="s">
        <v>1471</v>
      </c>
      <c r="L135" s="1226" t="s">
        <v>1471</v>
      </c>
      <c r="M135" s="1226" t="s">
        <v>1471</v>
      </c>
      <c r="N135" s="1226" t="s">
        <v>1471</v>
      </c>
      <c r="O135" s="1163">
        <v>18</v>
      </c>
    </row>
    <row r="136" spans="1:15" s="1153" customFormat="1" x14ac:dyDescent="0.2">
      <c r="A136" s="1169">
        <v>2017</v>
      </c>
      <c r="B136" s="1226" t="s">
        <v>1471</v>
      </c>
      <c r="C136" s="1226" t="s">
        <v>1471</v>
      </c>
      <c r="D136" s="1226" t="s">
        <v>1471</v>
      </c>
      <c r="E136" s="1226" t="s">
        <v>1471</v>
      </c>
      <c r="F136" s="1226" t="s">
        <v>1471</v>
      </c>
      <c r="G136" s="1226" t="s">
        <v>1471</v>
      </c>
      <c r="H136" s="1226" t="s">
        <v>1471</v>
      </c>
      <c r="I136" s="1226" t="s">
        <v>1471</v>
      </c>
      <c r="J136" s="1226" t="s">
        <v>1471</v>
      </c>
      <c r="K136" s="1226" t="s">
        <v>1471</v>
      </c>
      <c r="L136" s="1226" t="s">
        <v>1471</v>
      </c>
      <c r="M136" s="1226" t="s">
        <v>1471</v>
      </c>
      <c r="N136" s="1226" t="s">
        <v>1471</v>
      </c>
      <c r="O136" s="1163">
        <v>19</v>
      </c>
    </row>
    <row r="137" spans="1:15" s="1153" customFormat="1" x14ac:dyDescent="0.2">
      <c r="A137" s="1169">
        <v>2018</v>
      </c>
      <c r="B137" s="1226" t="s">
        <v>1471</v>
      </c>
      <c r="C137" s="1226" t="s">
        <v>1471</v>
      </c>
      <c r="D137" s="1226" t="s">
        <v>1471</v>
      </c>
      <c r="E137" s="1226" t="s">
        <v>1471</v>
      </c>
      <c r="F137" s="1226" t="s">
        <v>1471</v>
      </c>
      <c r="G137" s="1226" t="s">
        <v>1471</v>
      </c>
      <c r="H137" s="1226" t="s">
        <v>1471</v>
      </c>
      <c r="I137" s="1226" t="s">
        <v>1471</v>
      </c>
      <c r="J137" s="1226" t="s">
        <v>1471</v>
      </c>
      <c r="K137" s="1226" t="s">
        <v>1471</v>
      </c>
      <c r="L137" s="1226" t="s">
        <v>1471</v>
      </c>
      <c r="M137" s="1226" t="s">
        <v>1471</v>
      </c>
      <c r="N137" s="1226" t="s">
        <v>1471</v>
      </c>
      <c r="O137" s="1163">
        <v>20</v>
      </c>
    </row>
    <row r="138" spans="1:15" s="1153" customFormat="1" x14ac:dyDescent="0.2">
      <c r="A138" s="1169">
        <v>2019</v>
      </c>
      <c r="B138" s="1226" t="s">
        <v>1471</v>
      </c>
      <c r="C138" s="1226" t="s">
        <v>1471</v>
      </c>
      <c r="D138" s="1226" t="s">
        <v>1471</v>
      </c>
      <c r="E138" s="1226" t="s">
        <v>1471</v>
      </c>
      <c r="F138" s="1226" t="s">
        <v>1471</v>
      </c>
      <c r="G138" s="1226" t="s">
        <v>1471</v>
      </c>
      <c r="H138" s="1226" t="s">
        <v>1471</v>
      </c>
      <c r="I138" s="1226" t="s">
        <v>1471</v>
      </c>
      <c r="J138" s="1226" t="s">
        <v>1471</v>
      </c>
      <c r="K138" s="1226" t="s">
        <v>1471</v>
      </c>
      <c r="L138" s="1226" t="s">
        <v>1471</v>
      </c>
      <c r="M138" s="1226" t="s">
        <v>1471</v>
      </c>
      <c r="N138" s="1226" t="s">
        <v>1471</v>
      </c>
      <c r="O138" s="1163">
        <v>21</v>
      </c>
    </row>
    <row r="139" spans="1:15" s="1153" customFormat="1" x14ac:dyDescent="0.2">
      <c r="A139" s="1169">
        <v>2020</v>
      </c>
      <c r="B139" s="1226" t="s">
        <v>1471</v>
      </c>
      <c r="C139" s="1226" t="s">
        <v>1471</v>
      </c>
      <c r="D139" s="1226" t="s">
        <v>1471</v>
      </c>
      <c r="E139" s="1226" t="s">
        <v>1471</v>
      </c>
      <c r="F139" s="1226" t="s">
        <v>1471</v>
      </c>
      <c r="G139" s="1226" t="s">
        <v>1471</v>
      </c>
      <c r="H139" s="1226" t="s">
        <v>1471</v>
      </c>
      <c r="I139" s="1226" t="s">
        <v>1471</v>
      </c>
      <c r="J139" s="1226" t="s">
        <v>1471</v>
      </c>
      <c r="K139" s="1226" t="s">
        <v>1471</v>
      </c>
      <c r="L139" s="1226" t="s">
        <v>1471</v>
      </c>
      <c r="M139" s="1226" t="s">
        <v>1471</v>
      </c>
      <c r="N139" s="1226" t="s">
        <v>1471</v>
      </c>
      <c r="O139" s="1163">
        <v>22</v>
      </c>
    </row>
    <row r="140" spans="1:15" x14ac:dyDescent="0.2">
      <c r="A140" s="1169"/>
      <c r="B140" s="1159"/>
      <c r="C140" s="1159"/>
      <c r="D140" s="1159"/>
      <c r="E140" s="1159"/>
      <c r="F140" s="1159"/>
      <c r="G140" s="1159"/>
      <c r="H140" s="1159"/>
      <c r="I140" s="1159"/>
      <c r="J140" s="1159"/>
      <c r="K140" s="1159"/>
      <c r="L140" s="1159"/>
      <c r="M140" s="1159"/>
      <c r="N140" s="1159"/>
      <c r="O140" s="1163">
        <v>23</v>
      </c>
    </row>
    <row r="141" spans="1:15" ht="15" x14ac:dyDescent="0.3">
      <c r="A141" s="1153"/>
      <c r="B141" s="1174" t="s">
        <v>668</v>
      </c>
      <c r="C141" s="1153"/>
      <c r="D141" s="1174">
        <v>198312</v>
      </c>
      <c r="E141" s="1153"/>
      <c r="F141" s="1153"/>
      <c r="G141" s="1153"/>
      <c r="H141" s="1153"/>
      <c r="I141" s="1153"/>
      <c r="J141" s="1153"/>
      <c r="K141" s="1153"/>
      <c r="L141" s="1153"/>
      <c r="M141" s="1153"/>
      <c r="N141" s="1153"/>
      <c r="O141" s="1153"/>
    </row>
    <row r="142" spans="1:15" x14ac:dyDescent="0.2">
      <c r="A142" s="1154" t="s">
        <v>286</v>
      </c>
      <c r="B142" s="1162" t="s">
        <v>321</v>
      </c>
      <c r="C142" s="1154" t="s">
        <v>322</v>
      </c>
      <c r="D142" s="1153"/>
      <c r="E142" s="1153"/>
      <c r="F142" s="1153"/>
      <c r="G142" s="1153"/>
      <c r="H142" s="1153"/>
      <c r="I142" s="1153"/>
      <c r="J142" s="1153"/>
      <c r="K142" s="1153"/>
      <c r="L142" s="1153"/>
      <c r="M142" s="1153"/>
      <c r="N142" s="1153"/>
      <c r="O142" s="1153" t="s">
        <v>306</v>
      </c>
    </row>
    <row r="143" spans="1:15" x14ac:dyDescent="0.2">
      <c r="A143" s="1154"/>
      <c r="B143" s="1157" t="s">
        <v>291</v>
      </c>
      <c r="C143" s="1168" t="s">
        <v>292</v>
      </c>
      <c r="D143" s="1167" t="s">
        <v>293</v>
      </c>
      <c r="E143" s="1167" t="s">
        <v>294</v>
      </c>
      <c r="F143" s="1167" t="s">
        <v>295</v>
      </c>
      <c r="G143" s="1167" t="s">
        <v>296</v>
      </c>
      <c r="H143" s="1167" t="s">
        <v>297</v>
      </c>
      <c r="I143" s="1167" t="s">
        <v>298</v>
      </c>
      <c r="J143" s="1167" t="s">
        <v>299</v>
      </c>
      <c r="K143" s="1167" t="s">
        <v>300</v>
      </c>
      <c r="L143" s="1167" t="s">
        <v>301</v>
      </c>
      <c r="M143" s="1167" t="s">
        <v>302</v>
      </c>
      <c r="N143" s="1167" t="s">
        <v>318</v>
      </c>
      <c r="O143" s="1153"/>
    </row>
    <row r="144" spans="1:15" x14ac:dyDescent="0.2">
      <c r="A144" s="1161" t="s">
        <v>319</v>
      </c>
      <c r="B144" s="1164">
        <v>1</v>
      </c>
      <c r="C144" s="1164">
        <v>2</v>
      </c>
      <c r="D144" s="1164">
        <v>3</v>
      </c>
      <c r="E144" s="1164">
        <v>4</v>
      </c>
      <c r="F144" s="1164">
        <v>5</v>
      </c>
      <c r="G144" s="1164">
        <v>6</v>
      </c>
      <c r="H144" s="1164">
        <v>7</v>
      </c>
      <c r="I144" s="1164">
        <v>8</v>
      </c>
      <c r="J144" s="1164">
        <v>9</v>
      </c>
      <c r="K144" s="1164">
        <v>10</v>
      </c>
      <c r="L144" s="1164">
        <v>11</v>
      </c>
      <c r="M144" s="1164">
        <v>12</v>
      </c>
      <c r="N144" s="1164">
        <v>13</v>
      </c>
      <c r="O144" s="1165">
        <v>1</v>
      </c>
    </row>
    <row r="145" spans="1:15" x14ac:dyDescent="0.2">
      <c r="A145" s="1169">
        <v>2000</v>
      </c>
      <c r="B145" s="1175">
        <v>159.30000000000001</v>
      </c>
      <c r="C145" s="1175">
        <v>159.4</v>
      </c>
      <c r="D145" s="1175">
        <v>159.69999999999999</v>
      </c>
      <c r="E145" s="1175">
        <v>159.69999999999999</v>
      </c>
      <c r="F145" s="1175">
        <v>160.30000000000001</v>
      </c>
      <c r="G145" s="1175">
        <v>160.30000000000001</v>
      </c>
      <c r="H145" s="1175">
        <v>160.30000000000001</v>
      </c>
      <c r="I145" s="1175">
        <v>160.4</v>
      </c>
      <c r="J145" s="1175">
        <v>160.4</v>
      </c>
      <c r="K145" s="1175">
        <v>160.80000000000001</v>
      </c>
      <c r="L145" s="1175">
        <v>161.1</v>
      </c>
      <c r="M145" s="1175">
        <v>162</v>
      </c>
      <c r="N145" s="1175">
        <v>160.30000000000001</v>
      </c>
      <c r="O145" s="1163">
        <v>2</v>
      </c>
    </row>
    <row r="146" spans="1:15" x14ac:dyDescent="0.2">
      <c r="A146" s="1169">
        <v>2001</v>
      </c>
      <c r="B146" s="1175">
        <v>162.9</v>
      </c>
      <c r="C146" s="1175">
        <v>163.5</v>
      </c>
      <c r="D146" s="1175">
        <v>163.6</v>
      </c>
      <c r="E146" s="1175">
        <v>163.6</v>
      </c>
      <c r="F146" s="1175">
        <v>163.5</v>
      </c>
      <c r="G146" s="1175">
        <v>163.5</v>
      </c>
      <c r="H146" s="1175">
        <v>163.6</v>
      </c>
      <c r="I146" s="1175">
        <v>163.6</v>
      </c>
      <c r="J146" s="1175">
        <v>163.6</v>
      </c>
      <c r="K146" s="1175">
        <v>163.5</v>
      </c>
      <c r="L146" s="1175">
        <v>164.3</v>
      </c>
      <c r="M146" s="1175">
        <v>164.5</v>
      </c>
      <c r="N146" s="1175">
        <v>163.69999999999999</v>
      </c>
      <c r="O146" s="1163">
        <v>3</v>
      </c>
    </row>
    <row r="147" spans="1:15" x14ac:dyDescent="0.2">
      <c r="A147" s="1169">
        <v>2002</v>
      </c>
      <c r="B147" s="1175">
        <v>165.4</v>
      </c>
      <c r="C147" s="1175">
        <v>165.4</v>
      </c>
      <c r="D147" s="1175">
        <v>165.5</v>
      </c>
      <c r="E147" s="1175">
        <v>165.1</v>
      </c>
      <c r="F147" s="1175">
        <v>165.1</v>
      </c>
      <c r="G147" s="1175">
        <v>165.2</v>
      </c>
      <c r="H147" s="1175">
        <v>165.2</v>
      </c>
      <c r="I147" s="1175">
        <v>165.2</v>
      </c>
      <c r="J147" s="1175">
        <v>165.2</v>
      </c>
      <c r="K147" s="1175">
        <v>165.6</v>
      </c>
      <c r="L147" s="1175">
        <v>166</v>
      </c>
      <c r="M147" s="1175">
        <v>166.1</v>
      </c>
      <c r="N147" s="1175">
        <v>165.4</v>
      </c>
      <c r="O147" s="1163">
        <v>4</v>
      </c>
    </row>
    <row r="148" spans="1:15" x14ac:dyDescent="0.2">
      <c r="A148" s="1169">
        <v>2003</v>
      </c>
      <c r="B148" s="1175">
        <v>168.8</v>
      </c>
      <c r="C148" s="1175">
        <v>168.6</v>
      </c>
      <c r="D148" s="1175">
        <v>168.2</v>
      </c>
      <c r="E148" s="1175">
        <v>168.2</v>
      </c>
      <c r="F148" s="1175">
        <v>168.2</v>
      </c>
      <c r="G148" s="1175">
        <v>168.1</v>
      </c>
      <c r="H148" s="1175">
        <v>167</v>
      </c>
      <c r="I148" s="1175">
        <v>167</v>
      </c>
      <c r="J148" s="1175">
        <v>167</v>
      </c>
      <c r="K148" s="1175">
        <v>167.1</v>
      </c>
      <c r="L148" s="1175">
        <v>168.3</v>
      </c>
      <c r="M148" s="1175">
        <v>169.5</v>
      </c>
      <c r="N148" s="1175">
        <v>168</v>
      </c>
      <c r="O148" s="1163">
        <v>5</v>
      </c>
    </row>
    <row r="149" spans="1:15" x14ac:dyDescent="0.2">
      <c r="A149" s="1169">
        <v>2004</v>
      </c>
      <c r="B149" s="1175">
        <v>170.5</v>
      </c>
      <c r="C149" s="1175">
        <v>171.3</v>
      </c>
      <c r="D149" s="1175">
        <v>171.2</v>
      </c>
      <c r="E149" s="1175">
        <v>173.4</v>
      </c>
      <c r="F149" s="1175">
        <v>173.5</v>
      </c>
      <c r="G149" s="1175">
        <v>175.8</v>
      </c>
      <c r="H149" s="1175">
        <v>176.4</v>
      </c>
      <c r="I149" s="1175">
        <v>176.5</v>
      </c>
      <c r="J149" s="1175">
        <v>176.5</v>
      </c>
      <c r="K149" s="1175">
        <v>176.4</v>
      </c>
      <c r="L149" s="1175">
        <v>176.6</v>
      </c>
      <c r="M149" s="1175">
        <v>177</v>
      </c>
      <c r="N149" s="1175">
        <v>174.6</v>
      </c>
      <c r="O149" s="1163">
        <v>6</v>
      </c>
    </row>
    <row r="150" spans="1:15" x14ac:dyDescent="0.2">
      <c r="A150" s="1169">
        <v>2005</v>
      </c>
      <c r="B150" s="1175">
        <v>180.6</v>
      </c>
      <c r="C150" s="1175">
        <v>180.4</v>
      </c>
      <c r="D150" s="1179">
        <v>184.6</v>
      </c>
      <c r="E150" s="1179">
        <v>184.6</v>
      </c>
      <c r="F150" s="1179">
        <v>184.6</v>
      </c>
      <c r="G150" s="1179">
        <v>184.6</v>
      </c>
      <c r="H150" s="1179">
        <v>184.7</v>
      </c>
      <c r="I150" s="1179">
        <v>185.5</v>
      </c>
      <c r="J150" s="1179">
        <v>185.8</v>
      </c>
      <c r="K150" s="1179">
        <v>187.9</v>
      </c>
      <c r="L150" s="1179">
        <v>188.7</v>
      </c>
      <c r="M150" s="1179">
        <v>188.1</v>
      </c>
      <c r="N150" s="1179">
        <v>185</v>
      </c>
      <c r="O150" s="1163">
        <v>7</v>
      </c>
    </row>
    <row r="151" spans="1:15" x14ac:dyDescent="0.2">
      <c r="A151" s="1169">
        <v>2006</v>
      </c>
      <c r="B151" s="1179">
        <v>189.4</v>
      </c>
      <c r="C151" s="1180">
        <v>190.4</v>
      </c>
      <c r="D151" s="1181">
        <v>190.5</v>
      </c>
      <c r="E151" s="1181">
        <v>190.6</v>
      </c>
      <c r="F151" s="1181">
        <v>190.9</v>
      </c>
      <c r="G151" s="1181">
        <v>190.8</v>
      </c>
      <c r="H151" s="1181">
        <v>191.7</v>
      </c>
      <c r="I151" s="1182">
        <v>191.9</v>
      </c>
      <c r="J151" s="1182">
        <v>192.2</v>
      </c>
      <c r="K151" s="1182">
        <v>193.4</v>
      </c>
      <c r="L151" s="1182">
        <v>197.2</v>
      </c>
      <c r="M151" s="1182">
        <v>197.3</v>
      </c>
      <c r="N151" s="1182">
        <v>192.2</v>
      </c>
      <c r="O151" s="1163">
        <v>8</v>
      </c>
    </row>
    <row r="152" spans="1:15" x14ac:dyDescent="0.2">
      <c r="A152" s="1169">
        <v>2007</v>
      </c>
      <c r="B152" s="1176">
        <v>198.5</v>
      </c>
      <c r="C152" s="1176">
        <v>199</v>
      </c>
      <c r="D152" s="1181">
        <v>200</v>
      </c>
      <c r="E152" s="1181">
        <v>200</v>
      </c>
      <c r="F152" s="1181">
        <v>199.9</v>
      </c>
      <c r="G152" s="1181">
        <v>200.5</v>
      </c>
      <c r="H152" s="1181">
        <v>200.9</v>
      </c>
      <c r="I152" s="1182">
        <v>201.8</v>
      </c>
      <c r="J152" s="1182">
        <v>202.8</v>
      </c>
      <c r="K152" s="1182">
        <v>206.2</v>
      </c>
      <c r="L152" s="1182">
        <v>207.2</v>
      </c>
      <c r="M152" s="1182">
        <v>207.2</v>
      </c>
      <c r="N152" s="1182">
        <v>202</v>
      </c>
      <c r="O152" s="1163">
        <v>9</v>
      </c>
    </row>
    <row r="153" spans="1:15" x14ac:dyDescent="0.2">
      <c r="A153" s="1169">
        <v>2008</v>
      </c>
      <c r="B153" s="1183">
        <v>209.5</v>
      </c>
      <c r="C153" s="1193">
        <v>209.7</v>
      </c>
      <c r="D153" s="1194">
        <v>209.3</v>
      </c>
      <c r="E153" s="1194">
        <v>210</v>
      </c>
      <c r="F153" s="1194">
        <v>211.5</v>
      </c>
      <c r="G153" s="1194">
        <v>212.1</v>
      </c>
      <c r="H153" s="1195">
        <v>219.6</v>
      </c>
      <c r="I153" s="1195">
        <v>221.6</v>
      </c>
      <c r="J153" s="1195">
        <v>221.7</v>
      </c>
      <c r="K153" s="1195">
        <v>222</v>
      </c>
      <c r="L153" s="1195">
        <v>223.1</v>
      </c>
      <c r="M153" s="1195">
        <v>226.4</v>
      </c>
      <c r="N153" s="1195">
        <v>216.4</v>
      </c>
      <c r="O153" s="1163">
        <v>10</v>
      </c>
    </row>
    <row r="154" spans="1:15" x14ac:dyDescent="0.2">
      <c r="A154" s="1169">
        <v>2009</v>
      </c>
      <c r="B154" s="1156">
        <v>225.3</v>
      </c>
      <c r="C154" s="1156">
        <v>225.4</v>
      </c>
      <c r="D154" s="1156">
        <v>225.3</v>
      </c>
      <c r="E154" s="1156">
        <v>224.2</v>
      </c>
      <c r="F154" s="1156">
        <v>223.6</v>
      </c>
      <c r="G154" s="1156">
        <v>222.8</v>
      </c>
      <c r="H154" s="1156">
        <v>223.6</v>
      </c>
      <c r="I154" s="1156">
        <v>222</v>
      </c>
      <c r="J154" s="1197">
        <v>222.1</v>
      </c>
      <c r="K154" s="1197">
        <v>222.3</v>
      </c>
      <c r="L154" s="1197">
        <v>220.5</v>
      </c>
      <c r="M154" s="1197">
        <v>220.3</v>
      </c>
      <c r="N154" s="1197">
        <v>223.1</v>
      </c>
      <c r="O154" s="1163">
        <v>11</v>
      </c>
    </row>
    <row r="155" spans="1:15" x14ac:dyDescent="0.2">
      <c r="A155" s="1169">
        <v>2010</v>
      </c>
      <c r="B155" s="1156">
        <v>220.8</v>
      </c>
      <c r="C155" s="1156">
        <v>220.7</v>
      </c>
      <c r="D155" s="1156">
        <v>220.8</v>
      </c>
      <c r="E155" s="1156">
        <v>221.2</v>
      </c>
      <c r="F155" s="1156">
        <v>221.5</v>
      </c>
      <c r="G155" s="1156">
        <v>220.1</v>
      </c>
      <c r="H155" s="1156">
        <v>222.4</v>
      </c>
      <c r="I155" s="1156">
        <v>223.2</v>
      </c>
      <c r="J155" s="1155">
        <v>223.2</v>
      </c>
      <c r="K155" s="1192">
        <v>223.3</v>
      </c>
      <c r="L155" s="1192">
        <v>223.5</v>
      </c>
      <c r="M155" s="1192">
        <v>226.9</v>
      </c>
      <c r="N155" s="1192">
        <v>222.3</v>
      </c>
      <c r="O155" s="1163">
        <v>12</v>
      </c>
    </row>
    <row r="156" spans="1:15" x14ac:dyDescent="0.2">
      <c r="A156" s="1169">
        <v>2011</v>
      </c>
      <c r="B156" s="1153">
        <v>229</v>
      </c>
      <c r="C156" s="1156">
        <v>229.3</v>
      </c>
      <c r="D156" s="1182">
        <v>229.6</v>
      </c>
      <c r="E156" s="1192">
        <v>232.3</v>
      </c>
      <c r="F156" s="1192">
        <v>232.8</v>
      </c>
      <c r="G156" s="1192">
        <v>233.5</v>
      </c>
      <c r="H156" s="1192">
        <v>234.4</v>
      </c>
      <c r="I156" s="1226">
        <v>235.2</v>
      </c>
      <c r="J156" s="1226">
        <v>236.9</v>
      </c>
      <c r="K156" s="1226">
        <v>238.6</v>
      </c>
      <c r="L156" s="1226">
        <v>239.6</v>
      </c>
      <c r="M156" s="1226">
        <v>241.6</v>
      </c>
      <c r="N156" s="1226">
        <v>234.4</v>
      </c>
      <c r="O156" s="1163">
        <v>13</v>
      </c>
    </row>
    <row r="157" spans="1:15" s="1153" customFormat="1" x14ac:dyDescent="0.2">
      <c r="A157" s="1169">
        <v>2012</v>
      </c>
      <c r="B157" s="1226">
        <v>241.4</v>
      </c>
      <c r="C157" s="1226">
        <v>241.3</v>
      </c>
      <c r="D157" s="1196">
        <v>241.3</v>
      </c>
      <c r="E157" s="1196">
        <v>242.8</v>
      </c>
      <c r="F157" s="1196">
        <v>242.7</v>
      </c>
      <c r="G157" s="1196">
        <v>244.5</v>
      </c>
      <c r="H157" s="1226" t="s">
        <v>1471</v>
      </c>
      <c r="I157" s="1226" t="s">
        <v>1471</v>
      </c>
      <c r="J157" s="1226" t="s">
        <v>1471</v>
      </c>
      <c r="K157" s="1226" t="s">
        <v>1471</v>
      </c>
      <c r="L157" s="1226" t="s">
        <v>1471</v>
      </c>
      <c r="M157" s="1226" t="s">
        <v>1471</v>
      </c>
      <c r="N157" s="1226" t="s">
        <v>1471</v>
      </c>
      <c r="O157" s="1163">
        <v>14</v>
      </c>
    </row>
    <row r="158" spans="1:15" s="1153" customFormat="1" x14ac:dyDescent="0.2">
      <c r="A158" s="1169">
        <v>2013</v>
      </c>
      <c r="B158" s="1226" t="s">
        <v>1471</v>
      </c>
      <c r="C158" s="1226" t="s">
        <v>1471</v>
      </c>
      <c r="D158" s="1226" t="s">
        <v>1471</v>
      </c>
      <c r="E158" s="1226" t="s">
        <v>1471</v>
      </c>
      <c r="F158" s="1226" t="s">
        <v>1471</v>
      </c>
      <c r="G158" s="1226" t="s">
        <v>1471</v>
      </c>
      <c r="H158" s="1226" t="s">
        <v>1471</v>
      </c>
      <c r="I158" s="1226" t="s">
        <v>1471</v>
      </c>
      <c r="J158" s="1226" t="s">
        <v>1471</v>
      </c>
      <c r="K158" s="1226" t="s">
        <v>1471</v>
      </c>
      <c r="L158" s="1226" t="s">
        <v>1471</v>
      </c>
      <c r="M158" s="1226" t="s">
        <v>1471</v>
      </c>
      <c r="N158" s="1226" t="s">
        <v>1471</v>
      </c>
      <c r="O158" s="1163">
        <v>15</v>
      </c>
    </row>
    <row r="159" spans="1:15" s="1153" customFormat="1" x14ac:dyDescent="0.2">
      <c r="A159" s="1169">
        <v>2014</v>
      </c>
      <c r="B159" s="1226" t="s">
        <v>1471</v>
      </c>
      <c r="C159" s="1226" t="s">
        <v>1471</v>
      </c>
      <c r="D159" s="1226" t="s">
        <v>1471</v>
      </c>
      <c r="E159" s="1226" t="s">
        <v>1471</v>
      </c>
      <c r="F159" s="1226" t="s">
        <v>1471</v>
      </c>
      <c r="G159" s="1226" t="s">
        <v>1471</v>
      </c>
      <c r="H159" s="1226" t="s">
        <v>1471</v>
      </c>
      <c r="I159" s="1226" t="s">
        <v>1471</v>
      </c>
      <c r="J159" s="1226" t="s">
        <v>1471</v>
      </c>
      <c r="K159" s="1226" t="s">
        <v>1471</v>
      </c>
      <c r="L159" s="1226" t="s">
        <v>1471</v>
      </c>
      <c r="M159" s="1226" t="s">
        <v>1471</v>
      </c>
      <c r="N159" s="1226" t="s">
        <v>1471</v>
      </c>
      <c r="O159" s="1163">
        <v>16</v>
      </c>
    </row>
    <row r="160" spans="1:15" s="1153" customFormat="1" x14ac:dyDescent="0.2">
      <c r="A160" s="1169">
        <v>2015</v>
      </c>
      <c r="B160" s="1226" t="s">
        <v>1471</v>
      </c>
      <c r="C160" s="1226" t="s">
        <v>1471</v>
      </c>
      <c r="D160" s="1226" t="s">
        <v>1471</v>
      </c>
      <c r="E160" s="1226" t="s">
        <v>1471</v>
      </c>
      <c r="F160" s="1226" t="s">
        <v>1471</v>
      </c>
      <c r="G160" s="1226" t="s">
        <v>1471</v>
      </c>
      <c r="H160" s="1226" t="s">
        <v>1471</v>
      </c>
      <c r="I160" s="1226" t="s">
        <v>1471</v>
      </c>
      <c r="J160" s="1226" t="s">
        <v>1471</v>
      </c>
      <c r="K160" s="1226" t="s">
        <v>1471</v>
      </c>
      <c r="L160" s="1226" t="s">
        <v>1471</v>
      </c>
      <c r="M160" s="1226" t="s">
        <v>1471</v>
      </c>
      <c r="N160" s="1226" t="s">
        <v>1471</v>
      </c>
      <c r="O160" s="1163">
        <v>17</v>
      </c>
    </row>
    <row r="161" spans="1:15" s="1153" customFormat="1" x14ac:dyDescent="0.2">
      <c r="A161" s="1169">
        <v>2016</v>
      </c>
      <c r="B161" s="1226" t="s">
        <v>1471</v>
      </c>
      <c r="C161" s="1226" t="s">
        <v>1471</v>
      </c>
      <c r="D161" s="1226" t="s">
        <v>1471</v>
      </c>
      <c r="E161" s="1226" t="s">
        <v>1471</v>
      </c>
      <c r="F161" s="1226" t="s">
        <v>1471</v>
      </c>
      <c r="G161" s="1226" t="s">
        <v>1471</v>
      </c>
      <c r="H161" s="1226" t="s">
        <v>1471</v>
      </c>
      <c r="I161" s="1226" t="s">
        <v>1471</v>
      </c>
      <c r="J161" s="1226" t="s">
        <v>1471</v>
      </c>
      <c r="K161" s="1226" t="s">
        <v>1471</v>
      </c>
      <c r="L161" s="1226" t="s">
        <v>1471</v>
      </c>
      <c r="M161" s="1226" t="s">
        <v>1471</v>
      </c>
      <c r="N161" s="1226" t="s">
        <v>1471</v>
      </c>
      <c r="O161" s="1163">
        <v>18</v>
      </c>
    </row>
    <row r="162" spans="1:15" s="1153" customFormat="1" x14ac:dyDescent="0.2">
      <c r="A162" s="1169">
        <v>2017</v>
      </c>
      <c r="B162" s="1226" t="s">
        <v>1471</v>
      </c>
      <c r="C162" s="1226" t="s">
        <v>1471</v>
      </c>
      <c r="D162" s="1226" t="s">
        <v>1471</v>
      </c>
      <c r="E162" s="1226" t="s">
        <v>1471</v>
      </c>
      <c r="F162" s="1226" t="s">
        <v>1471</v>
      </c>
      <c r="G162" s="1226" t="s">
        <v>1471</v>
      </c>
      <c r="H162" s="1226" t="s">
        <v>1471</v>
      </c>
      <c r="I162" s="1226" t="s">
        <v>1471</v>
      </c>
      <c r="J162" s="1226" t="s">
        <v>1471</v>
      </c>
      <c r="K162" s="1226" t="s">
        <v>1471</v>
      </c>
      <c r="L162" s="1226" t="s">
        <v>1471</v>
      </c>
      <c r="M162" s="1226" t="s">
        <v>1471</v>
      </c>
      <c r="N162" s="1226" t="s">
        <v>1471</v>
      </c>
      <c r="O162" s="1163">
        <v>19</v>
      </c>
    </row>
    <row r="163" spans="1:15" s="1153" customFormat="1" x14ac:dyDescent="0.2">
      <c r="A163" s="1169">
        <v>2018</v>
      </c>
      <c r="B163" s="1226" t="s">
        <v>1471</v>
      </c>
      <c r="C163" s="1226" t="s">
        <v>1471</v>
      </c>
      <c r="D163" s="1226" t="s">
        <v>1471</v>
      </c>
      <c r="E163" s="1226" t="s">
        <v>1471</v>
      </c>
      <c r="F163" s="1226" t="s">
        <v>1471</v>
      </c>
      <c r="G163" s="1226" t="s">
        <v>1471</v>
      </c>
      <c r="H163" s="1226" t="s">
        <v>1471</v>
      </c>
      <c r="I163" s="1226" t="s">
        <v>1471</v>
      </c>
      <c r="J163" s="1226" t="s">
        <v>1471</v>
      </c>
      <c r="K163" s="1226" t="s">
        <v>1471</v>
      </c>
      <c r="L163" s="1226" t="s">
        <v>1471</v>
      </c>
      <c r="M163" s="1226" t="s">
        <v>1471</v>
      </c>
      <c r="N163" s="1226" t="s">
        <v>1471</v>
      </c>
      <c r="O163" s="1163">
        <v>20</v>
      </c>
    </row>
    <row r="164" spans="1:15" s="1153" customFormat="1" x14ac:dyDescent="0.2">
      <c r="A164" s="1169">
        <v>2019</v>
      </c>
      <c r="B164" s="1226" t="s">
        <v>1471</v>
      </c>
      <c r="C164" s="1226" t="s">
        <v>1471</v>
      </c>
      <c r="D164" s="1226" t="s">
        <v>1471</v>
      </c>
      <c r="E164" s="1226" t="s">
        <v>1471</v>
      </c>
      <c r="F164" s="1226" t="s">
        <v>1471</v>
      </c>
      <c r="G164" s="1226" t="s">
        <v>1471</v>
      </c>
      <c r="H164" s="1226" t="s">
        <v>1471</v>
      </c>
      <c r="I164" s="1226" t="s">
        <v>1471</v>
      </c>
      <c r="J164" s="1226" t="s">
        <v>1471</v>
      </c>
      <c r="K164" s="1226" t="s">
        <v>1471</v>
      </c>
      <c r="L164" s="1226" t="s">
        <v>1471</v>
      </c>
      <c r="M164" s="1226" t="s">
        <v>1471</v>
      </c>
      <c r="N164" s="1226" t="s">
        <v>1471</v>
      </c>
      <c r="O164" s="1163">
        <v>21</v>
      </c>
    </row>
    <row r="165" spans="1:15" s="1153" customFormat="1" x14ac:dyDescent="0.2">
      <c r="A165" s="1169">
        <v>2020</v>
      </c>
      <c r="B165" s="1226" t="s">
        <v>1471</v>
      </c>
      <c r="C165" s="1226" t="s">
        <v>1471</v>
      </c>
      <c r="D165" s="1226" t="s">
        <v>1471</v>
      </c>
      <c r="E165" s="1226" t="s">
        <v>1471</v>
      </c>
      <c r="F165" s="1226" t="s">
        <v>1471</v>
      </c>
      <c r="G165" s="1226" t="s">
        <v>1471</v>
      </c>
      <c r="H165" s="1226" t="s">
        <v>1471</v>
      </c>
      <c r="I165" s="1226" t="s">
        <v>1471</v>
      </c>
      <c r="J165" s="1226" t="s">
        <v>1471</v>
      </c>
      <c r="K165" s="1226" t="s">
        <v>1471</v>
      </c>
      <c r="L165" s="1226" t="s">
        <v>1471</v>
      </c>
      <c r="M165" s="1226" t="s">
        <v>1471</v>
      </c>
      <c r="N165" s="1226" t="s">
        <v>1471</v>
      </c>
      <c r="O165" s="1163">
        <v>22</v>
      </c>
    </row>
    <row r="166" spans="1:15" x14ac:dyDescent="0.2">
      <c r="A166" s="1169"/>
      <c r="B166" s="1159"/>
      <c r="C166" s="1159"/>
      <c r="D166" s="1159"/>
      <c r="E166" s="1159"/>
      <c r="F166" s="1159"/>
      <c r="G166" s="1159"/>
      <c r="H166" s="1159"/>
      <c r="I166" s="1159"/>
      <c r="J166" s="1159"/>
      <c r="K166" s="1159"/>
      <c r="L166" s="1159"/>
      <c r="M166" s="1159"/>
      <c r="N166" s="1159"/>
      <c r="O166" s="1163">
        <v>23</v>
      </c>
    </row>
    <row r="167" spans="1:15" ht="15" x14ac:dyDescent="0.3">
      <c r="A167" s="1153"/>
      <c r="B167" s="1174" t="s">
        <v>669</v>
      </c>
      <c r="C167" s="1153"/>
      <c r="D167" s="1174">
        <v>198306</v>
      </c>
      <c r="E167" s="1153"/>
      <c r="F167" s="1153"/>
      <c r="G167" s="1153"/>
      <c r="H167" s="1153"/>
      <c r="I167" s="1153"/>
      <c r="J167" s="1153"/>
      <c r="K167" s="1153"/>
      <c r="L167" s="1153"/>
      <c r="M167" s="1153"/>
      <c r="N167" s="1153"/>
      <c r="O167" s="1153"/>
    </row>
    <row r="168" spans="1:15" x14ac:dyDescent="0.2">
      <c r="A168" s="1154" t="s">
        <v>286</v>
      </c>
      <c r="B168" s="1162">
        <v>334513</v>
      </c>
      <c r="C168" s="1154" t="s">
        <v>323</v>
      </c>
      <c r="D168" s="1153"/>
      <c r="E168" s="1153"/>
      <c r="F168" s="1153"/>
      <c r="G168" s="1153"/>
      <c r="H168" s="1153"/>
      <c r="I168" s="1153"/>
      <c r="J168" s="1153"/>
      <c r="K168" s="1153"/>
      <c r="L168" s="1153"/>
      <c r="M168" s="1153"/>
      <c r="N168" s="1153"/>
      <c r="O168" s="1153" t="s">
        <v>306</v>
      </c>
    </row>
    <row r="169" spans="1:15" x14ac:dyDescent="0.2">
      <c r="A169" s="1154"/>
      <c r="B169" s="1157" t="s">
        <v>291</v>
      </c>
      <c r="C169" s="1168" t="s">
        <v>292</v>
      </c>
      <c r="D169" s="1167" t="s">
        <v>293</v>
      </c>
      <c r="E169" s="1167" t="s">
        <v>294</v>
      </c>
      <c r="F169" s="1167" t="s">
        <v>295</v>
      </c>
      <c r="G169" s="1167" t="s">
        <v>296</v>
      </c>
      <c r="H169" s="1167" t="s">
        <v>297</v>
      </c>
      <c r="I169" s="1167" t="s">
        <v>298</v>
      </c>
      <c r="J169" s="1167" t="s">
        <v>299</v>
      </c>
      <c r="K169" s="1167" t="s">
        <v>300</v>
      </c>
      <c r="L169" s="1167" t="s">
        <v>301</v>
      </c>
      <c r="M169" s="1167" t="s">
        <v>302</v>
      </c>
      <c r="N169" s="1167" t="s">
        <v>318</v>
      </c>
      <c r="O169" s="1153"/>
    </row>
    <row r="170" spans="1:15" x14ac:dyDescent="0.2">
      <c r="A170" s="1161" t="s">
        <v>319</v>
      </c>
      <c r="B170" s="1164">
        <v>1</v>
      </c>
      <c r="C170" s="1164">
        <v>2</v>
      </c>
      <c r="D170" s="1164">
        <v>3</v>
      </c>
      <c r="E170" s="1164">
        <v>4</v>
      </c>
      <c r="F170" s="1164">
        <v>5</v>
      </c>
      <c r="G170" s="1164">
        <v>6</v>
      </c>
      <c r="H170" s="1164">
        <v>7</v>
      </c>
      <c r="I170" s="1164">
        <v>8</v>
      </c>
      <c r="J170" s="1164">
        <v>9</v>
      </c>
      <c r="K170" s="1164">
        <v>10</v>
      </c>
      <c r="L170" s="1164">
        <v>11</v>
      </c>
      <c r="M170" s="1164">
        <v>12</v>
      </c>
      <c r="N170" s="1164">
        <v>13</v>
      </c>
      <c r="O170" s="1165">
        <v>1</v>
      </c>
    </row>
    <row r="171" spans="1:15" x14ac:dyDescent="0.2">
      <c r="A171" s="1169">
        <v>2000</v>
      </c>
      <c r="B171" s="1175">
        <v>152.19999999999999</v>
      </c>
      <c r="C171" s="1175">
        <v>152.30000000000001</v>
      </c>
      <c r="D171" s="1175">
        <v>152.19999999999999</v>
      </c>
      <c r="E171" s="1175">
        <v>152.1</v>
      </c>
      <c r="F171" s="1175">
        <v>152.4</v>
      </c>
      <c r="G171" s="1175">
        <v>152.4</v>
      </c>
      <c r="H171" s="1175">
        <v>152.30000000000001</v>
      </c>
      <c r="I171" s="1175">
        <v>152.30000000000001</v>
      </c>
      <c r="J171" s="1175">
        <v>152.30000000000001</v>
      </c>
      <c r="K171" s="1175">
        <v>152.5</v>
      </c>
      <c r="L171" s="1175">
        <v>152.5</v>
      </c>
      <c r="M171" s="1175">
        <v>152.5</v>
      </c>
      <c r="N171" s="1175">
        <v>152.30000000000001</v>
      </c>
      <c r="O171" s="1163">
        <v>2</v>
      </c>
    </row>
    <row r="172" spans="1:15" x14ac:dyDescent="0.2">
      <c r="A172" s="1169">
        <v>2001</v>
      </c>
      <c r="B172" s="1175">
        <v>153.69999999999999</v>
      </c>
      <c r="C172" s="1175">
        <v>153.9</v>
      </c>
      <c r="D172" s="1175">
        <v>154</v>
      </c>
      <c r="E172" s="1175">
        <v>154.19999999999999</v>
      </c>
      <c r="F172" s="1175">
        <v>154.19999999999999</v>
      </c>
      <c r="G172" s="1175">
        <v>154.30000000000001</v>
      </c>
      <c r="H172" s="1175">
        <v>154.19999999999999</v>
      </c>
      <c r="I172" s="1175">
        <v>154.4</v>
      </c>
      <c r="J172" s="1175">
        <v>154.30000000000001</v>
      </c>
      <c r="K172" s="1175">
        <v>154.5</v>
      </c>
      <c r="L172" s="1175">
        <v>155.1</v>
      </c>
      <c r="M172" s="1175">
        <v>155.1</v>
      </c>
      <c r="N172" s="1175">
        <v>154.30000000000001</v>
      </c>
      <c r="O172" s="1163">
        <v>3</v>
      </c>
    </row>
    <row r="173" spans="1:15" x14ac:dyDescent="0.2">
      <c r="A173" s="1169">
        <v>2002</v>
      </c>
      <c r="B173" s="1175">
        <v>155.19999999999999</v>
      </c>
      <c r="C173" s="1175">
        <v>156.6</v>
      </c>
      <c r="D173" s="1175">
        <v>156.69999999999999</v>
      </c>
      <c r="E173" s="1175">
        <v>156.69999999999999</v>
      </c>
      <c r="F173" s="1175">
        <v>156.4</v>
      </c>
      <c r="G173" s="1175">
        <v>156.5</v>
      </c>
      <c r="H173" s="1175">
        <v>156.5</v>
      </c>
      <c r="I173" s="1175">
        <v>157</v>
      </c>
      <c r="J173" s="1175">
        <v>157.1</v>
      </c>
      <c r="K173" s="1175">
        <v>157.19999999999999</v>
      </c>
      <c r="L173" s="1175">
        <v>157.30000000000001</v>
      </c>
      <c r="M173" s="1175">
        <v>158.19999999999999</v>
      </c>
      <c r="N173" s="1175">
        <v>156.80000000000001</v>
      </c>
      <c r="O173" s="1163">
        <v>4</v>
      </c>
    </row>
    <row r="174" spans="1:15" x14ac:dyDescent="0.2">
      <c r="A174" s="1169">
        <v>2003</v>
      </c>
      <c r="B174" s="1175">
        <v>159.1</v>
      </c>
      <c r="C174" s="1175">
        <v>159.1</v>
      </c>
      <c r="D174" s="1175">
        <v>159.19999999999999</v>
      </c>
      <c r="E174" s="1175">
        <v>160.1</v>
      </c>
      <c r="F174" s="1175">
        <v>160</v>
      </c>
      <c r="G174" s="1175">
        <v>160</v>
      </c>
      <c r="H174" s="1175">
        <v>160</v>
      </c>
      <c r="I174" s="1175">
        <v>160.9</v>
      </c>
      <c r="J174" s="1175">
        <v>160.9</v>
      </c>
      <c r="K174" s="1175">
        <v>161</v>
      </c>
      <c r="L174" s="1175">
        <v>161</v>
      </c>
      <c r="M174" s="1175">
        <v>161</v>
      </c>
      <c r="N174" s="1175">
        <v>160.19999999999999</v>
      </c>
      <c r="O174" s="1163">
        <v>5</v>
      </c>
    </row>
    <row r="175" spans="1:15" x14ac:dyDescent="0.2">
      <c r="A175" s="1169">
        <v>2004</v>
      </c>
      <c r="B175" s="1175">
        <v>161.1</v>
      </c>
      <c r="C175" s="1175">
        <v>161.1</v>
      </c>
      <c r="D175" s="1175">
        <v>161.1</v>
      </c>
      <c r="E175" s="1175">
        <v>162.9</v>
      </c>
      <c r="F175" s="1175">
        <v>164</v>
      </c>
      <c r="G175" s="1175">
        <v>164.2</v>
      </c>
      <c r="H175" s="1175">
        <v>164.4</v>
      </c>
      <c r="I175" s="1175">
        <v>164.4</v>
      </c>
      <c r="J175" s="1175">
        <v>164.4</v>
      </c>
      <c r="K175" s="1175">
        <v>164.4</v>
      </c>
      <c r="L175" s="1175">
        <v>164.3</v>
      </c>
      <c r="M175" s="1175">
        <v>166.9</v>
      </c>
      <c r="N175" s="1175">
        <v>163.6</v>
      </c>
      <c r="O175" s="1163">
        <v>6</v>
      </c>
    </row>
    <row r="176" spans="1:15" x14ac:dyDescent="0.2">
      <c r="A176" s="1169">
        <v>2005</v>
      </c>
      <c r="B176" s="1175">
        <v>166.8</v>
      </c>
      <c r="C176" s="1175">
        <v>167.3</v>
      </c>
      <c r="D176" s="1179">
        <v>167</v>
      </c>
      <c r="E176" s="1179">
        <v>167.3</v>
      </c>
      <c r="F176" s="1179">
        <v>168.8</v>
      </c>
      <c r="G176" s="1179">
        <v>169.2</v>
      </c>
      <c r="H176" s="1179">
        <v>169.3</v>
      </c>
      <c r="I176" s="1179">
        <v>168.7</v>
      </c>
      <c r="J176" s="1179">
        <v>168.6</v>
      </c>
      <c r="K176" s="1179">
        <v>169.4</v>
      </c>
      <c r="L176" s="1179">
        <v>169.5</v>
      </c>
      <c r="M176" s="1179">
        <v>169.7</v>
      </c>
      <c r="N176" s="1179">
        <v>168.5</v>
      </c>
      <c r="O176" s="1163">
        <v>7</v>
      </c>
    </row>
    <row r="177" spans="1:15" x14ac:dyDescent="0.2">
      <c r="A177" s="1169">
        <v>2006</v>
      </c>
      <c r="B177" s="1179">
        <v>171.1</v>
      </c>
      <c r="C177" s="1180">
        <v>171.9</v>
      </c>
      <c r="D177" s="1181">
        <v>172</v>
      </c>
      <c r="E177" s="1181">
        <v>173.6</v>
      </c>
      <c r="F177" s="1181">
        <v>173.5</v>
      </c>
      <c r="G177" s="1181">
        <v>173.7</v>
      </c>
      <c r="H177" s="1181">
        <v>174.2</v>
      </c>
      <c r="I177" s="1182">
        <v>173.9</v>
      </c>
      <c r="J177" s="1182">
        <v>174</v>
      </c>
      <c r="K177" s="1182">
        <v>174.3</v>
      </c>
      <c r="L177" s="1182">
        <v>174.4</v>
      </c>
      <c r="M177" s="1182">
        <v>175.6</v>
      </c>
      <c r="N177" s="1182">
        <v>173.5</v>
      </c>
      <c r="O177" s="1163">
        <v>8</v>
      </c>
    </row>
    <row r="178" spans="1:15" x14ac:dyDescent="0.2">
      <c r="A178" s="1169">
        <v>2007</v>
      </c>
      <c r="B178" s="1176">
        <v>177.9</v>
      </c>
      <c r="C178" s="1176">
        <v>178.1</v>
      </c>
      <c r="D178" s="1181">
        <v>177.9</v>
      </c>
      <c r="E178" s="1181">
        <v>178.8</v>
      </c>
      <c r="F178" s="1181">
        <v>180.6</v>
      </c>
      <c r="G178" s="1181">
        <v>181.3</v>
      </c>
      <c r="H178" s="1181">
        <v>182.3</v>
      </c>
      <c r="I178" s="1182">
        <v>181.9</v>
      </c>
      <c r="J178" s="1182">
        <v>181.7</v>
      </c>
      <c r="K178" s="1182">
        <v>182.2</v>
      </c>
      <c r="L178" s="1182">
        <v>182</v>
      </c>
      <c r="M178" s="1182">
        <v>182.5</v>
      </c>
      <c r="N178" s="1182">
        <v>180.6</v>
      </c>
      <c r="O178" s="1163">
        <v>9</v>
      </c>
    </row>
    <row r="179" spans="1:15" x14ac:dyDescent="0.2">
      <c r="A179" s="1169">
        <v>2008</v>
      </c>
      <c r="B179" s="1183">
        <v>183.9</v>
      </c>
      <c r="C179" s="1193">
        <v>183.9</v>
      </c>
      <c r="D179" s="1194">
        <v>183.8</v>
      </c>
      <c r="E179" s="1194">
        <v>184.8</v>
      </c>
      <c r="F179" s="1194">
        <v>185.1</v>
      </c>
      <c r="G179" s="1194">
        <v>185.1</v>
      </c>
      <c r="H179" s="1195">
        <v>185.8</v>
      </c>
      <c r="I179" s="1195">
        <v>187</v>
      </c>
      <c r="J179" s="1195">
        <v>187.8</v>
      </c>
      <c r="K179" s="1195">
        <v>188.4</v>
      </c>
      <c r="L179" s="1195">
        <v>189</v>
      </c>
      <c r="M179" s="1195">
        <v>189.1</v>
      </c>
      <c r="N179" s="1195">
        <v>186.1</v>
      </c>
      <c r="O179" s="1163">
        <v>10</v>
      </c>
    </row>
    <row r="180" spans="1:15" x14ac:dyDescent="0.2">
      <c r="A180" s="1169">
        <v>2009</v>
      </c>
      <c r="B180" s="1156">
        <v>191.1</v>
      </c>
      <c r="C180" s="1156">
        <v>191.6</v>
      </c>
      <c r="D180" s="1156">
        <v>191.7</v>
      </c>
      <c r="E180" s="1156">
        <v>192</v>
      </c>
      <c r="F180" s="1156">
        <v>192</v>
      </c>
      <c r="G180" s="1156">
        <v>191.9</v>
      </c>
      <c r="H180" s="1156">
        <v>192.3</v>
      </c>
      <c r="I180" s="1156">
        <v>192.4</v>
      </c>
      <c r="J180" s="1197">
        <v>192.6</v>
      </c>
      <c r="K180" s="1197">
        <v>192.4</v>
      </c>
      <c r="L180" s="1197">
        <v>192.7</v>
      </c>
      <c r="M180" s="1197">
        <v>193.5</v>
      </c>
      <c r="N180" s="1197">
        <v>192.2</v>
      </c>
      <c r="O180" s="1163">
        <v>11</v>
      </c>
    </row>
    <row r="181" spans="1:15" x14ac:dyDescent="0.2">
      <c r="A181" s="1169">
        <v>2010</v>
      </c>
      <c r="B181" s="1156">
        <v>193.9</v>
      </c>
      <c r="C181" s="1156">
        <v>193.9</v>
      </c>
      <c r="D181" s="1156">
        <v>194.1</v>
      </c>
      <c r="E181" s="1156">
        <v>193.6</v>
      </c>
      <c r="F181" s="1156">
        <v>193.4</v>
      </c>
      <c r="G181" s="1156">
        <v>193.5</v>
      </c>
      <c r="H181" s="1156">
        <v>193.3</v>
      </c>
      <c r="I181" s="1156">
        <v>193.9</v>
      </c>
      <c r="J181" s="1155">
        <v>194</v>
      </c>
      <c r="K181" s="1192">
        <v>193.8</v>
      </c>
      <c r="L181" s="1192">
        <v>194.5</v>
      </c>
      <c r="M181" s="1192">
        <v>195.8</v>
      </c>
      <c r="N181" s="1192">
        <v>194</v>
      </c>
      <c r="O181" s="1163">
        <v>12</v>
      </c>
    </row>
    <row r="182" spans="1:15" x14ac:dyDescent="0.2">
      <c r="A182" s="1169">
        <v>2011</v>
      </c>
      <c r="B182" s="1153">
        <v>197</v>
      </c>
      <c r="C182" s="1156">
        <v>199</v>
      </c>
      <c r="D182" s="1182">
        <v>199</v>
      </c>
      <c r="E182" s="1192">
        <v>200.2</v>
      </c>
      <c r="F182" s="1192">
        <v>200.3</v>
      </c>
      <c r="G182" s="1192">
        <v>200.7</v>
      </c>
      <c r="H182" s="1192">
        <v>201.8</v>
      </c>
      <c r="I182" s="1226">
        <v>202.5</v>
      </c>
      <c r="J182" s="1226">
        <v>202.6</v>
      </c>
      <c r="K182" s="1226">
        <v>202.4</v>
      </c>
      <c r="L182" s="1226">
        <v>202.4</v>
      </c>
      <c r="M182" s="1226">
        <v>202.4</v>
      </c>
      <c r="N182" s="1226">
        <v>200.9</v>
      </c>
      <c r="O182" s="1163">
        <v>13</v>
      </c>
    </row>
    <row r="183" spans="1:15" s="1153" customFormat="1" x14ac:dyDescent="0.2">
      <c r="A183" s="1169">
        <v>2012</v>
      </c>
      <c r="B183" s="1226">
        <v>202.6</v>
      </c>
      <c r="C183" s="1226">
        <v>202.9</v>
      </c>
      <c r="D183" s="1196">
        <v>203</v>
      </c>
      <c r="E183" s="1196">
        <v>204.9</v>
      </c>
      <c r="F183" s="1196">
        <v>204.7</v>
      </c>
      <c r="G183" s="1196">
        <v>205.2</v>
      </c>
      <c r="H183" s="1226" t="s">
        <v>1471</v>
      </c>
      <c r="I183" s="1226" t="s">
        <v>1471</v>
      </c>
      <c r="J183" s="1226" t="s">
        <v>1471</v>
      </c>
      <c r="K183" s="1226" t="s">
        <v>1471</v>
      </c>
      <c r="L183" s="1226" t="s">
        <v>1471</v>
      </c>
      <c r="M183" s="1226" t="s">
        <v>1471</v>
      </c>
      <c r="N183" s="1226" t="s">
        <v>1471</v>
      </c>
      <c r="O183" s="1163">
        <v>14</v>
      </c>
    </row>
    <row r="184" spans="1:15" s="1153" customFormat="1" x14ac:dyDescent="0.2">
      <c r="A184" s="1169">
        <v>2013</v>
      </c>
      <c r="B184" s="1226" t="s">
        <v>1471</v>
      </c>
      <c r="C184" s="1226" t="s">
        <v>1471</v>
      </c>
      <c r="D184" s="1226" t="s">
        <v>1471</v>
      </c>
      <c r="E184" s="1226" t="s">
        <v>1471</v>
      </c>
      <c r="F184" s="1226" t="s">
        <v>1471</v>
      </c>
      <c r="G184" s="1226" t="s">
        <v>1471</v>
      </c>
      <c r="H184" s="1226" t="s">
        <v>1471</v>
      </c>
      <c r="I184" s="1226" t="s">
        <v>1471</v>
      </c>
      <c r="J184" s="1226" t="s">
        <v>1471</v>
      </c>
      <c r="K184" s="1226" t="s">
        <v>1471</v>
      </c>
      <c r="L184" s="1226" t="s">
        <v>1471</v>
      </c>
      <c r="M184" s="1226" t="s">
        <v>1471</v>
      </c>
      <c r="N184" s="1226" t="s">
        <v>1471</v>
      </c>
      <c r="O184" s="1163">
        <v>15</v>
      </c>
    </row>
    <row r="185" spans="1:15" s="1153" customFormat="1" x14ac:dyDescent="0.2">
      <c r="A185" s="1169">
        <v>2014</v>
      </c>
      <c r="B185" s="1226" t="s">
        <v>1471</v>
      </c>
      <c r="C185" s="1226" t="s">
        <v>1471</v>
      </c>
      <c r="D185" s="1226" t="s">
        <v>1471</v>
      </c>
      <c r="E185" s="1226" t="s">
        <v>1471</v>
      </c>
      <c r="F185" s="1226" t="s">
        <v>1471</v>
      </c>
      <c r="G185" s="1226" t="s">
        <v>1471</v>
      </c>
      <c r="H185" s="1226" t="s">
        <v>1471</v>
      </c>
      <c r="I185" s="1226" t="s">
        <v>1471</v>
      </c>
      <c r="J185" s="1226" t="s">
        <v>1471</v>
      </c>
      <c r="K185" s="1226" t="s">
        <v>1471</v>
      </c>
      <c r="L185" s="1226" t="s">
        <v>1471</v>
      </c>
      <c r="M185" s="1226" t="s">
        <v>1471</v>
      </c>
      <c r="N185" s="1226" t="s">
        <v>1471</v>
      </c>
      <c r="O185" s="1163">
        <v>16</v>
      </c>
    </row>
    <row r="186" spans="1:15" s="1153" customFormat="1" x14ac:dyDescent="0.2">
      <c r="A186" s="1169">
        <v>2015</v>
      </c>
      <c r="B186" s="1226" t="s">
        <v>1471</v>
      </c>
      <c r="C186" s="1226" t="s">
        <v>1471</v>
      </c>
      <c r="D186" s="1226" t="s">
        <v>1471</v>
      </c>
      <c r="E186" s="1226" t="s">
        <v>1471</v>
      </c>
      <c r="F186" s="1226" t="s">
        <v>1471</v>
      </c>
      <c r="G186" s="1226" t="s">
        <v>1471</v>
      </c>
      <c r="H186" s="1226" t="s">
        <v>1471</v>
      </c>
      <c r="I186" s="1226" t="s">
        <v>1471</v>
      </c>
      <c r="J186" s="1226" t="s">
        <v>1471</v>
      </c>
      <c r="K186" s="1226" t="s">
        <v>1471</v>
      </c>
      <c r="L186" s="1226" t="s">
        <v>1471</v>
      </c>
      <c r="M186" s="1226" t="s">
        <v>1471</v>
      </c>
      <c r="N186" s="1226" t="s">
        <v>1471</v>
      </c>
      <c r="O186" s="1163">
        <v>17</v>
      </c>
    </row>
    <row r="187" spans="1:15" s="1153" customFormat="1" x14ac:dyDescent="0.2">
      <c r="A187" s="1169">
        <v>2016</v>
      </c>
      <c r="B187" s="1226" t="s">
        <v>1471</v>
      </c>
      <c r="C187" s="1226" t="s">
        <v>1471</v>
      </c>
      <c r="D187" s="1226" t="s">
        <v>1471</v>
      </c>
      <c r="E187" s="1226" t="s">
        <v>1471</v>
      </c>
      <c r="F187" s="1226" t="s">
        <v>1471</v>
      </c>
      <c r="G187" s="1226" t="s">
        <v>1471</v>
      </c>
      <c r="H187" s="1226" t="s">
        <v>1471</v>
      </c>
      <c r="I187" s="1226" t="s">
        <v>1471</v>
      </c>
      <c r="J187" s="1226" t="s">
        <v>1471</v>
      </c>
      <c r="K187" s="1226" t="s">
        <v>1471</v>
      </c>
      <c r="L187" s="1226" t="s">
        <v>1471</v>
      </c>
      <c r="M187" s="1226" t="s">
        <v>1471</v>
      </c>
      <c r="N187" s="1226" t="s">
        <v>1471</v>
      </c>
      <c r="O187" s="1163">
        <v>18</v>
      </c>
    </row>
    <row r="188" spans="1:15" s="1153" customFormat="1" x14ac:dyDescent="0.2">
      <c r="A188" s="1169">
        <v>2017</v>
      </c>
      <c r="B188" s="1226" t="s">
        <v>1471</v>
      </c>
      <c r="C188" s="1226" t="s">
        <v>1471</v>
      </c>
      <c r="D188" s="1226" t="s">
        <v>1471</v>
      </c>
      <c r="E188" s="1226" t="s">
        <v>1471</v>
      </c>
      <c r="F188" s="1226" t="s">
        <v>1471</v>
      </c>
      <c r="G188" s="1226" t="s">
        <v>1471</v>
      </c>
      <c r="H188" s="1226" t="s">
        <v>1471</v>
      </c>
      <c r="I188" s="1226" t="s">
        <v>1471</v>
      </c>
      <c r="J188" s="1226" t="s">
        <v>1471</v>
      </c>
      <c r="K188" s="1226" t="s">
        <v>1471</v>
      </c>
      <c r="L188" s="1226" t="s">
        <v>1471</v>
      </c>
      <c r="M188" s="1226" t="s">
        <v>1471</v>
      </c>
      <c r="N188" s="1226" t="s">
        <v>1471</v>
      </c>
      <c r="O188" s="1163">
        <v>19</v>
      </c>
    </row>
    <row r="189" spans="1:15" s="1153" customFormat="1" x14ac:dyDescent="0.2">
      <c r="A189" s="1169">
        <v>2018</v>
      </c>
      <c r="B189" s="1226" t="s">
        <v>1471</v>
      </c>
      <c r="C189" s="1226" t="s">
        <v>1471</v>
      </c>
      <c r="D189" s="1226" t="s">
        <v>1471</v>
      </c>
      <c r="E189" s="1226" t="s">
        <v>1471</v>
      </c>
      <c r="F189" s="1226" t="s">
        <v>1471</v>
      </c>
      <c r="G189" s="1226" t="s">
        <v>1471</v>
      </c>
      <c r="H189" s="1226" t="s">
        <v>1471</v>
      </c>
      <c r="I189" s="1226" t="s">
        <v>1471</v>
      </c>
      <c r="J189" s="1226" t="s">
        <v>1471</v>
      </c>
      <c r="K189" s="1226" t="s">
        <v>1471</v>
      </c>
      <c r="L189" s="1226" t="s">
        <v>1471</v>
      </c>
      <c r="M189" s="1226" t="s">
        <v>1471</v>
      </c>
      <c r="N189" s="1226" t="s">
        <v>1471</v>
      </c>
      <c r="O189" s="1163">
        <v>20</v>
      </c>
    </row>
    <row r="190" spans="1:15" s="1153" customFormat="1" x14ac:dyDescent="0.2">
      <c r="A190" s="1169">
        <v>2019</v>
      </c>
      <c r="B190" s="1226" t="s">
        <v>1471</v>
      </c>
      <c r="C190" s="1226" t="s">
        <v>1471</v>
      </c>
      <c r="D190" s="1226" t="s">
        <v>1471</v>
      </c>
      <c r="E190" s="1226" t="s">
        <v>1471</v>
      </c>
      <c r="F190" s="1226" t="s">
        <v>1471</v>
      </c>
      <c r="G190" s="1226" t="s">
        <v>1471</v>
      </c>
      <c r="H190" s="1226" t="s">
        <v>1471</v>
      </c>
      <c r="I190" s="1226" t="s">
        <v>1471</v>
      </c>
      <c r="J190" s="1226" t="s">
        <v>1471</v>
      </c>
      <c r="K190" s="1226" t="s">
        <v>1471</v>
      </c>
      <c r="L190" s="1226" t="s">
        <v>1471</v>
      </c>
      <c r="M190" s="1226" t="s">
        <v>1471</v>
      </c>
      <c r="N190" s="1226" t="s">
        <v>1471</v>
      </c>
      <c r="O190" s="1163">
        <v>21</v>
      </c>
    </row>
    <row r="191" spans="1:15" s="1153" customFormat="1" x14ac:dyDescent="0.2">
      <c r="A191" s="1169">
        <v>2020</v>
      </c>
      <c r="B191" s="1226" t="s">
        <v>1471</v>
      </c>
      <c r="C191" s="1226" t="s">
        <v>1471</v>
      </c>
      <c r="D191" s="1226" t="s">
        <v>1471</v>
      </c>
      <c r="E191" s="1226" t="s">
        <v>1471</v>
      </c>
      <c r="F191" s="1226" t="s">
        <v>1471</v>
      </c>
      <c r="G191" s="1226" t="s">
        <v>1471</v>
      </c>
      <c r="H191" s="1226" t="s">
        <v>1471</v>
      </c>
      <c r="I191" s="1226" t="s">
        <v>1471</v>
      </c>
      <c r="J191" s="1226" t="s">
        <v>1471</v>
      </c>
      <c r="K191" s="1226" t="s">
        <v>1471</v>
      </c>
      <c r="L191" s="1226" t="s">
        <v>1471</v>
      </c>
      <c r="M191" s="1226" t="s">
        <v>1471</v>
      </c>
      <c r="N191" s="1226" t="s">
        <v>1471</v>
      </c>
      <c r="O191" s="1163">
        <v>22</v>
      </c>
    </row>
    <row r="192" spans="1:15" x14ac:dyDescent="0.2">
      <c r="A192" s="1169"/>
      <c r="B192" s="1159"/>
      <c r="C192" s="1159"/>
      <c r="D192" s="1159"/>
      <c r="E192" s="1159"/>
      <c r="F192" s="1159"/>
      <c r="G192" s="1159"/>
      <c r="H192" s="1159"/>
      <c r="I192" s="1159"/>
      <c r="J192" s="1159"/>
      <c r="K192" s="1159"/>
      <c r="L192" s="1159"/>
      <c r="M192" s="1159"/>
      <c r="N192" s="1159"/>
      <c r="O192" s="1163">
        <v>23</v>
      </c>
    </row>
    <row r="193" spans="1:15" ht="15" x14ac:dyDescent="0.3">
      <c r="A193" s="1153"/>
      <c r="B193" s="1174" t="s">
        <v>670</v>
      </c>
      <c r="C193" s="1153"/>
      <c r="D193" s="1174">
        <v>198106</v>
      </c>
      <c r="E193" s="1153"/>
      <c r="F193" s="1153"/>
      <c r="G193" s="1153"/>
      <c r="H193" s="1153"/>
      <c r="I193" s="1153"/>
      <c r="J193" s="1153"/>
      <c r="K193" s="1153"/>
      <c r="L193" s="1153"/>
      <c r="M193" s="1153"/>
      <c r="N193" s="1153"/>
      <c r="O193" s="1153"/>
    </row>
    <row r="194" spans="1:15" x14ac:dyDescent="0.2">
      <c r="A194" s="1154" t="s">
        <v>286</v>
      </c>
      <c r="B194" s="1162">
        <v>3315131</v>
      </c>
      <c r="C194" s="1154" t="s">
        <v>324</v>
      </c>
      <c r="D194" s="1153"/>
      <c r="E194" s="1153"/>
      <c r="F194" s="1153"/>
      <c r="G194" s="1153"/>
      <c r="H194" s="1153"/>
      <c r="I194" s="1153"/>
      <c r="J194" s="1153"/>
      <c r="K194" s="1153"/>
      <c r="L194" s="1153"/>
      <c r="M194" s="1153"/>
      <c r="N194" s="1153"/>
      <c r="O194" s="1153" t="s">
        <v>306</v>
      </c>
    </row>
    <row r="195" spans="1:15" x14ac:dyDescent="0.2">
      <c r="A195" s="1154"/>
      <c r="B195" s="1157" t="s">
        <v>291</v>
      </c>
      <c r="C195" s="1168" t="s">
        <v>292</v>
      </c>
      <c r="D195" s="1167" t="s">
        <v>293</v>
      </c>
      <c r="E195" s="1167" t="s">
        <v>294</v>
      </c>
      <c r="F195" s="1167" t="s">
        <v>295</v>
      </c>
      <c r="G195" s="1167" t="s">
        <v>296</v>
      </c>
      <c r="H195" s="1167" t="s">
        <v>297</v>
      </c>
      <c r="I195" s="1167" t="s">
        <v>298</v>
      </c>
      <c r="J195" s="1167" t="s">
        <v>299</v>
      </c>
      <c r="K195" s="1167" t="s">
        <v>300</v>
      </c>
      <c r="L195" s="1167" t="s">
        <v>301</v>
      </c>
      <c r="M195" s="1167" t="s">
        <v>302</v>
      </c>
      <c r="N195" s="1167" t="s">
        <v>318</v>
      </c>
      <c r="O195" s="1153"/>
    </row>
    <row r="196" spans="1:15" x14ac:dyDescent="0.2">
      <c r="A196" s="1161" t="s">
        <v>319</v>
      </c>
      <c r="B196" s="1164">
        <v>1</v>
      </c>
      <c r="C196" s="1164">
        <v>2</v>
      </c>
      <c r="D196" s="1164">
        <v>3</v>
      </c>
      <c r="E196" s="1164">
        <v>4</v>
      </c>
      <c r="F196" s="1164">
        <v>5</v>
      </c>
      <c r="G196" s="1164">
        <v>6</v>
      </c>
      <c r="H196" s="1164">
        <v>7</v>
      </c>
      <c r="I196" s="1164">
        <v>8</v>
      </c>
      <c r="J196" s="1164">
        <v>9</v>
      </c>
      <c r="K196" s="1164">
        <v>10</v>
      </c>
      <c r="L196" s="1164">
        <v>11</v>
      </c>
      <c r="M196" s="1164">
        <v>12</v>
      </c>
      <c r="N196" s="1164">
        <v>13</v>
      </c>
      <c r="O196" s="1165">
        <v>1</v>
      </c>
    </row>
    <row r="197" spans="1:15" x14ac:dyDescent="0.2">
      <c r="A197" s="1169">
        <v>2000</v>
      </c>
      <c r="B197" s="1175">
        <v>146.4</v>
      </c>
      <c r="C197" s="1175">
        <v>146.5</v>
      </c>
      <c r="D197" s="1175">
        <v>146.1</v>
      </c>
      <c r="E197" s="1175">
        <v>145.6</v>
      </c>
      <c r="F197" s="1175">
        <v>145.5</v>
      </c>
      <c r="G197" s="1175">
        <v>144.6</v>
      </c>
      <c r="H197" s="1175">
        <v>144.1</v>
      </c>
      <c r="I197" s="1175">
        <v>144.19999999999999</v>
      </c>
      <c r="J197" s="1175">
        <v>143.9</v>
      </c>
      <c r="K197" s="1175">
        <v>143.9</v>
      </c>
      <c r="L197" s="1175">
        <v>143</v>
      </c>
      <c r="M197" s="1175">
        <v>142.9</v>
      </c>
      <c r="N197" s="1175">
        <v>144.69999999999999</v>
      </c>
      <c r="O197" s="1163">
        <v>2</v>
      </c>
    </row>
    <row r="198" spans="1:15" x14ac:dyDescent="0.2">
      <c r="A198" s="1169">
        <v>2001</v>
      </c>
      <c r="B198" s="1175">
        <v>142.4</v>
      </c>
      <c r="C198" s="1175">
        <v>142.69999999999999</v>
      </c>
      <c r="D198" s="1175">
        <v>142.19999999999999</v>
      </c>
      <c r="E198" s="1175">
        <v>142.19999999999999</v>
      </c>
      <c r="F198" s="1175">
        <v>142.69999999999999</v>
      </c>
      <c r="G198" s="1175">
        <v>142.5</v>
      </c>
      <c r="H198" s="1175">
        <v>142.9</v>
      </c>
      <c r="I198" s="1175">
        <v>142.80000000000001</v>
      </c>
      <c r="J198" s="1175">
        <v>143.19999999999999</v>
      </c>
      <c r="K198" s="1175">
        <v>142.80000000000001</v>
      </c>
      <c r="L198" s="1175">
        <v>143.5</v>
      </c>
      <c r="M198" s="1175">
        <v>143.5</v>
      </c>
      <c r="N198" s="1175">
        <v>142.80000000000001</v>
      </c>
      <c r="O198" s="1163">
        <v>3</v>
      </c>
    </row>
    <row r="199" spans="1:15" x14ac:dyDescent="0.2">
      <c r="A199" s="1169">
        <v>2002</v>
      </c>
      <c r="B199" s="1175">
        <v>143.5</v>
      </c>
      <c r="C199" s="1175">
        <v>143.6</v>
      </c>
      <c r="D199" s="1175">
        <v>142.5</v>
      </c>
      <c r="E199" s="1175">
        <v>142.19999999999999</v>
      </c>
      <c r="F199" s="1175">
        <v>142.69999999999999</v>
      </c>
      <c r="G199" s="1175">
        <v>142.69999999999999</v>
      </c>
      <c r="H199" s="1175">
        <v>142.80000000000001</v>
      </c>
      <c r="I199" s="1175">
        <v>142.80000000000001</v>
      </c>
      <c r="J199" s="1175">
        <v>142.9</v>
      </c>
      <c r="K199" s="1175">
        <v>144.69999999999999</v>
      </c>
      <c r="L199" s="1175">
        <v>145</v>
      </c>
      <c r="M199" s="1175">
        <v>144.6</v>
      </c>
      <c r="N199" s="1175">
        <v>143.30000000000001</v>
      </c>
      <c r="O199" s="1163">
        <v>4</v>
      </c>
    </row>
    <row r="200" spans="1:15" x14ac:dyDescent="0.2">
      <c r="A200" s="1169">
        <v>2003</v>
      </c>
      <c r="B200" s="1175">
        <v>144.4</v>
      </c>
      <c r="C200" s="1175">
        <v>145.5</v>
      </c>
      <c r="D200" s="1175">
        <v>145.9</v>
      </c>
      <c r="E200" s="1175">
        <v>146.1</v>
      </c>
      <c r="F200" s="1175">
        <v>147.4</v>
      </c>
      <c r="G200" s="1175">
        <v>147.9</v>
      </c>
      <c r="H200" s="1175">
        <v>148.6</v>
      </c>
      <c r="I200" s="1175">
        <v>149.5</v>
      </c>
      <c r="J200" s="1175">
        <v>150.5</v>
      </c>
      <c r="K200" s="1175">
        <v>152.19999999999999</v>
      </c>
      <c r="L200" s="1175">
        <v>152.6</v>
      </c>
      <c r="M200" s="1175">
        <v>151.19999999999999</v>
      </c>
      <c r="N200" s="1175">
        <v>148.5</v>
      </c>
      <c r="O200" s="1163">
        <v>5</v>
      </c>
    </row>
    <row r="201" spans="1:15" x14ac:dyDescent="0.2">
      <c r="A201" s="1169">
        <v>2004</v>
      </c>
      <c r="B201" s="1175">
        <v>152.9</v>
      </c>
      <c r="C201" s="1175">
        <v>155.30000000000001</v>
      </c>
      <c r="D201" s="1175">
        <v>157</v>
      </c>
      <c r="E201" s="1175">
        <v>159.6</v>
      </c>
      <c r="F201" s="1175">
        <v>160.6</v>
      </c>
      <c r="G201" s="1175">
        <v>160.6</v>
      </c>
      <c r="H201" s="1175">
        <v>160.6</v>
      </c>
      <c r="I201" s="1175">
        <v>161.4</v>
      </c>
      <c r="J201" s="1175">
        <v>171.6</v>
      </c>
      <c r="K201" s="1175">
        <v>175.1</v>
      </c>
      <c r="L201" s="1175">
        <v>176.8</v>
      </c>
      <c r="M201" s="1175">
        <v>179.6</v>
      </c>
      <c r="N201" s="1175">
        <v>164.2</v>
      </c>
      <c r="O201" s="1163">
        <v>6</v>
      </c>
    </row>
    <row r="202" spans="1:15" x14ac:dyDescent="0.2">
      <c r="A202" s="1169">
        <v>2005</v>
      </c>
      <c r="B202" s="1175">
        <v>180.3</v>
      </c>
      <c r="C202" s="1175">
        <v>182.5</v>
      </c>
      <c r="D202" s="1179">
        <v>182.2</v>
      </c>
      <c r="E202" s="1179">
        <v>184.1</v>
      </c>
      <c r="F202" s="1179">
        <v>184.4</v>
      </c>
      <c r="G202" s="1179">
        <v>185.3</v>
      </c>
      <c r="H202" s="1179">
        <v>187.3</v>
      </c>
      <c r="I202" s="1179">
        <v>191.1</v>
      </c>
      <c r="J202" s="1179">
        <v>191.5</v>
      </c>
      <c r="K202" s="1179">
        <v>193</v>
      </c>
      <c r="L202" s="1179">
        <v>193</v>
      </c>
      <c r="M202" s="1179">
        <v>195.4</v>
      </c>
      <c r="N202" s="1179">
        <v>187.5</v>
      </c>
      <c r="O202" s="1163">
        <v>7</v>
      </c>
    </row>
    <row r="203" spans="1:15" x14ac:dyDescent="0.2">
      <c r="A203" s="1169">
        <v>2006</v>
      </c>
      <c r="B203" s="1179">
        <v>197.4</v>
      </c>
      <c r="C203" s="1180">
        <v>198.1</v>
      </c>
      <c r="D203" s="1181">
        <v>198.2</v>
      </c>
      <c r="E203" s="1181">
        <v>198.9</v>
      </c>
      <c r="F203" s="1181">
        <v>198.6</v>
      </c>
      <c r="G203" s="1181">
        <v>199</v>
      </c>
      <c r="H203" s="1181">
        <v>198.8</v>
      </c>
      <c r="I203" s="1182">
        <v>198.4</v>
      </c>
      <c r="J203" s="1182">
        <v>198.3</v>
      </c>
      <c r="K203" s="1182">
        <v>198.3</v>
      </c>
      <c r="L203" s="1182">
        <v>198.3</v>
      </c>
      <c r="M203" s="1182">
        <v>198.3</v>
      </c>
      <c r="N203" s="1182">
        <v>198.4</v>
      </c>
      <c r="O203" s="1163">
        <v>8</v>
      </c>
    </row>
    <row r="204" spans="1:15" x14ac:dyDescent="0.2">
      <c r="A204" s="1169">
        <v>2007</v>
      </c>
      <c r="B204" s="1176">
        <v>200.4</v>
      </c>
      <c r="C204" s="1176">
        <v>200.3</v>
      </c>
      <c r="D204" s="1181">
        <v>200.2</v>
      </c>
      <c r="E204" s="1181">
        <v>200.5</v>
      </c>
      <c r="F204" s="1181">
        <v>202.2</v>
      </c>
      <c r="G204" s="1181">
        <v>201.4</v>
      </c>
      <c r="H204" s="1181">
        <v>201.7</v>
      </c>
      <c r="I204" s="1182">
        <v>202.2</v>
      </c>
      <c r="J204" s="1182">
        <v>202.1</v>
      </c>
      <c r="K204" s="1182">
        <v>202</v>
      </c>
      <c r="L204" s="1182">
        <v>202.7</v>
      </c>
      <c r="M204" s="1182">
        <v>203.3</v>
      </c>
      <c r="N204" s="1182">
        <v>201.6</v>
      </c>
      <c r="O204" s="1163">
        <v>9</v>
      </c>
    </row>
    <row r="205" spans="1:15" x14ac:dyDescent="0.2">
      <c r="A205" s="1169">
        <v>2008</v>
      </c>
      <c r="B205" s="1183">
        <v>203.7</v>
      </c>
      <c r="C205" s="1193">
        <v>211.8</v>
      </c>
      <c r="D205" s="1194">
        <v>213.6</v>
      </c>
      <c r="E205" s="1194">
        <v>218.5</v>
      </c>
      <c r="F205" s="1194">
        <v>218.7</v>
      </c>
      <c r="G205" s="1194">
        <v>218.7</v>
      </c>
      <c r="H205" s="1195">
        <v>221</v>
      </c>
      <c r="I205" s="1195">
        <v>221.4</v>
      </c>
      <c r="J205" s="1195">
        <v>221.4</v>
      </c>
      <c r="K205" s="1195">
        <v>221.4</v>
      </c>
      <c r="L205" s="1195">
        <v>220.9</v>
      </c>
      <c r="M205" s="1195">
        <v>220</v>
      </c>
      <c r="N205" s="1195">
        <v>217.6</v>
      </c>
      <c r="O205" s="1163">
        <v>10</v>
      </c>
    </row>
    <row r="206" spans="1:15" x14ac:dyDescent="0.2">
      <c r="A206" s="1169">
        <v>2009</v>
      </c>
      <c r="B206" s="1156">
        <v>220.2</v>
      </c>
      <c r="C206" s="1156">
        <v>221.6</v>
      </c>
      <c r="D206" s="1156">
        <v>221.6</v>
      </c>
      <c r="E206" s="1156">
        <v>222.1</v>
      </c>
      <c r="F206" s="1156">
        <v>221.1</v>
      </c>
      <c r="G206" s="1156">
        <v>220.5</v>
      </c>
      <c r="H206" s="1156">
        <v>220.8</v>
      </c>
      <c r="I206" s="1156">
        <v>220.8</v>
      </c>
      <c r="J206" s="1197">
        <v>220.8</v>
      </c>
      <c r="K206" s="1197">
        <v>221</v>
      </c>
      <c r="L206" s="1197">
        <v>220.9</v>
      </c>
      <c r="M206" s="1197">
        <v>220.9</v>
      </c>
      <c r="N206" s="1197">
        <v>221</v>
      </c>
      <c r="O206" s="1163">
        <v>11</v>
      </c>
    </row>
    <row r="207" spans="1:15" x14ac:dyDescent="0.2">
      <c r="A207" s="1169">
        <v>2010</v>
      </c>
      <c r="B207" s="1156">
        <v>221.1</v>
      </c>
      <c r="C207" s="1156">
        <v>221.1</v>
      </c>
      <c r="D207" s="1156">
        <v>221.1</v>
      </c>
      <c r="E207" s="1156">
        <v>223.4</v>
      </c>
      <c r="F207" s="1156">
        <v>223.4</v>
      </c>
      <c r="G207" s="1156">
        <v>223.3</v>
      </c>
      <c r="H207" s="1156">
        <v>223.6</v>
      </c>
      <c r="I207" s="1156">
        <v>223.6</v>
      </c>
      <c r="J207" s="1155">
        <v>223.6</v>
      </c>
      <c r="K207" s="1192">
        <v>224.4</v>
      </c>
      <c r="L207" s="1192">
        <v>224.8</v>
      </c>
      <c r="M207" s="1192">
        <v>225.3</v>
      </c>
      <c r="N207" s="1192">
        <v>223.2</v>
      </c>
      <c r="O207" s="1163">
        <v>12</v>
      </c>
    </row>
    <row r="208" spans="1:15" x14ac:dyDescent="0.2">
      <c r="A208" s="1169">
        <v>2011</v>
      </c>
      <c r="B208" s="1153">
        <v>225.4</v>
      </c>
      <c r="C208" s="1156">
        <v>226.6</v>
      </c>
      <c r="D208" s="1182">
        <v>226</v>
      </c>
      <c r="E208" s="1192">
        <v>224.9</v>
      </c>
      <c r="F208" s="1192">
        <v>228.8</v>
      </c>
      <c r="G208" s="1192">
        <v>228.8</v>
      </c>
      <c r="H208" s="1192">
        <v>228.8</v>
      </c>
      <c r="I208" s="1226">
        <v>228.8</v>
      </c>
      <c r="J208" s="1226">
        <v>230.1</v>
      </c>
      <c r="K208" s="1226">
        <v>233.6</v>
      </c>
      <c r="L208" s="1226">
        <v>233.6</v>
      </c>
      <c r="M208" s="1226">
        <v>233.6</v>
      </c>
      <c r="N208" s="1226">
        <v>229.1</v>
      </c>
      <c r="O208" s="1163">
        <v>13</v>
      </c>
    </row>
    <row r="209" spans="1:15" s="1153" customFormat="1" x14ac:dyDescent="0.2">
      <c r="A209" s="1169">
        <v>2012</v>
      </c>
      <c r="B209" s="1226">
        <v>234.6</v>
      </c>
      <c r="C209" s="1226">
        <v>234.7</v>
      </c>
      <c r="D209" s="1196">
        <v>234.6</v>
      </c>
      <c r="E209" s="1196">
        <v>234.6</v>
      </c>
      <c r="F209" s="1196">
        <v>236.4</v>
      </c>
      <c r="G209" s="1196">
        <v>239.7</v>
      </c>
      <c r="H209" s="1226" t="s">
        <v>1471</v>
      </c>
      <c r="I209" s="1226" t="s">
        <v>1471</v>
      </c>
      <c r="J209" s="1226" t="s">
        <v>1471</v>
      </c>
      <c r="K209" s="1226" t="s">
        <v>1471</v>
      </c>
      <c r="L209" s="1226" t="s">
        <v>1471</v>
      </c>
      <c r="M209" s="1226" t="s">
        <v>1471</v>
      </c>
      <c r="N209" s="1226" t="s">
        <v>1471</v>
      </c>
      <c r="O209" s="1163">
        <v>14</v>
      </c>
    </row>
    <row r="210" spans="1:15" s="1153" customFormat="1" x14ac:dyDescent="0.2">
      <c r="A210" s="1169">
        <v>2013</v>
      </c>
      <c r="B210" s="1226" t="s">
        <v>1471</v>
      </c>
      <c r="C210" s="1226" t="s">
        <v>1471</v>
      </c>
      <c r="D210" s="1226" t="s">
        <v>1471</v>
      </c>
      <c r="E210" s="1226" t="s">
        <v>1471</v>
      </c>
      <c r="F210" s="1226" t="s">
        <v>1471</v>
      </c>
      <c r="G210" s="1226" t="s">
        <v>1471</v>
      </c>
      <c r="H210" s="1226" t="s">
        <v>1471</v>
      </c>
      <c r="I210" s="1226" t="s">
        <v>1471</v>
      </c>
      <c r="J210" s="1226" t="s">
        <v>1471</v>
      </c>
      <c r="K210" s="1226" t="s">
        <v>1471</v>
      </c>
      <c r="L210" s="1226" t="s">
        <v>1471</v>
      </c>
      <c r="M210" s="1226" t="s">
        <v>1471</v>
      </c>
      <c r="N210" s="1226" t="s">
        <v>1471</v>
      </c>
      <c r="O210" s="1163">
        <v>15</v>
      </c>
    </row>
    <row r="211" spans="1:15" s="1153" customFormat="1" x14ac:dyDescent="0.2">
      <c r="A211" s="1169">
        <v>2014</v>
      </c>
      <c r="B211" s="1226" t="s">
        <v>1471</v>
      </c>
      <c r="C211" s="1226" t="s">
        <v>1471</v>
      </c>
      <c r="D211" s="1226" t="s">
        <v>1471</v>
      </c>
      <c r="E211" s="1226" t="s">
        <v>1471</v>
      </c>
      <c r="F211" s="1226" t="s">
        <v>1471</v>
      </c>
      <c r="G211" s="1226" t="s">
        <v>1471</v>
      </c>
      <c r="H211" s="1226" t="s">
        <v>1471</v>
      </c>
      <c r="I211" s="1226" t="s">
        <v>1471</v>
      </c>
      <c r="J211" s="1226" t="s">
        <v>1471</v>
      </c>
      <c r="K211" s="1226" t="s">
        <v>1471</v>
      </c>
      <c r="L211" s="1226" t="s">
        <v>1471</v>
      </c>
      <c r="M211" s="1226" t="s">
        <v>1471</v>
      </c>
      <c r="N211" s="1226" t="s">
        <v>1471</v>
      </c>
      <c r="O211" s="1163">
        <v>16</v>
      </c>
    </row>
    <row r="212" spans="1:15" s="1153" customFormat="1" x14ac:dyDescent="0.2">
      <c r="A212" s="1169">
        <v>2015</v>
      </c>
      <c r="B212" s="1226" t="s">
        <v>1471</v>
      </c>
      <c r="C212" s="1226" t="s">
        <v>1471</v>
      </c>
      <c r="D212" s="1226" t="s">
        <v>1471</v>
      </c>
      <c r="E212" s="1226" t="s">
        <v>1471</v>
      </c>
      <c r="F212" s="1226" t="s">
        <v>1471</v>
      </c>
      <c r="G212" s="1226" t="s">
        <v>1471</v>
      </c>
      <c r="H212" s="1226" t="s">
        <v>1471</v>
      </c>
      <c r="I212" s="1226" t="s">
        <v>1471</v>
      </c>
      <c r="J212" s="1226" t="s">
        <v>1471</v>
      </c>
      <c r="K212" s="1226" t="s">
        <v>1471</v>
      </c>
      <c r="L212" s="1226" t="s">
        <v>1471</v>
      </c>
      <c r="M212" s="1226" t="s">
        <v>1471</v>
      </c>
      <c r="N212" s="1226" t="s">
        <v>1471</v>
      </c>
      <c r="O212" s="1163">
        <v>17</v>
      </c>
    </row>
    <row r="213" spans="1:15" s="1153" customFormat="1" x14ac:dyDescent="0.2">
      <c r="A213" s="1169">
        <v>2016</v>
      </c>
      <c r="B213" s="1226" t="s">
        <v>1471</v>
      </c>
      <c r="C213" s="1226" t="s">
        <v>1471</v>
      </c>
      <c r="D213" s="1226" t="s">
        <v>1471</v>
      </c>
      <c r="E213" s="1226" t="s">
        <v>1471</v>
      </c>
      <c r="F213" s="1226" t="s">
        <v>1471</v>
      </c>
      <c r="G213" s="1226" t="s">
        <v>1471</v>
      </c>
      <c r="H213" s="1226" t="s">
        <v>1471</v>
      </c>
      <c r="I213" s="1226" t="s">
        <v>1471</v>
      </c>
      <c r="J213" s="1226" t="s">
        <v>1471</v>
      </c>
      <c r="K213" s="1226" t="s">
        <v>1471</v>
      </c>
      <c r="L213" s="1226" t="s">
        <v>1471</v>
      </c>
      <c r="M213" s="1226" t="s">
        <v>1471</v>
      </c>
      <c r="N213" s="1226" t="s">
        <v>1471</v>
      </c>
      <c r="O213" s="1163">
        <v>18</v>
      </c>
    </row>
    <row r="214" spans="1:15" s="1153" customFormat="1" x14ac:dyDescent="0.2">
      <c r="A214" s="1169">
        <v>2017</v>
      </c>
      <c r="B214" s="1226" t="s">
        <v>1471</v>
      </c>
      <c r="C214" s="1226" t="s">
        <v>1471</v>
      </c>
      <c r="D214" s="1226" t="s">
        <v>1471</v>
      </c>
      <c r="E214" s="1226" t="s">
        <v>1471</v>
      </c>
      <c r="F214" s="1226" t="s">
        <v>1471</v>
      </c>
      <c r="G214" s="1226" t="s">
        <v>1471</v>
      </c>
      <c r="H214" s="1226" t="s">
        <v>1471</v>
      </c>
      <c r="I214" s="1226" t="s">
        <v>1471</v>
      </c>
      <c r="J214" s="1226" t="s">
        <v>1471</v>
      </c>
      <c r="K214" s="1226" t="s">
        <v>1471</v>
      </c>
      <c r="L214" s="1226" t="s">
        <v>1471</v>
      </c>
      <c r="M214" s="1226" t="s">
        <v>1471</v>
      </c>
      <c r="N214" s="1226" t="s">
        <v>1471</v>
      </c>
      <c r="O214" s="1163">
        <v>19</v>
      </c>
    </row>
    <row r="215" spans="1:15" s="1153" customFormat="1" x14ac:dyDescent="0.2">
      <c r="A215" s="1169">
        <v>2018</v>
      </c>
      <c r="B215" s="1226" t="s">
        <v>1471</v>
      </c>
      <c r="C215" s="1226" t="s">
        <v>1471</v>
      </c>
      <c r="D215" s="1226" t="s">
        <v>1471</v>
      </c>
      <c r="E215" s="1226" t="s">
        <v>1471</v>
      </c>
      <c r="F215" s="1226" t="s">
        <v>1471</v>
      </c>
      <c r="G215" s="1226" t="s">
        <v>1471</v>
      </c>
      <c r="H215" s="1226" t="s">
        <v>1471</v>
      </c>
      <c r="I215" s="1226" t="s">
        <v>1471</v>
      </c>
      <c r="J215" s="1226" t="s">
        <v>1471</v>
      </c>
      <c r="K215" s="1226" t="s">
        <v>1471</v>
      </c>
      <c r="L215" s="1226" t="s">
        <v>1471</v>
      </c>
      <c r="M215" s="1226" t="s">
        <v>1471</v>
      </c>
      <c r="N215" s="1226" t="s">
        <v>1471</v>
      </c>
      <c r="O215" s="1163">
        <v>20</v>
      </c>
    </row>
    <row r="216" spans="1:15" s="1153" customFormat="1" x14ac:dyDescent="0.2">
      <c r="A216" s="1169">
        <v>2019</v>
      </c>
      <c r="B216" s="1226" t="s">
        <v>1471</v>
      </c>
      <c r="C216" s="1226" t="s">
        <v>1471</v>
      </c>
      <c r="D216" s="1226" t="s">
        <v>1471</v>
      </c>
      <c r="E216" s="1226" t="s">
        <v>1471</v>
      </c>
      <c r="F216" s="1226" t="s">
        <v>1471</v>
      </c>
      <c r="G216" s="1226" t="s">
        <v>1471</v>
      </c>
      <c r="H216" s="1226" t="s">
        <v>1471</v>
      </c>
      <c r="I216" s="1226" t="s">
        <v>1471</v>
      </c>
      <c r="J216" s="1226" t="s">
        <v>1471</v>
      </c>
      <c r="K216" s="1226" t="s">
        <v>1471</v>
      </c>
      <c r="L216" s="1226" t="s">
        <v>1471</v>
      </c>
      <c r="M216" s="1226" t="s">
        <v>1471</v>
      </c>
      <c r="N216" s="1226" t="s">
        <v>1471</v>
      </c>
      <c r="O216" s="1163">
        <v>21</v>
      </c>
    </row>
    <row r="217" spans="1:15" s="1153" customFormat="1" x14ac:dyDescent="0.2">
      <c r="A217" s="1169">
        <v>2020</v>
      </c>
      <c r="B217" s="1226" t="s">
        <v>1471</v>
      </c>
      <c r="C217" s="1226" t="s">
        <v>1471</v>
      </c>
      <c r="D217" s="1226" t="s">
        <v>1471</v>
      </c>
      <c r="E217" s="1226" t="s">
        <v>1471</v>
      </c>
      <c r="F217" s="1226" t="s">
        <v>1471</v>
      </c>
      <c r="G217" s="1226" t="s">
        <v>1471</v>
      </c>
      <c r="H217" s="1226" t="s">
        <v>1471</v>
      </c>
      <c r="I217" s="1226" t="s">
        <v>1471</v>
      </c>
      <c r="J217" s="1226" t="s">
        <v>1471</v>
      </c>
      <c r="K217" s="1226" t="s">
        <v>1471</v>
      </c>
      <c r="L217" s="1226" t="s">
        <v>1471</v>
      </c>
      <c r="M217" s="1226" t="s">
        <v>1471</v>
      </c>
      <c r="N217" s="1226" t="s">
        <v>1471</v>
      </c>
      <c r="O217" s="1163">
        <v>22</v>
      </c>
    </row>
    <row r="218" spans="1:15" x14ac:dyDescent="0.2">
      <c r="A218" s="1169"/>
      <c r="B218" s="1159"/>
      <c r="C218" s="1159"/>
      <c r="D218" s="1159"/>
      <c r="E218" s="1159"/>
      <c r="F218" s="1159"/>
      <c r="G218" s="1159"/>
      <c r="H218" s="1159"/>
      <c r="I218" s="1159"/>
      <c r="J218" s="1159"/>
      <c r="K218" s="1159"/>
      <c r="L218" s="1159"/>
      <c r="M218" s="1159"/>
      <c r="N218" s="1159"/>
      <c r="O218" s="1163">
        <v>23</v>
      </c>
    </row>
    <row r="219" spans="1:15" ht="15" x14ac:dyDescent="0.3">
      <c r="A219" s="1153"/>
      <c r="B219" s="1174" t="s">
        <v>671</v>
      </c>
      <c r="C219" s="1153"/>
      <c r="D219" s="1174">
        <v>198306</v>
      </c>
      <c r="E219" s="1153"/>
      <c r="F219" s="1153"/>
      <c r="G219" s="1153"/>
      <c r="H219" s="1153"/>
      <c r="I219" s="1153"/>
      <c r="J219" s="1153"/>
      <c r="K219" s="1153"/>
      <c r="L219" s="1153"/>
      <c r="M219" s="1153"/>
      <c r="N219" s="1153"/>
      <c r="O219" s="1153"/>
    </row>
    <row r="220" spans="1:15" x14ac:dyDescent="0.2">
      <c r="A220" s="1154" t="s">
        <v>286</v>
      </c>
      <c r="B220" s="1162" t="s">
        <v>325</v>
      </c>
      <c r="C220" s="1154" t="s">
        <v>326</v>
      </c>
      <c r="D220" s="1153"/>
      <c r="E220" s="1153"/>
      <c r="F220" s="1153"/>
      <c r="G220" s="1153"/>
      <c r="H220" s="1153"/>
      <c r="I220" s="1153"/>
      <c r="J220" s="1153"/>
      <c r="K220" s="1153"/>
      <c r="L220" s="1153"/>
      <c r="M220" s="1153"/>
      <c r="N220" s="1153"/>
      <c r="O220" s="1153" t="s">
        <v>306</v>
      </c>
    </row>
    <row r="221" spans="1:15" x14ac:dyDescent="0.2">
      <c r="A221" s="1154"/>
      <c r="B221" s="1157" t="s">
        <v>291</v>
      </c>
      <c r="C221" s="1168" t="s">
        <v>292</v>
      </c>
      <c r="D221" s="1167" t="s">
        <v>293</v>
      </c>
      <c r="E221" s="1167" t="s">
        <v>294</v>
      </c>
      <c r="F221" s="1167" t="s">
        <v>295</v>
      </c>
      <c r="G221" s="1167" t="s">
        <v>296</v>
      </c>
      <c r="H221" s="1167" t="s">
        <v>297</v>
      </c>
      <c r="I221" s="1167" t="s">
        <v>298</v>
      </c>
      <c r="J221" s="1167" t="s">
        <v>299</v>
      </c>
      <c r="K221" s="1167" t="s">
        <v>300</v>
      </c>
      <c r="L221" s="1167" t="s">
        <v>301</v>
      </c>
      <c r="M221" s="1167" t="s">
        <v>302</v>
      </c>
      <c r="N221" s="1167" t="s">
        <v>318</v>
      </c>
      <c r="O221" s="1153"/>
    </row>
    <row r="222" spans="1:15" x14ac:dyDescent="0.2">
      <c r="A222" s="1161" t="s">
        <v>319</v>
      </c>
      <c r="B222" s="1164">
        <v>1</v>
      </c>
      <c r="C222" s="1164">
        <v>2</v>
      </c>
      <c r="D222" s="1164">
        <v>3</v>
      </c>
      <c r="E222" s="1164">
        <v>4</v>
      </c>
      <c r="F222" s="1164">
        <v>5</v>
      </c>
      <c r="G222" s="1164">
        <v>6</v>
      </c>
      <c r="H222" s="1164">
        <v>7</v>
      </c>
      <c r="I222" s="1164">
        <v>8</v>
      </c>
      <c r="J222" s="1164">
        <v>9</v>
      </c>
      <c r="K222" s="1164">
        <v>10</v>
      </c>
      <c r="L222" s="1164">
        <v>11</v>
      </c>
      <c r="M222" s="1164">
        <v>12</v>
      </c>
      <c r="N222" s="1164">
        <v>13</v>
      </c>
      <c r="O222" s="1165">
        <v>1</v>
      </c>
    </row>
    <row r="223" spans="1:15" x14ac:dyDescent="0.2">
      <c r="A223" s="1169">
        <v>2000</v>
      </c>
      <c r="B223" s="1175">
        <v>139.19999999999999</v>
      </c>
      <c r="C223" s="1175">
        <v>139.30000000000001</v>
      </c>
      <c r="D223" s="1175">
        <v>139.4</v>
      </c>
      <c r="E223" s="1175">
        <v>139</v>
      </c>
      <c r="F223" s="1175">
        <v>139.1</v>
      </c>
      <c r="G223" s="1175">
        <v>139</v>
      </c>
      <c r="H223" s="1175">
        <v>139.30000000000001</v>
      </c>
      <c r="I223" s="1175">
        <v>139.5</v>
      </c>
      <c r="J223" s="1175">
        <v>139.5</v>
      </c>
      <c r="K223" s="1175">
        <v>139.4</v>
      </c>
      <c r="L223" s="1175">
        <v>139.4</v>
      </c>
      <c r="M223" s="1175">
        <v>139.5</v>
      </c>
      <c r="N223" s="1175">
        <v>139.30000000000001</v>
      </c>
      <c r="O223" s="1163">
        <v>2</v>
      </c>
    </row>
    <row r="224" spans="1:15" x14ac:dyDescent="0.2">
      <c r="A224" s="1169">
        <v>2001</v>
      </c>
      <c r="B224" s="1175">
        <v>139.6</v>
      </c>
      <c r="C224" s="1175">
        <v>139.69999999999999</v>
      </c>
      <c r="D224" s="1175">
        <v>140.1</v>
      </c>
      <c r="E224" s="1175">
        <v>140</v>
      </c>
      <c r="F224" s="1175">
        <v>140</v>
      </c>
      <c r="G224" s="1175">
        <v>140</v>
      </c>
      <c r="H224" s="1175">
        <v>140.30000000000001</v>
      </c>
      <c r="I224" s="1175">
        <v>140.30000000000001</v>
      </c>
      <c r="J224" s="1175">
        <v>140.19999999999999</v>
      </c>
      <c r="K224" s="1175">
        <v>139.4</v>
      </c>
      <c r="L224" s="1175">
        <v>139.4</v>
      </c>
      <c r="M224" s="1175">
        <v>139.5</v>
      </c>
      <c r="N224" s="1175">
        <v>139.9</v>
      </c>
      <c r="O224" s="1163">
        <v>3</v>
      </c>
    </row>
    <row r="225" spans="1:15" x14ac:dyDescent="0.2">
      <c r="A225" s="1169">
        <v>2002</v>
      </c>
      <c r="B225" s="1175">
        <v>139.69999999999999</v>
      </c>
      <c r="C225" s="1175">
        <v>139.69999999999999</v>
      </c>
      <c r="D225" s="1175">
        <v>139.6</v>
      </c>
      <c r="E225" s="1175">
        <v>139.9</v>
      </c>
      <c r="F225" s="1175">
        <v>140</v>
      </c>
      <c r="G225" s="1175">
        <v>139.9</v>
      </c>
      <c r="H225" s="1175">
        <v>139.9</v>
      </c>
      <c r="I225" s="1175">
        <v>140</v>
      </c>
      <c r="J225" s="1175">
        <v>139.9</v>
      </c>
      <c r="K225" s="1175">
        <v>139.5</v>
      </c>
      <c r="L225" s="1175">
        <v>140.4</v>
      </c>
      <c r="M225" s="1175">
        <v>140.5</v>
      </c>
      <c r="N225" s="1175">
        <v>139.9</v>
      </c>
      <c r="O225" s="1163">
        <v>4</v>
      </c>
    </row>
    <row r="226" spans="1:15" x14ac:dyDescent="0.2">
      <c r="A226" s="1169">
        <v>2003</v>
      </c>
      <c r="B226" s="1175">
        <v>140.6</v>
      </c>
      <c r="C226" s="1175">
        <v>140.6</v>
      </c>
      <c r="D226" s="1175">
        <v>140.6</v>
      </c>
      <c r="E226" s="1175">
        <v>140.5</v>
      </c>
      <c r="F226" s="1175">
        <v>140.69999999999999</v>
      </c>
      <c r="G226" s="1175">
        <v>140.5</v>
      </c>
      <c r="H226" s="1175">
        <v>140.5</v>
      </c>
      <c r="I226" s="1175">
        <v>140.5</v>
      </c>
      <c r="J226" s="1175">
        <v>140.6</v>
      </c>
      <c r="K226" s="1175">
        <v>140.5</v>
      </c>
      <c r="L226" s="1175">
        <v>140.5</v>
      </c>
      <c r="M226" s="1175">
        <v>140.6</v>
      </c>
      <c r="N226" s="1175">
        <v>140.6</v>
      </c>
      <c r="O226" s="1163">
        <v>5</v>
      </c>
    </row>
    <row r="227" spans="1:15" x14ac:dyDescent="0.2">
      <c r="A227" s="1169">
        <v>2004</v>
      </c>
      <c r="B227" s="1175">
        <v>140.6</v>
      </c>
      <c r="C227" s="1175">
        <v>140.80000000000001</v>
      </c>
      <c r="D227" s="1175">
        <v>141.30000000000001</v>
      </c>
      <c r="E227" s="1175">
        <v>141.69999999999999</v>
      </c>
      <c r="F227" s="1175">
        <v>141.69999999999999</v>
      </c>
      <c r="G227" s="1175">
        <v>143.30000000000001</v>
      </c>
      <c r="H227" s="1175">
        <v>143.69999999999999</v>
      </c>
      <c r="I227" s="1175">
        <v>144.19999999999999</v>
      </c>
      <c r="J227" s="1175">
        <v>144.1</v>
      </c>
      <c r="K227" s="1175">
        <v>144.19999999999999</v>
      </c>
      <c r="L227" s="1175">
        <v>144.5</v>
      </c>
      <c r="M227" s="1175">
        <v>147.19999999999999</v>
      </c>
      <c r="N227" s="1175">
        <v>143.1</v>
      </c>
      <c r="O227" s="1163">
        <v>6</v>
      </c>
    </row>
    <row r="228" spans="1:15" x14ac:dyDescent="0.2">
      <c r="A228" s="1169">
        <v>2005</v>
      </c>
      <c r="B228" s="1175">
        <v>150.19999999999999</v>
      </c>
      <c r="C228" s="1175">
        <v>150.30000000000001</v>
      </c>
      <c r="D228" s="1179">
        <v>150.4</v>
      </c>
      <c r="E228" s="1179">
        <v>150.6</v>
      </c>
      <c r="F228" s="1179">
        <v>150.69999999999999</v>
      </c>
      <c r="G228" s="1179">
        <v>150.80000000000001</v>
      </c>
      <c r="H228" s="1179">
        <v>151.30000000000001</v>
      </c>
      <c r="I228" s="1179">
        <v>151.30000000000001</v>
      </c>
      <c r="J228" s="1179">
        <v>151.1</v>
      </c>
      <c r="K228" s="1179">
        <v>152.30000000000001</v>
      </c>
      <c r="L228" s="1179">
        <v>153.6</v>
      </c>
      <c r="M228" s="1179">
        <v>153.9</v>
      </c>
      <c r="N228" s="1179">
        <v>151.4</v>
      </c>
      <c r="O228" s="1163">
        <v>7</v>
      </c>
    </row>
    <row r="229" spans="1:15" x14ac:dyDescent="0.2">
      <c r="A229" s="1169">
        <v>2006</v>
      </c>
      <c r="B229" s="1179">
        <v>154.5</v>
      </c>
      <c r="C229" s="1180">
        <v>154.6</v>
      </c>
      <c r="D229" s="1181">
        <v>154.69999999999999</v>
      </c>
      <c r="E229" s="1181">
        <v>156</v>
      </c>
      <c r="F229" s="1181">
        <v>156</v>
      </c>
      <c r="G229" s="1181">
        <v>157.5</v>
      </c>
      <c r="H229" s="1181">
        <v>158.9</v>
      </c>
      <c r="I229" s="1182">
        <v>161.80000000000001</v>
      </c>
      <c r="J229" s="1182">
        <v>162</v>
      </c>
      <c r="K229" s="1182">
        <v>162.30000000000001</v>
      </c>
      <c r="L229" s="1182">
        <v>162.6</v>
      </c>
      <c r="M229" s="1182">
        <v>162.6</v>
      </c>
      <c r="N229" s="1182">
        <v>158.6</v>
      </c>
      <c r="O229" s="1163">
        <v>8</v>
      </c>
    </row>
    <row r="230" spans="1:15" x14ac:dyDescent="0.2">
      <c r="A230" s="1169">
        <v>2007</v>
      </c>
      <c r="B230" s="1176">
        <v>163.80000000000001</v>
      </c>
      <c r="C230" s="1176">
        <v>164.9</v>
      </c>
      <c r="D230" s="1181">
        <v>164.9</v>
      </c>
      <c r="E230" s="1181">
        <v>165.9</v>
      </c>
      <c r="F230" s="1181">
        <v>165.6</v>
      </c>
      <c r="G230" s="1181">
        <v>166.4</v>
      </c>
      <c r="H230" s="1181">
        <v>167.2</v>
      </c>
      <c r="I230" s="1182">
        <v>167.3</v>
      </c>
      <c r="J230" s="1182">
        <v>167.3</v>
      </c>
      <c r="K230" s="1182">
        <v>167.6</v>
      </c>
      <c r="L230" s="1182">
        <v>167.9</v>
      </c>
      <c r="M230" s="1182">
        <v>168.1</v>
      </c>
      <c r="N230" s="1182">
        <v>166.4</v>
      </c>
      <c r="O230" s="1163">
        <v>9</v>
      </c>
    </row>
    <row r="231" spans="1:15" x14ac:dyDescent="0.2">
      <c r="A231" s="1169">
        <v>2008</v>
      </c>
      <c r="B231" s="1183">
        <v>170</v>
      </c>
      <c r="C231" s="1193">
        <v>170.5</v>
      </c>
      <c r="D231" s="1194">
        <v>171.1</v>
      </c>
      <c r="E231" s="1194">
        <v>172.1</v>
      </c>
      <c r="F231" s="1194">
        <v>173.4</v>
      </c>
      <c r="G231" s="1194">
        <v>174</v>
      </c>
      <c r="H231" s="1195">
        <v>176.6</v>
      </c>
      <c r="I231" s="1195">
        <v>178.2</v>
      </c>
      <c r="J231" s="1195">
        <v>178.2</v>
      </c>
      <c r="K231" s="1195">
        <v>178.5</v>
      </c>
      <c r="L231" s="1195">
        <v>178.6</v>
      </c>
      <c r="M231" s="1195">
        <v>178.6</v>
      </c>
      <c r="N231" s="1195">
        <v>175</v>
      </c>
      <c r="O231" s="1163">
        <v>10</v>
      </c>
    </row>
    <row r="232" spans="1:15" x14ac:dyDescent="0.2">
      <c r="A232" s="1169">
        <v>2009</v>
      </c>
      <c r="B232" s="1156">
        <v>179.4</v>
      </c>
      <c r="C232" s="1156">
        <v>179.9</v>
      </c>
      <c r="D232" s="1156">
        <v>180.1</v>
      </c>
      <c r="E232" s="1156">
        <v>179.5</v>
      </c>
      <c r="F232" s="1156">
        <v>179.8</v>
      </c>
      <c r="G232" s="1156">
        <v>179.6</v>
      </c>
      <c r="H232" s="1156">
        <v>179.4</v>
      </c>
      <c r="I232" s="1156">
        <v>180.1</v>
      </c>
      <c r="J232" s="1198">
        <v>180</v>
      </c>
      <c r="K232" s="1198">
        <v>180</v>
      </c>
      <c r="L232" s="1198">
        <v>180</v>
      </c>
      <c r="M232" s="1198">
        <v>180</v>
      </c>
      <c r="N232" s="1198">
        <v>179.8</v>
      </c>
      <c r="O232" s="1163">
        <v>11</v>
      </c>
    </row>
    <row r="233" spans="1:15" x14ac:dyDescent="0.2">
      <c r="A233" s="1169">
        <v>2010</v>
      </c>
      <c r="B233" s="1156">
        <v>180.1</v>
      </c>
      <c r="C233" s="1156">
        <v>179.9</v>
      </c>
      <c r="D233" s="1156">
        <v>180.7</v>
      </c>
      <c r="E233" s="1156">
        <v>181</v>
      </c>
      <c r="F233" s="1156">
        <v>181.5</v>
      </c>
      <c r="G233" s="1156">
        <v>185.2</v>
      </c>
      <c r="H233" s="1156">
        <v>185.3</v>
      </c>
      <c r="I233" s="1156">
        <v>185.4</v>
      </c>
      <c r="J233" s="1155">
        <v>185.3</v>
      </c>
      <c r="K233" s="1192">
        <v>185.6</v>
      </c>
      <c r="L233" s="1192">
        <v>185.7</v>
      </c>
      <c r="M233" s="1192">
        <v>186.9</v>
      </c>
      <c r="N233" s="1192">
        <v>183.6</v>
      </c>
      <c r="O233" s="1163">
        <v>12</v>
      </c>
    </row>
    <row r="234" spans="1:15" x14ac:dyDescent="0.2">
      <c r="A234" s="1169">
        <v>2011</v>
      </c>
      <c r="B234" s="1153">
        <v>190.9</v>
      </c>
      <c r="C234" s="1156">
        <v>191.1</v>
      </c>
      <c r="D234" s="1182">
        <v>192.6</v>
      </c>
      <c r="E234" s="1192">
        <v>193</v>
      </c>
      <c r="F234" s="1192">
        <v>193.1</v>
      </c>
      <c r="G234" s="1192">
        <v>196.2</v>
      </c>
      <c r="H234" s="1192">
        <v>196.2</v>
      </c>
      <c r="I234" s="1226">
        <v>196.4</v>
      </c>
      <c r="J234" s="1226">
        <v>196.9</v>
      </c>
      <c r="K234" s="1226">
        <v>197</v>
      </c>
      <c r="L234" s="1226">
        <v>197.3</v>
      </c>
      <c r="M234" s="1226">
        <v>198.4</v>
      </c>
      <c r="N234" s="1226">
        <v>194.9</v>
      </c>
      <c r="O234" s="1163">
        <v>13</v>
      </c>
    </row>
    <row r="235" spans="1:15" s="1153" customFormat="1" x14ac:dyDescent="0.2">
      <c r="A235" s="1169">
        <v>2012</v>
      </c>
      <c r="B235" s="1226">
        <v>200</v>
      </c>
      <c r="C235" s="1226">
        <v>200</v>
      </c>
      <c r="D235" s="1196">
        <v>200.2</v>
      </c>
      <c r="E235" s="1196">
        <v>199.7</v>
      </c>
      <c r="F235" s="1196">
        <v>199.5</v>
      </c>
      <c r="G235" s="1196">
        <v>199.5</v>
      </c>
      <c r="H235" s="1226" t="s">
        <v>1471</v>
      </c>
      <c r="I235" s="1226" t="s">
        <v>1471</v>
      </c>
      <c r="J235" s="1226" t="s">
        <v>1471</v>
      </c>
      <c r="K235" s="1226" t="s">
        <v>1471</v>
      </c>
      <c r="L235" s="1226" t="s">
        <v>1471</v>
      </c>
      <c r="M235" s="1226" t="s">
        <v>1471</v>
      </c>
      <c r="N235" s="1226" t="s">
        <v>1471</v>
      </c>
      <c r="O235" s="1163">
        <v>14</v>
      </c>
    </row>
    <row r="236" spans="1:15" s="1153" customFormat="1" x14ac:dyDescent="0.2">
      <c r="A236" s="1169">
        <v>2013</v>
      </c>
      <c r="B236" s="1226" t="s">
        <v>1471</v>
      </c>
      <c r="C236" s="1226" t="s">
        <v>1471</v>
      </c>
      <c r="D236" s="1226" t="s">
        <v>1471</v>
      </c>
      <c r="E236" s="1226" t="s">
        <v>1471</v>
      </c>
      <c r="F236" s="1226" t="s">
        <v>1471</v>
      </c>
      <c r="G236" s="1226" t="s">
        <v>1471</v>
      </c>
      <c r="H236" s="1226" t="s">
        <v>1471</v>
      </c>
      <c r="I236" s="1226" t="s">
        <v>1471</v>
      </c>
      <c r="J236" s="1226" t="s">
        <v>1471</v>
      </c>
      <c r="K236" s="1226" t="s">
        <v>1471</v>
      </c>
      <c r="L236" s="1226" t="s">
        <v>1471</v>
      </c>
      <c r="M236" s="1226" t="s">
        <v>1471</v>
      </c>
      <c r="N236" s="1226" t="s">
        <v>1471</v>
      </c>
      <c r="O236" s="1163">
        <v>15</v>
      </c>
    </row>
    <row r="237" spans="1:15" s="1153" customFormat="1" x14ac:dyDescent="0.2">
      <c r="A237" s="1169">
        <v>2014</v>
      </c>
      <c r="B237" s="1226" t="s">
        <v>1471</v>
      </c>
      <c r="C237" s="1226" t="s">
        <v>1471</v>
      </c>
      <c r="D237" s="1226" t="s">
        <v>1471</v>
      </c>
      <c r="E237" s="1226" t="s">
        <v>1471</v>
      </c>
      <c r="F237" s="1226" t="s">
        <v>1471</v>
      </c>
      <c r="G237" s="1226" t="s">
        <v>1471</v>
      </c>
      <c r="H237" s="1226" t="s">
        <v>1471</v>
      </c>
      <c r="I237" s="1226" t="s">
        <v>1471</v>
      </c>
      <c r="J237" s="1226" t="s">
        <v>1471</v>
      </c>
      <c r="K237" s="1226" t="s">
        <v>1471</v>
      </c>
      <c r="L237" s="1226" t="s">
        <v>1471</v>
      </c>
      <c r="M237" s="1226" t="s">
        <v>1471</v>
      </c>
      <c r="N237" s="1226" t="s">
        <v>1471</v>
      </c>
      <c r="O237" s="1163">
        <v>16</v>
      </c>
    </row>
    <row r="238" spans="1:15" s="1153" customFormat="1" x14ac:dyDescent="0.2">
      <c r="A238" s="1169">
        <v>2015</v>
      </c>
      <c r="B238" s="1226" t="s">
        <v>1471</v>
      </c>
      <c r="C238" s="1226" t="s">
        <v>1471</v>
      </c>
      <c r="D238" s="1226" t="s">
        <v>1471</v>
      </c>
      <c r="E238" s="1226" t="s">
        <v>1471</v>
      </c>
      <c r="F238" s="1226" t="s">
        <v>1471</v>
      </c>
      <c r="G238" s="1226" t="s">
        <v>1471</v>
      </c>
      <c r="H238" s="1226" t="s">
        <v>1471</v>
      </c>
      <c r="I238" s="1226" t="s">
        <v>1471</v>
      </c>
      <c r="J238" s="1226" t="s">
        <v>1471</v>
      </c>
      <c r="K238" s="1226" t="s">
        <v>1471</v>
      </c>
      <c r="L238" s="1226" t="s">
        <v>1471</v>
      </c>
      <c r="M238" s="1226" t="s">
        <v>1471</v>
      </c>
      <c r="N238" s="1226" t="s">
        <v>1471</v>
      </c>
      <c r="O238" s="1163">
        <v>17</v>
      </c>
    </row>
    <row r="239" spans="1:15" s="1153" customFormat="1" x14ac:dyDescent="0.2">
      <c r="A239" s="1169">
        <v>2016</v>
      </c>
      <c r="B239" s="1226" t="s">
        <v>1471</v>
      </c>
      <c r="C239" s="1226" t="s">
        <v>1471</v>
      </c>
      <c r="D239" s="1226" t="s">
        <v>1471</v>
      </c>
      <c r="E239" s="1226" t="s">
        <v>1471</v>
      </c>
      <c r="F239" s="1226" t="s">
        <v>1471</v>
      </c>
      <c r="G239" s="1226" t="s">
        <v>1471</v>
      </c>
      <c r="H239" s="1226" t="s">
        <v>1471</v>
      </c>
      <c r="I239" s="1226" t="s">
        <v>1471</v>
      </c>
      <c r="J239" s="1226" t="s">
        <v>1471</v>
      </c>
      <c r="K239" s="1226" t="s">
        <v>1471</v>
      </c>
      <c r="L239" s="1226" t="s">
        <v>1471</v>
      </c>
      <c r="M239" s="1226" t="s">
        <v>1471</v>
      </c>
      <c r="N239" s="1226" t="s">
        <v>1471</v>
      </c>
      <c r="O239" s="1163">
        <v>18</v>
      </c>
    </row>
    <row r="240" spans="1:15" s="1153" customFormat="1" x14ac:dyDescent="0.2">
      <c r="A240" s="1169">
        <v>2017</v>
      </c>
      <c r="B240" s="1226" t="s">
        <v>1471</v>
      </c>
      <c r="C240" s="1226" t="s">
        <v>1471</v>
      </c>
      <c r="D240" s="1226" t="s">
        <v>1471</v>
      </c>
      <c r="E240" s="1226" t="s">
        <v>1471</v>
      </c>
      <c r="F240" s="1226" t="s">
        <v>1471</v>
      </c>
      <c r="G240" s="1226" t="s">
        <v>1471</v>
      </c>
      <c r="H240" s="1226" t="s">
        <v>1471</v>
      </c>
      <c r="I240" s="1226" t="s">
        <v>1471</v>
      </c>
      <c r="J240" s="1226" t="s">
        <v>1471</v>
      </c>
      <c r="K240" s="1226" t="s">
        <v>1471</v>
      </c>
      <c r="L240" s="1226" t="s">
        <v>1471</v>
      </c>
      <c r="M240" s="1226" t="s">
        <v>1471</v>
      </c>
      <c r="N240" s="1226" t="s">
        <v>1471</v>
      </c>
      <c r="O240" s="1163">
        <v>19</v>
      </c>
    </row>
    <row r="241" spans="1:15" s="1153" customFormat="1" x14ac:dyDescent="0.2">
      <c r="A241" s="1169">
        <v>2018</v>
      </c>
      <c r="B241" s="1226" t="s">
        <v>1471</v>
      </c>
      <c r="C241" s="1226" t="s">
        <v>1471</v>
      </c>
      <c r="D241" s="1226" t="s">
        <v>1471</v>
      </c>
      <c r="E241" s="1226" t="s">
        <v>1471</v>
      </c>
      <c r="F241" s="1226" t="s">
        <v>1471</v>
      </c>
      <c r="G241" s="1226" t="s">
        <v>1471</v>
      </c>
      <c r="H241" s="1226" t="s">
        <v>1471</v>
      </c>
      <c r="I241" s="1226" t="s">
        <v>1471</v>
      </c>
      <c r="J241" s="1226" t="s">
        <v>1471</v>
      </c>
      <c r="K241" s="1226" t="s">
        <v>1471</v>
      </c>
      <c r="L241" s="1226" t="s">
        <v>1471</v>
      </c>
      <c r="M241" s="1226" t="s">
        <v>1471</v>
      </c>
      <c r="N241" s="1226" t="s">
        <v>1471</v>
      </c>
      <c r="O241" s="1163">
        <v>20</v>
      </c>
    </row>
    <row r="242" spans="1:15" s="1153" customFormat="1" x14ac:dyDescent="0.2">
      <c r="A242" s="1169">
        <v>2019</v>
      </c>
      <c r="B242" s="1226" t="s">
        <v>1471</v>
      </c>
      <c r="C242" s="1226" t="s">
        <v>1471</v>
      </c>
      <c r="D242" s="1226" t="s">
        <v>1471</v>
      </c>
      <c r="E242" s="1226" t="s">
        <v>1471</v>
      </c>
      <c r="F242" s="1226" t="s">
        <v>1471</v>
      </c>
      <c r="G242" s="1226" t="s">
        <v>1471</v>
      </c>
      <c r="H242" s="1226" t="s">
        <v>1471</v>
      </c>
      <c r="I242" s="1226" t="s">
        <v>1471</v>
      </c>
      <c r="J242" s="1226" t="s">
        <v>1471</v>
      </c>
      <c r="K242" s="1226" t="s">
        <v>1471</v>
      </c>
      <c r="L242" s="1226" t="s">
        <v>1471</v>
      </c>
      <c r="M242" s="1226" t="s">
        <v>1471</v>
      </c>
      <c r="N242" s="1226" t="s">
        <v>1471</v>
      </c>
      <c r="O242" s="1163">
        <v>21</v>
      </c>
    </row>
    <row r="243" spans="1:15" s="1153" customFormat="1" x14ac:dyDescent="0.2">
      <c r="A243" s="1169">
        <v>2020</v>
      </c>
      <c r="B243" s="1226" t="s">
        <v>1471</v>
      </c>
      <c r="C243" s="1226" t="s">
        <v>1471</v>
      </c>
      <c r="D243" s="1226" t="s">
        <v>1471</v>
      </c>
      <c r="E243" s="1226" t="s">
        <v>1471</v>
      </c>
      <c r="F243" s="1226" t="s">
        <v>1471</v>
      </c>
      <c r="G243" s="1226" t="s">
        <v>1471</v>
      </c>
      <c r="H243" s="1226" t="s">
        <v>1471</v>
      </c>
      <c r="I243" s="1226" t="s">
        <v>1471</v>
      </c>
      <c r="J243" s="1226" t="s">
        <v>1471</v>
      </c>
      <c r="K243" s="1226" t="s">
        <v>1471</v>
      </c>
      <c r="L243" s="1226" t="s">
        <v>1471</v>
      </c>
      <c r="M243" s="1226" t="s">
        <v>1471</v>
      </c>
      <c r="N243" s="1226" t="s">
        <v>1471</v>
      </c>
      <c r="O243" s="1163">
        <v>22</v>
      </c>
    </row>
    <row r="244" spans="1:15" x14ac:dyDescent="0.2">
      <c r="A244" s="1169"/>
      <c r="B244" s="1159"/>
      <c r="C244" s="1159"/>
      <c r="D244" s="1159"/>
      <c r="E244" s="1159"/>
      <c r="F244" s="1159"/>
      <c r="G244" s="1159"/>
      <c r="H244" s="1159"/>
      <c r="I244" s="1159"/>
      <c r="J244" s="1159"/>
      <c r="K244" s="1159"/>
      <c r="L244" s="1159"/>
      <c r="M244" s="1159"/>
      <c r="N244" s="1159"/>
      <c r="O244" s="1163">
        <v>23</v>
      </c>
    </row>
    <row r="245" spans="1:15" ht="15" x14ac:dyDescent="0.3">
      <c r="A245" s="1153"/>
      <c r="B245" s="1174" t="s">
        <v>672</v>
      </c>
      <c r="C245" s="1153"/>
      <c r="D245" s="1174">
        <v>198506</v>
      </c>
      <c r="E245" s="1153"/>
      <c r="F245" s="1153"/>
      <c r="G245" s="1153"/>
      <c r="H245" s="1153"/>
      <c r="I245" s="1153"/>
      <c r="J245" s="1153"/>
      <c r="K245" s="1153"/>
      <c r="L245" s="1153"/>
      <c r="M245" s="1153"/>
      <c r="N245" s="1153"/>
      <c r="O245" s="1166"/>
    </row>
    <row r="246" spans="1:15" x14ac:dyDescent="0.2">
      <c r="A246" s="1154" t="s">
        <v>286</v>
      </c>
      <c r="B246" s="1162" t="s">
        <v>327</v>
      </c>
      <c r="C246" s="1154" t="s">
        <v>328</v>
      </c>
      <c r="D246" s="1153"/>
      <c r="E246" s="1153"/>
      <c r="F246" s="1153"/>
      <c r="G246" s="1153"/>
      <c r="H246" s="1153"/>
      <c r="I246" s="1153"/>
      <c r="J246" s="1153"/>
      <c r="K246" s="1153"/>
      <c r="L246" s="1153"/>
      <c r="M246" s="1153"/>
      <c r="N246" s="1153"/>
      <c r="O246" s="1153" t="s">
        <v>306</v>
      </c>
    </row>
    <row r="247" spans="1:15" x14ac:dyDescent="0.2">
      <c r="A247" s="1154"/>
      <c r="B247" s="1157" t="s">
        <v>291</v>
      </c>
      <c r="C247" s="1168" t="s">
        <v>292</v>
      </c>
      <c r="D247" s="1167" t="s">
        <v>293</v>
      </c>
      <c r="E247" s="1167" t="s">
        <v>294</v>
      </c>
      <c r="F247" s="1167" t="s">
        <v>295</v>
      </c>
      <c r="G247" s="1167" t="s">
        <v>296</v>
      </c>
      <c r="H247" s="1167" t="s">
        <v>297</v>
      </c>
      <c r="I247" s="1167" t="s">
        <v>298</v>
      </c>
      <c r="J247" s="1167" t="s">
        <v>299</v>
      </c>
      <c r="K247" s="1167" t="s">
        <v>300</v>
      </c>
      <c r="L247" s="1167" t="s">
        <v>301</v>
      </c>
      <c r="M247" s="1167" t="s">
        <v>302</v>
      </c>
      <c r="N247" s="1167" t="s">
        <v>318</v>
      </c>
      <c r="O247" s="1153"/>
    </row>
    <row r="248" spans="1:15" x14ac:dyDescent="0.2">
      <c r="A248" s="1161" t="s">
        <v>319</v>
      </c>
      <c r="B248" s="1164">
        <v>1</v>
      </c>
      <c r="C248" s="1164">
        <v>2</v>
      </c>
      <c r="D248" s="1164">
        <v>3</v>
      </c>
      <c r="E248" s="1164">
        <v>4</v>
      </c>
      <c r="F248" s="1164">
        <v>5</v>
      </c>
      <c r="G248" s="1164">
        <v>6</v>
      </c>
      <c r="H248" s="1164">
        <v>7</v>
      </c>
      <c r="I248" s="1164">
        <v>8</v>
      </c>
      <c r="J248" s="1164">
        <v>9</v>
      </c>
      <c r="K248" s="1164">
        <v>10</v>
      </c>
      <c r="L248" s="1164">
        <v>11</v>
      </c>
      <c r="M248" s="1164">
        <v>12</v>
      </c>
      <c r="N248" s="1164">
        <v>13</v>
      </c>
      <c r="O248" s="1165">
        <v>1</v>
      </c>
    </row>
    <row r="249" spans="1:15" x14ac:dyDescent="0.2">
      <c r="A249" s="1169">
        <v>2000</v>
      </c>
      <c r="B249" s="1175">
        <v>142.9</v>
      </c>
      <c r="C249" s="1175">
        <v>143.4</v>
      </c>
      <c r="D249" s="1175">
        <v>143.5</v>
      </c>
      <c r="E249" s="1175">
        <v>143.69999999999999</v>
      </c>
      <c r="F249" s="1175">
        <v>143</v>
      </c>
      <c r="G249" s="1175">
        <v>143</v>
      </c>
      <c r="H249" s="1175">
        <v>143.1</v>
      </c>
      <c r="I249" s="1175">
        <v>144.19999999999999</v>
      </c>
      <c r="J249" s="1175">
        <v>144.30000000000001</v>
      </c>
      <c r="K249" s="1175">
        <v>144.4</v>
      </c>
      <c r="L249" s="1175">
        <v>144.69999999999999</v>
      </c>
      <c r="M249" s="1175">
        <v>144.80000000000001</v>
      </c>
      <c r="N249" s="1175">
        <v>143.69999999999999</v>
      </c>
      <c r="O249" s="1163">
        <v>2</v>
      </c>
    </row>
    <row r="250" spans="1:15" x14ac:dyDescent="0.2">
      <c r="A250" s="1169">
        <v>2001</v>
      </c>
      <c r="B250" s="1175">
        <v>145.4</v>
      </c>
      <c r="C250" s="1175">
        <v>146.4</v>
      </c>
      <c r="D250" s="1175">
        <v>146.9</v>
      </c>
      <c r="E250" s="1175">
        <v>147.1</v>
      </c>
      <c r="F250" s="1175">
        <v>147.1</v>
      </c>
      <c r="G250" s="1175">
        <v>147.19999999999999</v>
      </c>
      <c r="H250" s="1175">
        <v>146.9</v>
      </c>
      <c r="I250" s="1175">
        <v>147</v>
      </c>
      <c r="J250" s="1175">
        <v>146.9</v>
      </c>
      <c r="K250" s="1175">
        <v>146.9</v>
      </c>
      <c r="L250" s="1175">
        <v>147.30000000000001</v>
      </c>
      <c r="M250" s="1175">
        <v>149</v>
      </c>
      <c r="N250" s="1175">
        <v>147</v>
      </c>
      <c r="O250" s="1163">
        <v>3</v>
      </c>
    </row>
    <row r="251" spans="1:15" x14ac:dyDescent="0.2">
      <c r="A251" s="1169">
        <v>2002</v>
      </c>
      <c r="B251" s="1175">
        <v>149.30000000000001</v>
      </c>
      <c r="C251" s="1175">
        <v>148.9</v>
      </c>
      <c r="D251" s="1175">
        <v>148.9</v>
      </c>
      <c r="E251" s="1175">
        <v>148.80000000000001</v>
      </c>
      <c r="F251" s="1175">
        <v>149.19999999999999</v>
      </c>
      <c r="G251" s="1175">
        <v>149.19999999999999</v>
      </c>
      <c r="H251" s="1175">
        <v>147.4</v>
      </c>
      <c r="I251" s="1175">
        <v>147.4</v>
      </c>
      <c r="J251" s="1175">
        <v>147.4</v>
      </c>
      <c r="K251" s="1175">
        <v>147.9</v>
      </c>
      <c r="L251" s="1175">
        <v>149.30000000000001</v>
      </c>
      <c r="M251" s="1175">
        <v>149.4</v>
      </c>
      <c r="N251" s="1175">
        <v>148.6</v>
      </c>
      <c r="O251" s="1163">
        <v>4</v>
      </c>
    </row>
    <row r="252" spans="1:15" x14ac:dyDescent="0.2">
      <c r="A252" s="1169">
        <v>2003</v>
      </c>
      <c r="B252" s="1175">
        <v>149.6</v>
      </c>
      <c r="C252" s="1175">
        <v>149.9</v>
      </c>
      <c r="D252" s="1175">
        <v>149.9</v>
      </c>
      <c r="E252" s="1175">
        <v>150</v>
      </c>
      <c r="F252" s="1175">
        <v>150</v>
      </c>
      <c r="G252" s="1175">
        <v>150.5</v>
      </c>
      <c r="H252" s="1175">
        <v>150.69999999999999</v>
      </c>
      <c r="I252" s="1175">
        <v>150.69999999999999</v>
      </c>
      <c r="J252" s="1175">
        <v>151.9</v>
      </c>
      <c r="K252" s="1175">
        <v>151.80000000000001</v>
      </c>
      <c r="L252" s="1175">
        <v>151.9</v>
      </c>
      <c r="M252" s="1175">
        <v>152</v>
      </c>
      <c r="N252" s="1175">
        <v>150.69999999999999</v>
      </c>
      <c r="O252" s="1163">
        <v>5</v>
      </c>
    </row>
    <row r="253" spans="1:15" x14ac:dyDescent="0.2">
      <c r="A253" s="1169">
        <v>2004</v>
      </c>
      <c r="B253" s="1175">
        <v>152</v>
      </c>
      <c r="C253" s="1175">
        <v>152.1</v>
      </c>
      <c r="D253" s="1175">
        <v>153.4</v>
      </c>
      <c r="E253" s="1175">
        <v>153.30000000000001</v>
      </c>
      <c r="F253" s="1175">
        <v>153.6</v>
      </c>
      <c r="G253" s="1175">
        <v>154.1</v>
      </c>
      <c r="H253" s="1175">
        <v>154.1</v>
      </c>
      <c r="I253" s="1175">
        <v>154.1</v>
      </c>
      <c r="J253" s="1175">
        <v>155.5</v>
      </c>
      <c r="K253" s="1175">
        <v>155.80000000000001</v>
      </c>
      <c r="L253" s="1175">
        <v>155.9</v>
      </c>
      <c r="M253" s="1175">
        <v>156.1</v>
      </c>
      <c r="N253" s="1175">
        <v>154.19999999999999</v>
      </c>
      <c r="O253" s="1163">
        <v>6</v>
      </c>
    </row>
    <row r="254" spans="1:15" x14ac:dyDescent="0.2">
      <c r="A254" s="1169">
        <v>2005</v>
      </c>
      <c r="B254" s="1175">
        <v>156.6</v>
      </c>
      <c r="C254" s="1175">
        <v>157.4</v>
      </c>
      <c r="D254" s="1179">
        <v>157.80000000000001</v>
      </c>
      <c r="E254" s="1179">
        <v>157.80000000000001</v>
      </c>
      <c r="F254" s="1179">
        <v>157.9</v>
      </c>
      <c r="G254" s="1179">
        <v>158.19999999999999</v>
      </c>
      <c r="H254" s="1179">
        <v>158.4</v>
      </c>
      <c r="I254" s="1179">
        <v>158.4</v>
      </c>
      <c r="J254" s="1179">
        <v>164.7</v>
      </c>
      <c r="K254" s="1179">
        <v>163</v>
      </c>
      <c r="L254" s="1179">
        <v>162.80000000000001</v>
      </c>
      <c r="M254" s="1179">
        <v>162.9</v>
      </c>
      <c r="N254" s="1179">
        <v>159.6</v>
      </c>
      <c r="O254" s="1163">
        <v>7</v>
      </c>
    </row>
    <row r="255" spans="1:15" x14ac:dyDescent="0.2">
      <c r="A255" s="1169">
        <v>2006</v>
      </c>
      <c r="B255" s="1179">
        <v>164.2</v>
      </c>
      <c r="C255" s="1180">
        <v>164.4</v>
      </c>
      <c r="D255" s="1181">
        <v>165.3</v>
      </c>
      <c r="E255" s="1181">
        <v>165.4</v>
      </c>
      <c r="F255" s="1181">
        <v>165.5</v>
      </c>
      <c r="G255" s="1181">
        <v>165.7</v>
      </c>
      <c r="H255" s="1181">
        <v>166.7</v>
      </c>
      <c r="I255" s="1182">
        <v>166.7</v>
      </c>
      <c r="J255" s="1182">
        <v>171.2</v>
      </c>
      <c r="K255" s="1182">
        <v>172.6</v>
      </c>
      <c r="L255" s="1182">
        <v>172.5</v>
      </c>
      <c r="M255" s="1182">
        <v>172.3</v>
      </c>
      <c r="N255" s="1182">
        <v>167.7</v>
      </c>
      <c r="O255" s="1163">
        <v>8</v>
      </c>
    </row>
    <row r="256" spans="1:15" x14ac:dyDescent="0.2">
      <c r="A256" s="1169">
        <v>2007</v>
      </c>
      <c r="B256" s="1176">
        <v>172.3</v>
      </c>
      <c r="C256" s="1176">
        <v>172.3</v>
      </c>
      <c r="D256" s="1181">
        <v>173.7</v>
      </c>
      <c r="E256" s="1181">
        <v>173.8</v>
      </c>
      <c r="F256" s="1181">
        <v>172.2</v>
      </c>
      <c r="G256" s="1181">
        <v>172.2</v>
      </c>
      <c r="H256" s="1181">
        <v>172.2</v>
      </c>
      <c r="I256" s="1182">
        <v>172.6</v>
      </c>
      <c r="J256" s="1182">
        <v>176.2</v>
      </c>
      <c r="K256" s="1182">
        <v>176.3</v>
      </c>
      <c r="L256" s="1182">
        <v>176.3</v>
      </c>
      <c r="M256" s="1182">
        <v>176.4</v>
      </c>
      <c r="N256" s="1182">
        <v>173.9</v>
      </c>
      <c r="O256" s="1163">
        <v>9</v>
      </c>
    </row>
    <row r="257" spans="1:15" x14ac:dyDescent="0.2">
      <c r="A257" s="1169">
        <v>2008</v>
      </c>
      <c r="B257" s="1183">
        <v>177.3</v>
      </c>
      <c r="C257" s="1193">
        <v>178.6</v>
      </c>
      <c r="D257" s="1194">
        <v>178.8</v>
      </c>
      <c r="E257" s="1194">
        <v>178.8</v>
      </c>
      <c r="F257" s="1194">
        <v>178.9</v>
      </c>
      <c r="G257" s="1194">
        <v>179.2</v>
      </c>
      <c r="H257" s="1195">
        <v>179.8</v>
      </c>
      <c r="I257" s="1195">
        <v>179.9</v>
      </c>
      <c r="J257" s="1195">
        <v>186.7</v>
      </c>
      <c r="K257" s="1195">
        <v>186.8</v>
      </c>
      <c r="L257" s="1195">
        <v>186.8</v>
      </c>
      <c r="M257" s="1195">
        <v>186.9</v>
      </c>
      <c r="N257" s="1195">
        <v>181.5</v>
      </c>
      <c r="O257" s="1163">
        <v>10</v>
      </c>
    </row>
    <row r="258" spans="1:15" x14ac:dyDescent="0.2">
      <c r="A258" s="1169">
        <v>2009</v>
      </c>
      <c r="B258" s="1156">
        <v>187.4</v>
      </c>
      <c r="C258" s="1156">
        <v>187.4</v>
      </c>
      <c r="D258" s="1156">
        <v>187.4</v>
      </c>
      <c r="E258" s="1156">
        <v>187.4</v>
      </c>
      <c r="F258" s="1156">
        <v>187.5</v>
      </c>
      <c r="G258" s="1156">
        <v>187.6</v>
      </c>
      <c r="H258" s="1156">
        <v>187.9</v>
      </c>
      <c r="I258" s="1156">
        <v>188</v>
      </c>
      <c r="J258" s="1197">
        <v>188.1</v>
      </c>
      <c r="K258" s="1197">
        <v>188.1</v>
      </c>
      <c r="L258" s="1197">
        <v>188.4</v>
      </c>
      <c r="M258" s="1197">
        <v>188.5</v>
      </c>
      <c r="N258" s="1197">
        <v>187.8</v>
      </c>
      <c r="O258" s="1163">
        <v>11</v>
      </c>
    </row>
    <row r="259" spans="1:15" x14ac:dyDescent="0.2">
      <c r="A259" s="1169">
        <v>2010</v>
      </c>
      <c r="B259" s="1156">
        <v>188.7</v>
      </c>
      <c r="C259" s="1156">
        <v>192.6</v>
      </c>
      <c r="D259" s="1156">
        <v>193.7</v>
      </c>
      <c r="E259" s="1156">
        <v>193.9</v>
      </c>
      <c r="F259" s="1156">
        <v>194.3</v>
      </c>
      <c r="G259" s="1156">
        <v>194.2</v>
      </c>
      <c r="H259" s="1156">
        <v>194.9</v>
      </c>
      <c r="I259" s="1156">
        <v>194.9</v>
      </c>
      <c r="J259" s="1155">
        <v>194.9</v>
      </c>
      <c r="K259" s="1192">
        <v>195</v>
      </c>
      <c r="L259" s="1192">
        <v>197.1</v>
      </c>
      <c r="M259" s="1192">
        <v>197</v>
      </c>
      <c r="N259" s="1192">
        <v>194.3</v>
      </c>
      <c r="O259" s="1163">
        <v>12</v>
      </c>
    </row>
    <row r="260" spans="1:15" x14ac:dyDescent="0.2">
      <c r="A260" s="1169">
        <v>2011</v>
      </c>
      <c r="B260" s="1153">
        <v>197.2</v>
      </c>
      <c r="C260" s="1156">
        <v>197.8</v>
      </c>
      <c r="D260" s="1182">
        <v>198.6</v>
      </c>
      <c r="E260" s="1192">
        <v>198.9</v>
      </c>
      <c r="F260" s="1192">
        <v>199</v>
      </c>
      <c r="G260" s="1192">
        <v>200.4</v>
      </c>
      <c r="H260" s="1192">
        <v>200.6</v>
      </c>
      <c r="I260" s="1226">
        <v>200.8</v>
      </c>
      <c r="J260" s="1226">
        <v>201.2</v>
      </c>
      <c r="K260" s="1226">
        <v>200.8</v>
      </c>
      <c r="L260" s="1226">
        <v>200.9</v>
      </c>
      <c r="M260" s="1226">
        <v>201.8</v>
      </c>
      <c r="N260" s="1226">
        <v>199.8</v>
      </c>
      <c r="O260" s="1163">
        <v>13</v>
      </c>
    </row>
    <row r="261" spans="1:15" s="1153" customFormat="1" x14ac:dyDescent="0.2">
      <c r="A261" s="1169">
        <v>2012</v>
      </c>
      <c r="B261" s="1226">
        <v>202.2</v>
      </c>
      <c r="C261" s="1226">
        <v>202.8</v>
      </c>
      <c r="D261" s="1196">
        <v>202.9</v>
      </c>
      <c r="E261" s="1196">
        <v>203.7</v>
      </c>
      <c r="F261" s="1196">
        <v>203</v>
      </c>
      <c r="G261" s="1196">
        <v>202.9</v>
      </c>
      <c r="H261" s="1226" t="s">
        <v>1471</v>
      </c>
      <c r="I261" s="1226" t="s">
        <v>1471</v>
      </c>
      <c r="J261" s="1226" t="s">
        <v>1471</v>
      </c>
      <c r="K261" s="1226" t="s">
        <v>1471</v>
      </c>
      <c r="L261" s="1226" t="s">
        <v>1471</v>
      </c>
      <c r="M261" s="1226" t="s">
        <v>1471</v>
      </c>
      <c r="N261" s="1226" t="s">
        <v>1471</v>
      </c>
      <c r="O261" s="1163">
        <v>14</v>
      </c>
    </row>
    <row r="262" spans="1:15" s="1153" customFormat="1" x14ac:dyDescent="0.2">
      <c r="A262" s="1169">
        <v>2013</v>
      </c>
      <c r="B262" s="1226" t="s">
        <v>1471</v>
      </c>
      <c r="C262" s="1226" t="s">
        <v>1471</v>
      </c>
      <c r="D262" s="1226" t="s">
        <v>1471</v>
      </c>
      <c r="E262" s="1226" t="s">
        <v>1471</v>
      </c>
      <c r="F262" s="1226" t="s">
        <v>1471</v>
      </c>
      <c r="G262" s="1226" t="s">
        <v>1471</v>
      </c>
      <c r="H262" s="1226" t="s">
        <v>1471</v>
      </c>
      <c r="I262" s="1226" t="s">
        <v>1471</v>
      </c>
      <c r="J262" s="1226" t="s">
        <v>1471</v>
      </c>
      <c r="K262" s="1226" t="s">
        <v>1471</v>
      </c>
      <c r="L262" s="1226" t="s">
        <v>1471</v>
      </c>
      <c r="M262" s="1226" t="s">
        <v>1471</v>
      </c>
      <c r="N262" s="1226" t="s">
        <v>1471</v>
      </c>
      <c r="O262" s="1163">
        <v>15</v>
      </c>
    </row>
    <row r="263" spans="1:15" s="1153" customFormat="1" x14ac:dyDescent="0.2">
      <c r="A263" s="1169">
        <v>2014</v>
      </c>
      <c r="B263" s="1226" t="s">
        <v>1471</v>
      </c>
      <c r="C263" s="1226" t="s">
        <v>1471</v>
      </c>
      <c r="D263" s="1226" t="s">
        <v>1471</v>
      </c>
      <c r="E263" s="1226" t="s">
        <v>1471</v>
      </c>
      <c r="F263" s="1226" t="s">
        <v>1471</v>
      </c>
      <c r="G263" s="1226" t="s">
        <v>1471</v>
      </c>
      <c r="H263" s="1226" t="s">
        <v>1471</v>
      </c>
      <c r="I263" s="1226" t="s">
        <v>1471</v>
      </c>
      <c r="J263" s="1226" t="s">
        <v>1471</v>
      </c>
      <c r="K263" s="1226" t="s">
        <v>1471</v>
      </c>
      <c r="L263" s="1226" t="s">
        <v>1471</v>
      </c>
      <c r="M263" s="1226" t="s">
        <v>1471</v>
      </c>
      <c r="N263" s="1226" t="s">
        <v>1471</v>
      </c>
      <c r="O263" s="1163">
        <v>16</v>
      </c>
    </row>
    <row r="264" spans="1:15" s="1153" customFormat="1" x14ac:dyDescent="0.2">
      <c r="A264" s="1169">
        <v>2015</v>
      </c>
      <c r="B264" s="1226" t="s">
        <v>1471</v>
      </c>
      <c r="C264" s="1226" t="s">
        <v>1471</v>
      </c>
      <c r="D264" s="1226" t="s">
        <v>1471</v>
      </c>
      <c r="E264" s="1226" t="s">
        <v>1471</v>
      </c>
      <c r="F264" s="1226" t="s">
        <v>1471</v>
      </c>
      <c r="G264" s="1226" t="s">
        <v>1471</v>
      </c>
      <c r="H264" s="1226" t="s">
        <v>1471</v>
      </c>
      <c r="I264" s="1226" t="s">
        <v>1471</v>
      </c>
      <c r="J264" s="1226" t="s">
        <v>1471</v>
      </c>
      <c r="K264" s="1226" t="s">
        <v>1471</v>
      </c>
      <c r="L264" s="1226" t="s">
        <v>1471</v>
      </c>
      <c r="M264" s="1226" t="s">
        <v>1471</v>
      </c>
      <c r="N264" s="1226" t="s">
        <v>1471</v>
      </c>
      <c r="O264" s="1163">
        <v>17</v>
      </c>
    </row>
    <row r="265" spans="1:15" s="1153" customFormat="1" x14ac:dyDescent="0.2">
      <c r="A265" s="1169">
        <v>2016</v>
      </c>
      <c r="B265" s="1226" t="s">
        <v>1471</v>
      </c>
      <c r="C265" s="1226" t="s">
        <v>1471</v>
      </c>
      <c r="D265" s="1226" t="s">
        <v>1471</v>
      </c>
      <c r="E265" s="1226" t="s">
        <v>1471</v>
      </c>
      <c r="F265" s="1226" t="s">
        <v>1471</v>
      </c>
      <c r="G265" s="1226" t="s">
        <v>1471</v>
      </c>
      <c r="H265" s="1226" t="s">
        <v>1471</v>
      </c>
      <c r="I265" s="1226" t="s">
        <v>1471</v>
      </c>
      <c r="J265" s="1226" t="s">
        <v>1471</v>
      </c>
      <c r="K265" s="1226" t="s">
        <v>1471</v>
      </c>
      <c r="L265" s="1226" t="s">
        <v>1471</v>
      </c>
      <c r="M265" s="1226" t="s">
        <v>1471</v>
      </c>
      <c r="N265" s="1226" t="s">
        <v>1471</v>
      </c>
      <c r="O265" s="1163">
        <v>18</v>
      </c>
    </row>
    <row r="266" spans="1:15" s="1153" customFormat="1" x14ac:dyDescent="0.2">
      <c r="A266" s="1169">
        <v>2017</v>
      </c>
      <c r="B266" s="1226" t="s">
        <v>1471</v>
      </c>
      <c r="C266" s="1226" t="s">
        <v>1471</v>
      </c>
      <c r="D266" s="1226" t="s">
        <v>1471</v>
      </c>
      <c r="E266" s="1226" t="s">
        <v>1471</v>
      </c>
      <c r="F266" s="1226" t="s">
        <v>1471</v>
      </c>
      <c r="G266" s="1226" t="s">
        <v>1471</v>
      </c>
      <c r="H266" s="1226" t="s">
        <v>1471</v>
      </c>
      <c r="I266" s="1226" t="s">
        <v>1471</v>
      </c>
      <c r="J266" s="1226" t="s">
        <v>1471</v>
      </c>
      <c r="K266" s="1226" t="s">
        <v>1471</v>
      </c>
      <c r="L266" s="1226" t="s">
        <v>1471</v>
      </c>
      <c r="M266" s="1226" t="s">
        <v>1471</v>
      </c>
      <c r="N266" s="1226" t="s">
        <v>1471</v>
      </c>
      <c r="O266" s="1163">
        <v>19</v>
      </c>
    </row>
    <row r="267" spans="1:15" s="1153" customFormat="1" x14ac:dyDescent="0.2">
      <c r="A267" s="1169">
        <v>2018</v>
      </c>
      <c r="B267" s="1226" t="s">
        <v>1471</v>
      </c>
      <c r="C267" s="1226" t="s">
        <v>1471</v>
      </c>
      <c r="D267" s="1226" t="s">
        <v>1471</v>
      </c>
      <c r="E267" s="1226" t="s">
        <v>1471</v>
      </c>
      <c r="F267" s="1226" t="s">
        <v>1471</v>
      </c>
      <c r="G267" s="1226" t="s">
        <v>1471</v>
      </c>
      <c r="H267" s="1226" t="s">
        <v>1471</v>
      </c>
      <c r="I267" s="1226" t="s">
        <v>1471</v>
      </c>
      <c r="J267" s="1226" t="s">
        <v>1471</v>
      </c>
      <c r="K267" s="1226" t="s">
        <v>1471</v>
      </c>
      <c r="L267" s="1226" t="s">
        <v>1471</v>
      </c>
      <c r="M267" s="1226" t="s">
        <v>1471</v>
      </c>
      <c r="N267" s="1226" t="s">
        <v>1471</v>
      </c>
      <c r="O267" s="1163">
        <v>20</v>
      </c>
    </row>
    <row r="268" spans="1:15" s="1153" customFormat="1" x14ac:dyDescent="0.2">
      <c r="A268" s="1169">
        <v>2019</v>
      </c>
      <c r="B268" s="1226" t="s">
        <v>1471</v>
      </c>
      <c r="C268" s="1226" t="s">
        <v>1471</v>
      </c>
      <c r="D268" s="1226" t="s">
        <v>1471</v>
      </c>
      <c r="E268" s="1226" t="s">
        <v>1471</v>
      </c>
      <c r="F268" s="1226" t="s">
        <v>1471</v>
      </c>
      <c r="G268" s="1226" t="s">
        <v>1471</v>
      </c>
      <c r="H268" s="1226" t="s">
        <v>1471</v>
      </c>
      <c r="I268" s="1226" t="s">
        <v>1471</v>
      </c>
      <c r="J268" s="1226" t="s">
        <v>1471</v>
      </c>
      <c r="K268" s="1226" t="s">
        <v>1471</v>
      </c>
      <c r="L268" s="1226" t="s">
        <v>1471</v>
      </c>
      <c r="M268" s="1226" t="s">
        <v>1471</v>
      </c>
      <c r="N268" s="1226" t="s">
        <v>1471</v>
      </c>
      <c r="O268" s="1163">
        <v>21</v>
      </c>
    </row>
    <row r="269" spans="1:15" s="1153" customFormat="1" x14ac:dyDescent="0.2">
      <c r="A269" s="1169">
        <v>2020</v>
      </c>
      <c r="B269" s="1226" t="s">
        <v>1471</v>
      </c>
      <c r="C269" s="1226" t="s">
        <v>1471</v>
      </c>
      <c r="D269" s="1226" t="s">
        <v>1471</v>
      </c>
      <c r="E269" s="1226" t="s">
        <v>1471</v>
      </c>
      <c r="F269" s="1226" t="s">
        <v>1471</v>
      </c>
      <c r="G269" s="1226" t="s">
        <v>1471</v>
      </c>
      <c r="H269" s="1226" t="s">
        <v>1471</v>
      </c>
      <c r="I269" s="1226" t="s">
        <v>1471</v>
      </c>
      <c r="J269" s="1226" t="s">
        <v>1471</v>
      </c>
      <c r="K269" s="1226" t="s">
        <v>1471</v>
      </c>
      <c r="L269" s="1226" t="s">
        <v>1471</v>
      </c>
      <c r="M269" s="1226" t="s">
        <v>1471</v>
      </c>
      <c r="N269" s="1226" t="s">
        <v>1471</v>
      </c>
      <c r="O269" s="1163">
        <v>22</v>
      </c>
    </row>
    <row r="270" spans="1:15" x14ac:dyDescent="0.2">
      <c r="A270" s="1169"/>
      <c r="B270" s="1159"/>
      <c r="C270" s="1159"/>
      <c r="D270" s="1159"/>
      <c r="E270" s="1159"/>
      <c r="F270" s="1159"/>
      <c r="G270" s="1159"/>
      <c r="H270" s="1159"/>
      <c r="I270" s="1159"/>
      <c r="J270" s="1159"/>
      <c r="K270" s="1159"/>
      <c r="L270" s="1159"/>
      <c r="M270" s="1159"/>
      <c r="N270" s="1159"/>
      <c r="O270" s="1163">
        <v>23</v>
      </c>
    </row>
    <row r="271" spans="1:15" ht="15" x14ac:dyDescent="0.3">
      <c r="A271" s="1153"/>
      <c r="B271" s="1174" t="s">
        <v>673</v>
      </c>
      <c r="C271" s="1153"/>
      <c r="D271" s="1174">
        <v>198812</v>
      </c>
      <c r="E271" s="1153"/>
      <c r="F271" s="1153"/>
      <c r="G271" s="1153"/>
      <c r="H271" s="1153"/>
      <c r="I271" s="1153"/>
      <c r="J271" s="1153"/>
      <c r="K271" s="1153"/>
      <c r="L271" s="1153"/>
      <c r="M271" s="1153"/>
      <c r="N271" s="1153"/>
      <c r="O271" s="1153"/>
    </row>
    <row r="272" spans="1:15" x14ac:dyDescent="0.2">
      <c r="A272" s="1154" t="s">
        <v>286</v>
      </c>
      <c r="B272" s="1162">
        <v>3363401</v>
      </c>
      <c r="C272" s="1154" t="s">
        <v>329</v>
      </c>
      <c r="D272" s="1153"/>
      <c r="E272" s="1153"/>
      <c r="F272" s="1153"/>
      <c r="G272" s="1153"/>
      <c r="H272" s="1153"/>
      <c r="I272" s="1153"/>
      <c r="J272" s="1153"/>
      <c r="K272" s="1153"/>
      <c r="L272" s="1153"/>
      <c r="M272" s="1153"/>
      <c r="N272" s="1153"/>
      <c r="O272" s="1153" t="s">
        <v>306</v>
      </c>
    </row>
    <row r="273" spans="1:15" x14ac:dyDescent="0.2">
      <c r="A273" s="1154"/>
      <c r="B273" s="1157" t="s">
        <v>291</v>
      </c>
      <c r="C273" s="1168" t="s">
        <v>292</v>
      </c>
      <c r="D273" s="1167" t="s">
        <v>293</v>
      </c>
      <c r="E273" s="1167" t="s">
        <v>294</v>
      </c>
      <c r="F273" s="1167" t="s">
        <v>295</v>
      </c>
      <c r="G273" s="1167" t="s">
        <v>296</v>
      </c>
      <c r="H273" s="1167" t="s">
        <v>297</v>
      </c>
      <c r="I273" s="1167" t="s">
        <v>298</v>
      </c>
      <c r="J273" s="1167" t="s">
        <v>299</v>
      </c>
      <c r="K273" s="1167" t="s">
        <v>300</v>
      </c>
      <c r="L273" s="1167" t="s">
        <v>301</v>
      </c>
      <c r="M273" s="1167" t="s">
        <v>302</v>
      </c>
      <c r="N273" s="1167" t="s">
        <v>318</v>
      </c>
      <c r="O273" s="1153"/>
    </row>
    <row r="274" spans="1:15" x14ac:dyDescent="0.2">
      <c r="A274" s="1161" t="s">
        <v>319</v>
      </c>
      <c r="B274" s="1164">
        <v>1</v>
      </c>
      <c r="C274" s="1164">
        <v>2</v>
      </c>
      <c r="D274" s="1164">
        <v>3</v>
      </c>
      <c r="E274" s="1164">
        <v>4</v>
      </c>
      <c r="F274" s="1164">
        <v>5</v>
      </c>
      <c r="G274" s="1164">
        <v>6</v>
      </c>
      <c r="H274" s="1164">
        <v>7</v>
      </c>
      <c r="I274" s="1164">
        <v>8</v>
      </c>
      <c r="J274" s="1164">
        <v>9</v>
      </c>
      <c r="K274" s="1164">
        <v>10</v>
      </c>
      <c r="L274" s="1164">
        <v>11</v>
      </c>
      <c r="M274" s="1164">
        <v>12</v>
      </c>
      <c r="N274" s="1164">
        <v>13</v>
      </c>
      <c r="O274" s="1165">
        <v>1</v>
      </c>
    </row>
    <row r="275" spans="1:15" x14ac:dyDescent="0.2">
      <c r="A275" s="1169">
        <v>2000</v>
      </c>
      <c r="B275" s="1175">
        <v>108.8</v>
      </c>
      <c r="C275" s="1175">
        <v>108.7</v>
      </c>
      <c r="D275" s="1175">
        <v>108.8</v>
      </c>
      <c r="E275" s="1175">
        <v>108.8</v>
      </c>
      <c r="F275" s="1175">
        <v>108.3</v>
      </c>
      <c r="G275" s="1175">
        <v>108.6</v>
      </c>
      <c r="H275" s="1175">
        <v>108.7</v>
      </c>
      <c r="I275" s="1175">
        <v>108.6</v>
      </c>
      <c r="J275" s="1175">
        <v>108.6</v>
      </c>
      <c r="K275" s="1175">
        <v>108.5</v>
      </c>
      <c r="L275" s="1175">
        <v>108.3</v>
      </c>
      <c r="M275" s="1175">
        <v>108.3</v>
      </c>
      <c r="N275" s="1175">
        <v>108.6</v>
      </c>
      <c r="O275" s="1163">
        <v>2</v>
      </c>
    </row>
    <row r="276" spans="1:15" x14ac:dyDescent="0.2">
      <c r="A276" s="1169">
        <v>2001</v>
      </c>
      <c r="B276" s="1175">
        <v>108.1</v>
      </c>
      <c r="C276" s="1175">
        <v>108.1</v>
      </c>
      <c r="D276" s="1175">
        <v>108.1</v>
      </c>
      <c r="E276" s="1175">
        <v>107.9</v>
      </c>
      <c r="F276" s="1175">
        <v>106.8</v>
      </c>
      <c r="G276" s="1175">
        <v>106.8</v>
      </c>
      <c r="H276" s="1175">
        <v>106.9</v>
      </c>
      <c r="I276" s="1175">
        <v>106.9</v>
      </c>
      <c r="J276" s="1175">
        <v>107</v>
      </c>
      <c r="K276" s="1175">
        <v>107</v>
      </c>
      <c r="L276" s="1175">
        <v>107</v>
      </c>
      <c r="M276" s="1175">
        <v>107</v>
      </c>
      <c r="N276" s="1175">
        <v>107.3</v>
      </c>
      <c r="O276" s="1163">
        <v>3</v>
      </c>
    </row>
    <row r="277" spans="1:15" x14ac:dyDescent="0.2">
      <c r="A277" s="1169">
        <v>2002</v>
      </c>
      <c r="B277" s="1175">
        <v>106.9</v>
      </c>
      <c r="C277" s="1175">
        <v>106.9</v>
      </c>
      <c r="D277" s="1175">
        <v>106.9</v>
      </c>
      <c r="E277" s="1175">
        <v>106.8</v>
      </c>
      <c r="F277" s="1175">
        <v>106.7</v>
      </c>
      <c r="G277" s="1175">
        <v>106.7</v>
      </c>
      <c r="H277" s="1175">
        <v>106.6</v>
      </c>
      <c r="I277" s="1175">
        <v>106.7</v>
      </c>
      <c r="J277" s="1175">
        <v>106.7</v>
      </c>
      <c r="K277" s="1175">
        <v>106.6</v>
      </c>
      <c r="L277" s="1175">
        <v>106.6</v>
      </c>
      <c r="M277" s="1175">
        <v>106.4</v>
      </c>
      <c r="N277" s="1175">
        <v>106.7</v>
      </c>
      <c r="O277" s="1163">
        <v>4</v>
      </c>
    </row>
    <row r="278" spans="1:15" x14ac:dyDescent="0.2">
      <c r="A278" s="1169">
        <v>2003</v>
      </c>
      <c r="B278" s="1175">
        <v>106.4</v>
      </c>
      <c r="C278" s="1175">
        <v>106.2</v>
      </c>
      <c r="D278" s="1175">
        <v>106.2</v>
      </c>
      <c r="E278" s="1175">
        <v>106.2</v>
      </c>
      <c r="F278" s="1175">
        <v>106.2</v>
      </c>
      <c r="G278" s="1175">
        <v>106</v>
      </c>
      <c r="H278" s="1175">
        <v>107</v>
      </c>
      <c r="I278" s="1175">
        <v>107</v>
      </c>
      <c r="J278" s="1175">
        <v>107.1</v>
      </c>
      <c r="K278" s="1175">
        <v>106.6</v>
      </c>
      <c r="L278" s="1175">
        <v>106.4</v>
      </c>
      <c r="M278" s="1175">
        <v>106</v>
      </c>
      <c r="N278" s="1175">
        <v>106.5</v>
      </c>
      <c r="O278" s="1163">
        <v>5</v>
      </c>
    </row>
    <row r="279" spans="1:15" x14ac:dyDescent="0.2">
      <c r="A279" s="1169">
        <v>2004</v>
      </c>
      <c r="B279" s="1175">
        <v>105.5</v>
      </c>
      <c r="C279" s="1175">
        <v>105.5</v>
      </c>
      <c r="D279" s="1175">
        <v>105.7</v>
      </c>
      <c r="E279" s="1175">
        <v>105.7</v>
      </c>
      <c r="F279" s="1175">
        <v>105.7</v>
      </c>
      <c r="G279" s="1175">
        <v>105.5</v>
      </c>
      <c r="H279" s="1175">
        <v>105.5</v>
      </c>
      <c r="I279" s="1175">
        <v>105.2</v>
      </c>
      <c r="J279" s="1175">
        <v>105.2</v>
      </c>
      <c r="K279" s="1175">
        <v>105.2</v>
      </c>
      <c r="L279" s="1175">
        <v>105.2</v>
      </c>
      <c r="M279" s="1175">
        <v>105.5</v>
      </c>
      <c r="N279" s="1175">
        <v>105.4</v>
      </c>
      <c r="O279" s="1163">
        <v>6</v>
      </c>
    </row>
    <row r="280" spans="1:15" x14ac:dyDescent="0.2">
      <c r="A280" s="1169">
        <v>2005</v>
      </c>
      <c r="B280" s="1175">
        <v>106.2</v>
      </c>
      <c r="C280" s="1175">
        <v>106.2</v>
      </c>
      <c r="D280" s="1179">
        <v>106.2</v>
      </c>
      <c r="E280" s="1179">
        <v>106.2</v>
      </c>
      <c r="F280" s="1179">
        <v>106.2</v>
      </c>
      <c r="G280" s="1179">
        <v>106.2</v>
      </c>
      <c r="H280" s="1179">
        <v>106.5</v>
      </c>
      <c r="I280" s="1179">
        <v>106.6</v>
      </c>
      <c r="J280" s="1179">
        <v>106.3</v>
      </c>
      <c r="K280" s="1179">
        <v>106.3</v>
      </c>
      <c r="L280" s="1179">
        <v>106.8</v>
      </c>
      <c r="M280" s="1179">
        <v>106.8</v>
      </c>
      <c r="N280" s="1179">
        <v>106.4</v>
      </c>
      <c r="O280" s="1163">
        <v>7</v>
      </c>
    </row>
    <row r="281" spans="1:15" x14ac:dyDescent="0.2">
      <c r="A281" s="1169">
        <v>2006</v>
      </c>
      <c r="B281" s="1179">
        <v>107</v>
      </c>
      <c r="C281" s="1180">
        <v>107.2</v>
      </c>
      <c r="D281" s="1181">
        <v>107.2</v>
      </c>
      <c r="E281" s="1181">
        <v>107.3</v>
      </c>
      <c r="F281" s="1181">
        <v>107.2</v>
      </c>
      <c r="G281" s="1181">
        <v>107.2</v>
      </c>
      <c r="H281" s="1181">
        <v>107</v>
      </c>
      <c r="I281" s="1182">
        <v>106.9</v>
      </c>
      <c r="J281" s="1182">
        <v>106.9</v>
      </c>
      <c r="K281" s="1182">
        <v>106.9</v>
      </c>
      <c r="L281" s="1182">
        <v>106.9</v>
      </c>
      <c r="M281" s="1182">
        <v>106.9</v>
      </c>
      <c r="N281" s="1182">
        <v>107</v>
      </c>
      <c r="O281" s="1163">
        <v>8</v>
      </c>
    </row>
    <row r="282" spans="1:15" x14ac:dyDescent="0.2">
      <c r="A282" s="1169">
        <v>2007</v>
      </c>
      <c r="B282" s="1176">
        <v>107</v>
      </c>
      <c r="C282" s="1176">
        <v>107.4</v>
      </c>
      <c r="D282" s="1181">
        <v>107.4</v>
      </c>
      <c r="E282" s="1181">
        <v>107.5</v>
      </c>
      <c r="F282" s="1181">
        <v>107.5</v>
      </c>
      <c r="G282" s="1181">
        <v>107.5</v>
      </c>
      <c r="H282" s="1181">
        <v>107.1</v>
      </c>
      <c r="I282" s="1182">
        <v>107.1</v>
      </c>
      <c r="J282" s="1182">
        <v>107.1</v>
      </c>
      <c r="K282" s="1182">
        <v>107</v>
      </c>
      <c r="L282" s="1182">
        <v>107</v>
      </c>
      <c r="M282" s="1182">
        <v>107</v>
      </c>
      <c r="N282" s="1182">
        <v>107.2</v>
      </c>
      <c r="O282" s="1163">
        <v>9</v>
      </c>
    </row>
    <row r="283" spans="1:15" x14ac:dyDescent="0.2">
      <c r="A283" s="1169">
        <v>2008</v>
      </c>
      <c r="B283" s="1183">
        <v>107.1</v>
      </c>
      <c r="C283" s="1193">
        <v>107</v>
      </c>
      <c r="D283" s="1194">
        <v>106.4</v>
      </c>
      <c r="E283" s="1194">
        <v>106.7</v>
      </c>
      <c r="F283" s="1194">
        <v>106.7</v>
      </c>
      <c r="G283" s="1194">
        <v>107.5</v>
      </c>
      <c r="H283" s="1195">
        <v>107.2</v>
      </c>
      <c r="I283" s="1195">
        <v>109.5</v>
      </c>
      <c r="J283" s="1195">
        <v>110.7</v>
      </c>
      <c r="K283" s="1195">
        <v>111.6</v>
      </c>
      <c r="L283" s="1195">
        <v>111.9</v>
      </c>
      <c r="M283" s="1195">
        <v>111.2</v>
      </c>
      <c r="N283" s="1195">
        <v>108.6</v>
      </c>
      <c r="O283" s="1163">
        <v>10</v>
      </c>
    </row>
    <row r="284" spans="1:15" x14ac:dyDescent="0.2">
      <c r="A284" s="1169">
        <v>2009</v>
      </c>
      <c r="B284" s="1156">
        <v>110.6</v>
      </c>
      <c r="C284" s="1156">
        <v>110.6</v>
      </c>
      <c r="D284" s="1156">
        <v>110.5</v>
      </c>
      <c r="E284" s="1156">
        <v>110.5</v>
      </c>
      <c r="F284" s="1156">
        <v>110.4</v>
      </c>
      <c r="G284" s="1156">
        <v>109.9</v>
      </c>
      <c r="H284" s="1156">
        <v>109.8</v>
      </c>
      <c r="I284" s="1156">
        <v>108.6</v>
      </c>
      <c r="J284" s="1197">
        <v>108.9</v>
      </c>
      <c r="K284" s="1197">
        <v>108.8</v>
      </c>
      <c r="L284" s="1197">
        <v>108.8</v>
      </c>
      <c r="M284" s="1197">
        <v>108.8</v>
      </c>
      <c r="N284" s="1197">
        <v>109.7</v>
      </c>
      <c r="O284" s="1163">
        <v>11</v>
      </c>
    </row>
    <row r="285" spans="1:15" x14ac:dyDescent="0.2">
      <c r="A285" s="1169">
        <v>2010</v>
      </c>
      <c r="B285" s="1156">
        <v>108.7</v>
      </c>
      <c r="C285" s="1156">
        <v>108.6</v>
      </c>
      <c r="D285" s="1156">
        <v>108.8</v>
      </c>
      <c r="E285" s="1156">
        <v>109.4</v>
      </c>
      <c r="F285" s="1156">
        <v>109.7</v>
      </c>
      <c r="G285" s="1156">
        <v>109.8</v>
      </c>
      <c r="H285" s="1156">
        <v>109.8</v>
      </c>
      <c r="I285" s="1156">
        <v>109.8</v>
      </c>
      <c r="J285" s="1155">
        <v>109.8</v>
      </c>
      <c r="K285" s="1192">
        <v>109.6</v>
      </c>
      <c r="L285" s="1192">
        <v>109.6</v>
      </c>
      <c r="M285" s="1192">
        <v>110.1</v>
      </c>
      <c r="N285" s="1192">
        <v>109.5</v>
      </c>
      <c r="O285" s="1163">
        <v>12</v>
      </c>
    </row>
    <row r="286" spans="1:15" x14ac:dyDescent="0.2">
      <c r="A286" s="1169">
        <v>2011</v>
      </c>
      <c r="B286" s="1153">
        <v>110.2</v>
      </c>
      <c r="C286" s="1156">
        <v>110.7</v>
      </c>
      <c r="D286" s="1182">
        <v>111.5</v>
      </c>
      <c r="E286" s="1192">
        <v>111.6</v>
      </c>
      <c r="F286" s="1192">
        <v>112.1</v>
      </c>
      <c r="G286" s="1192">
        <v>112</v>
      </c>
      <c r="H286" s="1192">
        <v>112</v>
      </c>
      <c r="I286" s="1226">
        <v>112.2</v>
      </c>
      <c r="J286" s="1226">
        <v>112.5</v>
      </c>
      <c r="K286" s="1226">
        <v>112.5</v>
      </c>
      <c r="L286" s="1226">
        <v>112.5</v>
      </c>
      <c r="M286" s="1226">
        <v>112.5</v>
      </c>
      <c r="N286" s="1226">
        <v>111.9</v>
      </c>
      <c r="O286" s="1163">
        <v>13</v>
      </c>
    </row>
    <row r="287" spans="1:15" s="1153" customFormat="1" x14ac:dyDescent="0.2">
      <c r="A287" s="1169">
        <v>2012</v>
      </c>
      <c r="B287" s="1226">
        <v>113.6</v>
      </c>
      <c r="C287" s="1226">
        <v>113.6</v>
      </c>
      <c r="D287" s="1196">
        <v>113.6</v>
      </c>
      <c r="E287" s="1196">
        <v>113.6</v>
      </c>
      <c r="F287" s="1196">
        <v>113.5</v>
      </c>
      <c r="G287" s="1196">
        <v>113.5</v>
      </c>
      <c r="H287" s="1226" t="s">
        <v>1471</v>
      </c>
      <c r="I287" s="1226" t="s">
        <v>1471</v>
      </c>
      <c r="J287" s="1226" t="s">
        <v>1471</v>
      </c>
      <c r="K287" s="1226" t="s">
        <v>1471</v>
      </c>
      <c r="L287" s="1226" t="s">
        <v>1471</v>
      </c>
      <c r="M287" s="1226" t="s">
        <v>1471</v>
      </c>
      <c r="N287" s="1226" t="s">
        <v>1471</v>
      </c>
      <c r="O287" s="1163">
        <v>14</v>
      </c>
    </row>
    <row r="288" spans="1:15" s="1153" customFormat="1" x14ac:dyDescent="0.2">
      <c r="A288" s="1169">
        <v>2013</v>
      </c>
      <c r="B288" s="1226" t="s">
        <v>1471</v>
      </c>
      <c r="C288" s="1226" t="s">
        <v>1471</v>
      </c>
      <c r="D288" s="1226" t="s">
        <v>1471</v>
      </c>
      <c r="E288" s="1226" t="s">
        <v>1471</v>
      </c>
      <c r="F288" s="1226" t="s">
        <v>1471</v>
      </c>
      <c r="G288" s="1226" t="s">
        <v>1471</v>
      </c>
      <c r="H288" s="1226" t="s">
        <v>1471</v>
      </c>
      <c r="I288" s="1226" t="s">
        <v>1471</v>
      </c>
      <c r="J288" s="1226" t="s">
        <v>1471</v>
      </c>
      <c r="K288" s="1226" t="s">
        <v>1471</v>
      </c>
      <c r="L288" s="1226" t="s">
        <v>1471</v>
      </c>
      <c r="M288" s="1226" t="s">
        <v>1471</v>
      </c>
      <c r="N288" s="1226" t="s">
        <v>1471</v>
      </c>
      <c r="O288" s="1163">
        <v>15</v>
      </c>
    </row>
    <row r="289" spans="1:15" s="1153" customFormat="1" x14ac:dyDescent="0.2">
      <c r="A289" s="1169">
        <v>2014</v>
      </c>
      <c r="B289" s="1226" t="s">
        <v>1471</v>
      </c>
      <c r="C289" s="1226" t="s">
        <v>1471</v>
      </c>
      <c r="D289" s="1226" t="s">
        <v>1471</v>
      </c>
      <c r="E289" s="1226" t="s">
        <v>1471</v>
      </c>
      <c r="F289" s="1226" t="s">
        <v>1471</v>
      </c>
      <c r="G289" s="1226" t="s">
        <v>1471</v>
      </c>
      <c r="H289" s="1226" t="s">
        <v>1471</v>
      </c>
      <c r="I289" s="1226" t="s">
        <v>1471</v>
      </c>
      <c r="J289" s="1226" t="s">
        <v>1471</v>
      </c>
      <c r="K289" s="1226" t="s">
        <v>1471</v>
      </c>
      <c r="L289" s="1226" t="s">
        <v>1471</v>
      </c>
      <c r="M289" s="1226" t="s">
        <v>1471</v>
      </c>
      <c r="N289" s="1226" t="s">
        <v>1471</v>
      </c>
      <c r="O289" s="1163">
        <v>16</v>
      </c>
    </row>
    <row r="290" spans="1:15" s="1153" customFormat="1" x14ac:dyDescent="0.2">
      <c r="A290" s="1169">
        <v>2015</v>
      </c>
      <c r="B290" s="1226" t="s">
        <v>1471</v>
      </c>
      <c r="C290" s="1226" t="s">
        <v>1471</v>
      </c>
      <c r="D290" s="1226" t="s">
        <v>1471</v>
      </c>
      <c r="E290" s="1226" t="s">
        <v>1471</v>
      </c>
      <c r="F290" s="1226" t="s">
        <v>1471</v>
      </c>
      <c r="G290" s="1226" t="s">
        <v>1471</v>
      </c>
      <c r="H290" s="1226" t="s">
        <v>1471</v>
      </c>
      <c r="I290" s="1226" t="s">
        <v>1471</v>
      </c>
      <c r="J290" s="1226" t="s">
        <v>1471</v>
      </c>
      <c r="K290" s="1226" t="s">
        <v>1471</v>
      </c>
      <c r="L290" s="1226" t="s">
        <v>1471</v>
      </c>
      <c r="M290" s="1226" t="s">
        <v>1471</v>
      </c>
      <c r="N290" s="1226" t="s">
        <v>1471</v>
      </c>
      <c r="O290" s="1163">
        <v>17</v>
      </c>
    </row>
    <row r="291" spans="1:15" s="1153" customFormat="1" x14ac:dyDescent="0.2">
      <c r="A291" s="1169">
        <v>2016</v>
      </c>
      <c r="B291" s="1226" t="s">
        <v>1471</v>
      </c>
      <c r="C291" s="1226" t="s">
        <v>1471</v>
      </c>
      <c r="D291" s="1226" t="s">
        <v>1471</v>
      </c>
      <c r="E291" s="1226" t="s">
        <v>1471</v>
      </c>
      <c r="F291" s="1226" t="s">
        <v>1471</v>
      </c>
      <c r="G291" s="1226" t="s">
        <v>1471</v>
      </c>
      <c r="H291" s="1226" t="s">
        <v>1471</v>
      </c>
      <c r="I291" s="1226" t="s">
        <v>1471</v>
      </c>
      <c r="J291" s="1226" t="s">
        <v>1471</v>
      </c>
      <c r="K291" s="1226" t="s">
        <v>1471</v>
      </c>
      <c r="L291" s="1226" t="s">
        <v>1471</v>
      </c>
      <c r="M291" s="1226" t="s">
        <v>1471</v>
      </c>
      <c r="N291" s="1226" t="s">
        <v>1471</v>
      </c>
      <c r="O291" s="1163">
        <v>18</v>
      </c>
    </row>
    <row r="292" spans="1:15" s="1153" customFormat="1" x14ac:dyDescent="0.2">
      <c r="A292" s="1169">
        <v>2017</v>
      </c>
      <c r="B292" s="1226" t="s">
        <v>1471</v>
      </c>
      <c r="C292" s="1226" t="s">
        <v>1471</v>
      </c>
      <c r="D292" s="1226" t="s">
        <v>1471</v>
      </c>
      <c r="E292" s="1226" t="s">
        <v>1471</v>
      </c>
      <c r="F292" s="1226" t="s">
        <v>1471</v>
      </c>
      <c r="G292" s="1226" t="s">
        <v>1471</v>
      </c>
      <c r="H292" s="1226" t="s">
        <v>1471</v>
      </c>
      <c r="I292" s="1226" t="s">
        <v>1471</v>
      </c>
      <c r="J292" s="1226" t="s">
        <v>1471</v>
      </c>
      <c r="K292" s="1226" t="s">
        <v>1471</v>
      </c>
      <c r="L292" s="1226" t="s">
        <v>1471</v>
      </c>
      <c r="M292" s="1226" t="s">
        <v>1471</v>
      </c>
      <c r="N292" s="1226" t="s">
        <v>1471</v>
      </c>
      <c r="O292" s="1163">
        <v>19</v>
      </c>
    </row>
    <row r="293" spans="1:15" s="1153" customFormat="1" x14ac:dyDescent="0.2">
      <c r="A293" s="1169">
        <v>2018</v>
      </c>
      <c r="B293" s="1226" t="s">
        <v>1471</v>
      </c>
      <c r="C293" s="1226" t="s">
        <v>1471</v>
      </c>
      <c r="D293" s="1226" t="s">
        <v>1471</v>
      </c>
      <c r="E293" s="1226" t="s">
        <v>1471</v>
      </c>
      <c r="F293" s="1226" t="s">
        <v>1471</v>
      </c>
      <c r="G293" s="1226" t="s">
        <v>1471</v>
      </c>
      <c r="H293" s="1226" t="s">
        <v>1471</v>
      </c>
      <c r="I293" s="1226" t="s">
        <v>1471</v>
      </c>
      <c r="J293" s="1226" t="s">
        <v>1471</v>
      </c>
      <c r="K293" s="1226" t="s">
        <v>1471</v>
      </c>
      <c r="L293" s="1226" t="s">
        <v>1471</v>
      </c>
      <c r="M293" s="1226" t="s">
        <v>1471</v>
      </c>
      <c r="N293" s="1226" t="s">
        <v>1471</v>
      </c>
      <c r="O293" s="1163">
        <v>20</v>
      </c>
    </row>
    <row r="294" spans="1:15" s="1153" customFormat="1" x14ac:dyDescent="0.2">
      <c r="A294" s="1169">
        <v>2019</v>
      </c>
      <c r="B294" s="1226" t="s">
        <v>1471</v>
      </c>
      <c r="C294" s="1226" t="s">
        <v>1471</v>
      </c>
      <c r="D294" s="1226" t="s">
        <v>1471</v>
      </c>
      <c r="E294" s="1226" t="s">
        <v>1471</v>
      </c>
      <c r="F294" s="1226" t="s">
        <v>1471</v>
      </c>
      <c r="G294" s="1226" t="s">
        <v>1471</v>
      </c>
      <c r="H294" s="1226" t="s">
        <v>1471</v>
      </c>
      <c r="I294" s="1226" t="s">
        <v>1471</v>
      </c>
      <c r="J294" s="1226" t="s">
        <v>1471</v>
      </c>
      <c r="K294" s="1226" t="s">
        <v>1471</v>
      </c>
      <c r="L294" s="1226" t="s">
        <v>1471</v>
      </c>
      <c r="M294" s="1226" t="s">
        <v>1471</v>
      </c>
      <c r="N294" s="1226" t="s">
        <v>1471</v>
      </c>
      <c r="O294" s="1163">
        <v>21</v>
      </c>
    </row>
    <row r="295" spans="1:15" s="1153" customFormat="1" x14ac:dyDescent="0.2">
      <c r="A295" s="1169">
        <v>2020</v>
      </c>
      <c r="B295" s="1226" t="s">
        <v>1471</v>
      </c>
      <c r="C295" s="1226" t="s">
        <v>1471</v>
      </c>
      <c r="D295" s="1226" t="s">
        <v>1471</v>
      </c>
      <c r="E295" s="1226" t="s">
        <v>1471</v>
      </c>
      <c r="F295" s="1226" t="s">
        <v>1471</v>
      </c>
      <c r="G295" s="1226" t="s">
        <v>1471</v>
      </c>
      <c r="H295" s="1226" t="s">
        <v>1471</v>
      </c>
      <c r="I295" s="1226" t="s">
        <v>1471</v>
      </c>
      <c r="J295" s="1226" t="s">
        <v>1471</v>
      </c>
      <c r="K295" s="1226" t="s">
        <v>1471</v>
      </c>
      <c r="L295" s="1226" t="s">
        <v>1471</v>
      </c>
      <c r="M295" s="1226" t="s">
        <v>1471</v>
      </c>
      <c r="N295" s="1226" t="s">
        <v>1471</v>
      </c>
      <c r="O295" s="1163">
        <v>22</v>
      </c>
    </row>
    <row r="296" spans="1:15" x14ac:dyDescent="0.2">
      <c r="A296" s="1169"/>
      <c r="B296" s="1159"/>
      <c r="C296" s="1159"/>
      <c r="D296" s="1159"/>
      <c r="E296" s="1159"/>
      <c r="F296" s="1159"/>
      <c r="G296" s="1159"/>
      <c r="H296" s="1159"/>
      <c r="I296" s="1159"/>
      <c r="J296" s="1159"/>
      <c r="K296" s="1159"/>
      <c r="L296" s="1159"/>
      <c r="M296" s="1159"/>
      <c r="N296" s="1159"/>
      <c r="O296" s="1163">
        <v>23</v>
      </c>
    </row>
    <row r="297" spans="1:15" ht="15" x14ac:dyDescent="0.3">
      <c r="A297" s="1153"/>
      <c r="B297" s="1174" t="s">
        <v>683</v>
      </c>
      <c r="C297" s="1153"/>
      <c r="D297" s="1174">
        <v>198506</v>
      </c>
      <c r="E297" s="1153"/>
      <c r="F297" s="1153"/>
      <c r="G297" s="1153"/>
      <c r="H297" s="1153"/>
      <c r="I297" s="1153"/>
      <c r="J297" s="1153"/>
      <c r="K297" s="1153"/>
      <c r="L297" s="1153"/>
      <c r="M297" s="1153"/>
      <c r="N297" s="1153"/>
      <c r="O297" s="1153"/>
    </row>
    <row r="298" spans="1:15" x14ac:dyDescent="0.2">
      <c r="A298" s="1154" t="s">
        <v>286</v>
      </c>
      <c r="B298" s="1162" t="s">
        <v>330</v>
      </c>
      <c r="C298" s="1154" t="s">
        <v>331</v>
      </c>
      <c r="D298" s="1153"/>
      <c r="E298" s="1153"/>
      <c r="F298" s="1153"/>
      <c r="G298" s="1153"/>
      <c r="H298" s="1153"/>
      <c r="I298" s="1153"/>
      <c r="J298" s="1153"/>
      <c r="K298" s="1153"/>
      <c r="L298" s="1153"/>
      <c r="M298" s="1153"/>
      <c r="N298" s="1153"/>
      <c r="O298" s="1153" t="s">
        <v>306</v>
      </c>
    </row>
    <row r="299" spans="1:15" x14ac:dyDescent="0.2">
      <c r="A299" s="1154"/>
      <c r="B299" s="1157" t="s">
        <v>291</v>
      </c>
      <c r="C299" s="1168" t="s">
        <v>292</v>
      </c>
      <c r="D299" s="1167" t="s">
        <v>293</v>
      </c>
      <c r="E299" s="1167" t="s">
        <v>294</v>
      </c>
      <c r="F299" s="1167" t="s">
        <v>295</v>
      </c>
      <c r="G299" s="1167" t="s">
        <v>296</v>
      </c>
      <c r="H299" s="1167" t="s">
        <v>297</v>
      </c>
      <c r="I299" s="1167" t="s">
        <v>298</v>
      </c>
      <c r="J299" s="1167" t="s">
        <v>299</v>
      </c>
      <c r="K299" s="1167" t="s">
        <v>300</v>
      </c>
      <c r="L299" s="1167" t="s">
        <v>301</v>
      </c>
      <c r="M299" s="1167" t="s">
        <v>302</v>
      </c>
      <c r="N299" s="1167" t="s">
        <v>318</v>
      </c>
      <c r="O299" s="1153"/>
    </row>
    <row r="300" spans="1:15" x14ac:dyDescent="0.2">
      <c r="A300" s="1161" t="s">
        <v>319</v>
      </c>
      <c r="B300" s="1164">
        <v>1</v>
      </c>
      <c r="C300" s="1164">
        <v>2</v>
      </c>
      <c r="D300" s="1164">
        <v>3</v>
      </c>
      <c r="E300" s="1164">
        <v>4</v>
      </c>
      <c r="F300" s="1164">
        <v>5</v>
      </c>
      <c r="G300" s="1164">
        <v>6</v>
      </c>
      <c r="H300" s="1164">
        <v>7</v>
      </c>
      <c r="I300" s="1164">
        <v>8</v>
      </c>
      <c r="J300" s="1164">
        <v>9</v>
      </c>
      <c r="K300" s="1164">
        <v>10</v>
      </c>
      <c r="L300" s="1164">
        <v>11</v>
      </c>
      <c r="M300" s="1164">
        <v>12</v>
      </c>
      <c r="N300" s="1164">
        <v>13</v>
      </c>
      <c r="O300" s="1165">
        <v>1</v>
      </c>
    </row>
    <row r="301" spans="1:15" x14ac:dyDescent="0.2">
      <c r="A301" s="1169">
        <v>2000</v>
      </c>
      <c r="B301" s="1175">
        <v>143.4</v>
      </c>
      <c r="C301" s="1175">
        <v>143.9</v>
      </c>
      <c r="D301" s="1175">
        <v>143.80000000000001</v>
      </c>
      <c r="E301" s="1175">
        <v>144.5</v>
      </c>
      <c r="F301" s="1175">
        <v>145.1</v>
      </c>
      <c r="G301" s="1175">
        <v>144.30000000000001</v>
      </c>
      <c r="H301" s="1175">
        <v>144.5</v>
      </c>
      <c r="I301" s="1175">
        <v>144</v>
      </c>
      <c r="J301" s="1175">
        <v>144</v>
      </c>
      <c r="K301" s="1175">
        <v>143.80000000000001</v>
      </c>
      <c r="L301" s="1175">
        <v>143.69999999999999</v>
      </c>
      <c r="M301" s="1175">
        <v>144.80000000000001</v>
      </c>
      <c r="N301" s="1175">
        <v>144.1</v>
      </c>
      <c r="O301" s="1163">
        <v>2</v>
      </c>
    </row>
    <row r="302" spans="1:15" x14ac:dyDescent="0.2">
      <c r="A302" s="1169">
        <v>2001</v>
      </c>
      <c r="B302" s="1175">
        <v>144.19999999999999</v>
      </c>
      <c r="C302" s="1175">
        <v>146.6</v>
      </c>
      <c r="D302" s="1175">
        <v>146.69999999999999</v>
      </c>
      <c r="E302" s="1175">
        <v>147.9</v>
      </c>
      <c r="F302" s="1175">
        <v>149.6</v>
      </c>
      <c r="G302" s="1175">
        <v>150.1</v>
      </c>
      <c r="H302" s="1175">
        <v>150.9</v>
      </c>
      <c r="I302" s="1175">
        <v>149.5</v>
      </c>
      <c r="J302" s="1175">
        <v>150.4</v>
      </c>
      <c r="K302" s="1175">
        <v>150.6</v>
      </c>
      <c r="L302" s="1175">
        <v>149.80000000000001</v>
      </c>
      <c r="M302" s="1175">
        <v>148.1</v>
      </c>
      <c r="N302" s="1175">
        <v>148.69999999999999</v>
      </c>
      <c r="O302" s="1163">
        <v>3</v>
      </c>
    </row>
    <row r="303" spans="1:15" x14ac:dyDescent="0.2">
      <c r="A303" s="1169">
        <v>2002</v>
      </c>
      <c r="B303" s="1175">
        <v>149.6</v>
      </c>
      <c r="C303" s="1175">
        <v>150.4</v>
      </c>
      <c r="D303" s="1175">
        <v>150.30000000000001</v>
      </c>
      <c r="E303" s="1175">
        <v>151.69999999999999</v>
      </c>
      <c r="F303" s="1175">
        <v>150.1</v>
      </c>
      <c r="G303" s="1175">
        <v>151.19999999999999</v>
      </c>
      <c r="H303" s="1175">
        <v>149.69999999999999</v>
      </c>
      <c r="I303" s="1175">
        <v>150.80000000000001</v>
      </c>
      <c r="J303" s="1175">
        <v>150.4</v>
      </c>
      <c r="K303" s="1175">
        <v>151.5</v>
      </c>
      <c r="L303" s="1175">
        <v>151.69999999999999</v>
      </c>
      <c r="M303" s="1175">
        <v>154</v>
      </c>
      <c r="N303" s="1175">
        <v>151</v>
      </c>
      <c r="O303" s="1163">
        <v>4</v>
      </c>
    </row>
    <row r="304" spans="1:15" x14ac:dyDescent="0.2">
      <c r="A304" s="1169">
        <v>2003</v>
      </c>
      <c r="B304" s="1175">
        <v>154</v>
      </c>
      <c r="C304" s="1175">
        <v>153.30000000000001</v>
      </c>
      <c r="D304" s="1175">
        <v>153.30000000000001</v>
      </c>
      <c r="E304" s="1175">
        <v>153.69999999999999</v>
      </c>
      <c r="F304" s="1175">
        <v>151.6</v>
      </c>
      <c r="G304" s="1175">
        <v>153.69999999999999</v>
      </c>
      <c r="H304" s="1175">
        <v>150.6</v>
      </c>
      <c r="I304" s="1175">
        <v>151.9</v>
      </c>
      <c r="J304" s="1175">
        <v>150.9</v>
      </c>
      <c r="K304" s="1175">
        <v>151.1</v>
      </c>
      <c r="L304" s="1175">
        <v>151.6</v>
      </c>
      <c r="M304" s="1175">
        <v>150.5</v>
      </c>
      <c r="N304" s="1175">
        <v>152.19999999999999</v>
      </c>
      <c r="O304" s="1163">
        <v>5</v>
      </c>
    </row>
    <row r="305" spans="1:15" x14ac:dyDescent="0.2">
      <c r="A305" s="1169">
        <v>2004</v>
      </c>
      <c r="B305" s="1175">
        <v>152.1</v>
      </c>
      <c r="C305" s="1175">
        <v>150.4</v>
      </c>
      <c r="D305" s="1175">
        <v>152</v>
      </c>
      <c r="E305" s="1175">
        <v>153.9</v>
      </c>
      <c r="F305" s="1175">
        <v>154.5</v>
      </c>
      <c r="G305" s="1175">
        <v>154.5</v>
      </c>
      <c r="H305" s="1175">
        <v>157.80000000000001</v>
      </c>
      <c r="I305" s="1175">
        <v>157.19999999999999</v>
      </c>
      <c r="J305" s="1175">
        <v>157.1</v>
      </c>
      <c r="K305" s="1175">
        <v>157.30000000000001</v>
      </c>
      <c r="L305" s="1175">
        <v>154.69999999999999</v>
      </c>
      <c r="M305" s="1175">
        <v>155.80000000000001</v>
      </c>
      <c r="N305" s="1175">
        <v>154.80000000000001</v>
      </c>
      <c r="O305" s="1163">
        <v>6</v>
      </c>
    </row>
    <row r="306" spans="1:15" x14ac:dyDescent="0.2">
      <c r="A306" s="1169">
        <v>2005</v>
      </c>
      <c r="B306" s="1175">
        <v>160</v>
      </c>
      <c r="C306" s="1175">
        <v>159.80000000000001</v>
      </c>
      <c r="D306" s="1179">
        <v>161.9</v>
      </c>
      <c r="E306" s="1179">
        <v>163.5</v>
      </c>
      <c r="F306" s="1179">
        <v>162.30000000000001</v>
      </c>
      <c r="G306" s="1179">
        <v>164</v>
      </c>
      <c r="H306" s="1179">
        <v>160.4</v>
      </c>
      <c r="I306" s="1179">
        <v>161</v>
      </c>
      <c r="J306" s="1179">
        <v>161.30000000000001</v>
      </c>
      <c r="K306" s="1179">
        <v>163.9</v>
      </c>
      <c r="L306" s="1179">
        <v>163.4</v>
      </c>
      <c r="M306" s="1179">
        <v>162</v>
      </c>
      <c r="N306" s="1179">
        <v>162</v>
      </c>
      <c r="O306" s="1163">
        <v>7</v>
      </c>
    </row>
    <row r="307" spans="1:15" x14ac:dyDescent="0.2">
      <c r="A307" s="1169">
        <v>2006</v>
      </c>
      <c r="B307" s="1179">
        <v>164.4</v>
      </c>
      <c r="C307" s="1180">
        <v>166.6</v>
      </c>
      <c r="D307" s="1181">
        <v>167.2</v>
      </c>
      <c r="E307" s="1181">
        <v>167.6</v>
      </c>
      <c r="F307" s="1181">
        <v>167.3</v>
      </c>
      <c r="G307" s="1181">
        <v>168.5</v>
      </c>
      <c r="H307" s="1181">
        <v>168</v>
      </c>
      <c r="I307" s="1182">
        <v>170.9</v>
      </c>
      <c r="J307" s="1182">
        <v>172.1</v>
      </c>
      <c r="K307" s="1182">
        <v>172</v>
      </c>
      <c r="L307" s="1182">
        <v>171.5</v>
      </c>
      <c r="M307" s="1182">
        <v>175.4</v>
      </c>
      <c r="N307" s="1182">
        <v>169.3</v>
      </c>
      <c r="O307" s="1163">
        <v>8</v>
      </c>
    </row>
    <row r="308" spans="1:15" x14ac:dyDescent="0.2">
      <c r="A308" s="1169">
        <v>2007</v>
      </c>
      <c r="B308" s="1176">
        <v>177.7</v>
      </c>
      <c r="C308" s="1176">
        <v>179.9</v>
      </c>
      <c r="D308" s="1181">
        <v>181.3</v>
      </c>
      <c r="E308" s="1181">
        <v>182.2</v>
      </c>
      <c r="F308" s="1181">
        <v>182.2</v>
      </c>
      <c r="G308" s="1181">
        <v>182.3</v>
      </c>
      <c r="H308" s="1181">
        <v>182.7</v>
      </c>
      <c r="I308" s="1182">
        <v>180.6</v>
      </c>
      <c r="J308" s="1182">
        <v>185.1</v>
      </c>
      <c r="K308" s="1182">
        <v>183.4</v>
      </c>
      <c r="L308" s="1182">
        <v>184.3</v>
      </c>
      <c r="M308" s="1182">
        <v>184.8</v>
      </c>
      <c r="N308" s="1182">
        <v>182.2</v>
      </c>
      <c r="O308" s="1163">
        <v>9</v>
      </c>
    </row>
    <row r="309" spans="1:15" x14ac:dyDescent="0.2">
      <c r="A309" s="1169">
        <v>2008</v>
      </c>
      <c r="B309" s="1183">
        <v>182.9</v>
      </c>
      <c r="C309" s="1193">
        <v>185.7</v>
      </c>
      <c r="D309" s="1194">
        <v>185.8</v>
      </c>
      <c r="E309" s="1194">
        <v>187.7</v>
      </c>
      <c r="F309" s="1194">
        <v>187.1</v>
      </c>
      <c r="G309" s="1194">
        <v>187.7</v>
      </c>
      <c r="H309" s="1195">
        <v>189.8</v>
      </c>
      <c r="I309" s="1195">
        <v>192.7</v>
      </c>
      <c r="J309" s="1195">
        <v>192.3</v>
      </c>
      <c r="K309" s="1195">
        <v>193.5</v>
      </c>
      <c r="L309" s="1195">
        <v>192.6</v>
      </c>
      <c r="M309" s="1195">
        <v>194.2</v>
      </c>
      <c r="N309" s="1195">
        <v>189.3</v>
      </c>
      <c r="O309" s="1163">
        <v>10</v>
      </c>
    </row>
    <row r="310" spans="1:15" x14ac:dyDescent="0.2">
      <c r="A310" s="1169">
        <v>2009</v>
      </c>
      <c r="B310" s="1156">
        <v>196</v>
      </c>
      <c r="C310" s="1156">
        <v>192</v>
      </c>
      <c r="D310" s="1156">
        <v>195.2</v>
      </c>
      <c r="E310" s="1156">
        <v>196.9</v>
      </c>
      <c r="F310" s="1156">
        <v>192.2</v>
      </c>
      <c r="G310" s="1156">
        <v>193.4</v>
      </c>
      <c r="H310" s="1156">
        <v>193.4</v>
      </c>
      <c r="I310" s="1156">
        <v>195.8</v>
      </c>
      <c r="J310" s="1197">
        <v>195.6</v>
      </c>
      <c r="K310" s="1197">
        <v>196.3</v>
      </c>
      <c r="L310" s="1197">
        <v>196.8</v>
      </c>
      <c r="M310" s="1197">
        <v>196.7</v>
      </c>
      <c r="N310" s="1197">
        <v>195</v>
      </c>
      <c r="O310" s="1163">
        <v>11</v>
      </c>
    </row>
    <row r="311" spans="1:15" x14ac:dyDescent="0.2">
      <c r="A311" s="1169">
        <v>2010</v>
      </c>
      <c r="B311" s="1156">
        <v>196.4</v>
      </c>
      <c r="C311" s="1156">
        <v>195.4</v>
      </c>
      <c r="D311" s="1156">
        <v>196.7</v>
      </c>
      <c r="E311" s="1156">
        <v>196.9</v>
      </c>
      <c r="F311" s="1156">
        <v>196.4</v>
      </c>
      <c r="G311" s="1156">
        <v>198.2</v>
      </c>
      <c r="H311" s="1156">
        <v>197.1</v>
      </c>
      <c r="I311" s="1156">
        <v>198.1</v>
      </c>
      <c r="J311" s="1155">
        <v>197.5</v>
      </c>
      <c r="K311" s="1192">
        <v>198.5</v>
      </c>
      <c r="L311" s="1192">
        <v>197.9</v>
      </c>
      <c r="M311" s="1192">
        <v>198.9</v>
      </c>
      <c r="N311" s="1192">
        <v>197.3</v>
      </c>
      <c r="O311" s="1163">
        <v>12</v>
      </c>
    </row>
    <row r="312" spans="1:15" x14ac:dyDescent="0.2">
      <c r="A312" s="1169">
        <v>2011</v>
      </c>
      <c r="B312" s="1153">
        <v>196.6</v>
      </c>
      <c r="C312" s="1156">
        <v>197</v>
      </c>
      <c r="D312" s="1182">
        <v>200.3</v>
      </c>
      <c r="E312" s="1192">
        <v>200.8</v>
      </c>
      <c r="F312" s="1192">
        <v>200.6</v>
      </c>
      <c r="G312" s="1192">
        <v>201.5</v>
      </c>
      <c r="H312" s="1192">
        <v>202.3</v>
      </c>
      <c r="I312" s="1226">
        <v>201.7</v>
      </c>
      <c r="J312" s="1226">
        <v>201.3</v>
      </c>
      <c r="K312" s="1226">
        <v>200.2</v>
      </c>
      <c r="L312" s="1226">
        <v>200.7</v>
      </c>
      <c r="M312" s="1226">
        <v>199.7</v>
      </c>
      <c r="N312" s="1226">
        <v>200.2</v>
      </c>
      <c r="O312" s="1163">
        <v>13</v>
      </c>
    </row>
    <row r="313" spans="1:15" s="1153" customFormat="1" x14ac:dyDescent="0.2">
      <c r="A313" s="1169">
        <v>2012</v>
      </c>
      <c r="B313" s="1226">
        <v>199.8</v>
      </c>
      <c r="C313" s="1226">
        <v>201.4</v>
      </c>
      <c r="D313" s="1196">
        <v>200</v>
      </c>
      <c r="E313" s="1196">
        <v>200.7</v>
      </c>
      <c r="F313" s="1196">
        <v>200.7</v>
      </c>
      <c r="G313" s="1196">
        <v>200.6</v>
      </c>
      <c r="H313" s="1226" t="s">
        <v>1471</v>
      </c>
      <c r="I313" s="1226" t="s">
        <v>1471</v>
      </c>
      <c r="J313" s="1226" t="s">
        <v>1471</v>
      </c>
      <c r="K313" s="1226" t="s">
        <v>1471</v>
      </c>
      <c r="L313" s="1226" t="s">
        <v>1471</v>
      </c>
      <c r="M313" s="1226" t="s">
        <v>1471</v>
      </c>
      <c r="N313" s="1226" t="s">
        <v>1471</v>
      </c>
      <c r="O313" s="1163">
        <v>14</v>
      </c>
    </row>
    <row r="314" spans="1:15" s="1153" customFormat="1" x14ac:dyDescent="0.2">
      <c r="A314" s="1169">
        <v>2013</v>
      </c>
      <c r="B314" s="1226" t="s">
        <v>1471</v>
      </c>
      <c r="C314" s="1226" t="s">
        <v>1471</v>
      </c>
      <c r="D314" s="1226" t="s">
        <v>1471</v>
      </c>
      <c r="E314" s="1226" t="s">
        <v>1471</v>
      </c>
      <c r="F314" s="1226" t="s">
        <v>1471</v>
      </c>
      <c r="G314" s="1226" t="s">
        <v>1471</v>
      </c>
      <c r="H314" s="1226" t="s">
        <v>1471</v>
      </c>
      <c r="I314" s="1226" t="s">
        <v>1471</v>
      </c>
      <c r="J314" s="1226" t="s">
        <v>1471</v>
      </c>
      <c r="K314" s="1226" t="s">
        <v>1471</v>
      </c>
      <c r="L314" s="1226" t="s">
        <v>1471</v>
      </c>
      <c r="M314" s="1226" t="s">
        <v>1471</v>
      </c>
      <c r="N314" s="1226" t="s">
        <v>1471</v>
      </c>
      <c r="O314" s="1163">
        <v>15</v>
      </c>
    </row>
    <row r="315" spans="1:15" s="1153" customFormat="1" x14ac:dyDescent="0.2">
      <c r="A315" s="1169">
        <v>2014</v>
      </c>
      <c r="B315" s="1226" t="s">
        <v>1471</v>
      </c>
      <c r="C315" s="1226" t="s">
        <v>1471</v>
      </c>
      <c r="D315" s="1226" t="s">
        <v>1471</v>
      </c>
      <c r="E315" s="1226" t="s">
        <v>1471</v>
      </c>
      <c r="F315" s="1226" t="s">
        <v>1471</v>
      </c>
      <c r="G315" s="1226" t="s">
        <v>1471</v>
      </c>
      <c r="H315" s="1226" t="s">
        <v>1471</v>
      </c>
      <c r="I315" s="1226" t="s">
        <v>1471</v>
      </c>
      <c r="J315" s="1226" t="s">
        <v>1471</v>
      </c>
      <c r="K315" s="1226" t="s">
        <v>1471</v>
      </c>
      <c r="L315" s="1226" t="s">
        <v>1471</v>
      </c>
      <c r="M315" s="1226" t="s">
        <v>1471</v>
      </c>
      <c r="N315" s="1226" t="s">
        <v>1471</v>
      </c>
      <c r="O315" s="1163">
        <v>16</v>
      </c>
    </row>
    <row r="316" spans="1:15" s="1153" customFormat="1" x14ac:dyDescent="0.2">
      <c r="A316" s="1169">
        <v>2015</v>
      </c>
      <c r="B316" s="1226" t="s">
        <v>1471</v>
      </c>
      <c r="C316" s="1226" t="s">
        <v>1471</v>
      </c>
      <c r="D316" s="1226" t="s">
        <v>1471</v>
      </c>
      <c r="E316" s="1226" t="s">
        <v>1471</v>
      </c>
      <c r="F316" s="1226" t="s">
        <v>1471</v>
      </c>
      <c r="G316" s="1226" t="s">
        <v>1471</v>
      </c>
      <c r="H316" s="1226" t="s">
        <v>1471</v>
      </c>
      <c r="I316" s="1226" t="s">
        <v>1471</v>
      </c>
      <c r="J316" s="1226" t="s">
        <v>1471</v>
      </c>
      <c r="K316" s="1226" t="s">
        <v>1471</v>
      </c>
      <c r="L316" s="1226" t="s">
        <v>1471</v>
      </c>
      <c r="M316" s="1226" t="s">
        <v>1471</v>
      </c>
      <c r="N316" s="1226" t="s">
        <v>1471</v>
      </c>
      <c r="O316" s="1163">
        <v>17</v>
      </c>
    </row>
    <row r="317" spans="1:15" s="1153" customFormat="1" x14ac:dyDescent="0.2">
      <c r="A317" s="1169">
        <v>2016</v>
      </c>
      <c r="B317" s="1226" t="s">
        <v>1471</v>
      </c>
      <c r="C317" s="1226" t="s">
        <v>1471</v>
      </c>
      <c r="D317" s="1226" t="s">
        <v>1471</v>
      </c>
      <c r="E317" s="1226" t="s">
        <v>1471</v>
      </c>
      <c r="F317" s="1226" t="s">
        <v>1471</v>
      </c>
      <c r="G317" s="1226" t="s">
        <v>1471</v>
      </c>
      <c r="H317" s="1226" t="s">
        <v>1471</v>
      </c>
      <c r="I317" s="1226" t="s">
        <v>1471</v>
      </c>
      <c r="J317" s="1226" t="s">
        <v>1471</v>
      </c>
      <c r="K317" s="1226" t="s">
        <v>1471</v>
      </c>
      <c r="L317" s="1226" t="s">
        <v>1471</v>
      </c>
      <c r="M317" s="1226" t="s">
        <v>1471</v>
      </c>
      <c r="N317" s="1226" t="s">
        <v>1471</v>
      </c>
      <c r="O317" s="1163">
        <v>18</v>
      </c>
    </row>
    <row r="318" spans="1:15" s="1153" customFormat="1" x14ac:dyDescent="0.2">
      <c r="A318" s="1169">
        <v>2017</v>
      </c>
      <c r="B318" s="1226" t="s">
        <v>1471</v>
      </c>
      <c r="C318" s="1226" t="s">
        <v>1471</v>
      </c>
      <c r="D318" s="1226" t="s">
        <v>1471</v>
      </c>
      <c r="E318" s="1226" t="s">
        <v>1471</v>
      </c>
      <c r="F318" s="1226" t="s">
        <v>1471</v>
      </c>
      <c r="G318" s="1226" t="s">
        <v>1471</v>
      </c>
      <c r="H318" s="1226" t="s">
        <v>1471</v>
      </c>
      <c r="I318" s="1226" t="s">
        <v>1471</v>
      </c>
      <c r="J318" s="1226" t="s">
        <v>1471</v>
      </c>
      <c r="K318" s="1226" t="s">
        <v>1471</v>
      </c>
      <c r="L318" s="1226" t="s">
        <v>1471</v>
      </c>
      <c r="M318" s="1226" t="s">
        <v>1471</v>
      </c>
      <c r="N318" s="1226" t="s">
        <v>1471</v>
      </c>
      <c r="O318" s="1163">
        <v>19</v>
      </c>
    </row>
    <row r="319" spans="1:15" s="1153" customFormat="1" x14ac:dyDescent="0.2">
      <c r="A319" s="1169">
        <v>2018</v>
      </c>
      <c r="B319" s="1226" t="s">
        <v>1471</v>
      </c>
      <c r="C319" s="1226" t="s">
        <v>1471</v>
      </c>
      <c r="D319" s="1226" t="s">
        <v>1471</v>
      </c>
      <c r="E319" s="1226" t="s">
        <v>1471</v>
      </c>
      <c r="F319" s="1226" t="s">
        <v>1471</v>
      </c>
      <c r="G319" s="1226" t="s">
        <v>1471</v>
      </c>
      <c r="H319" s="1226" t="s">
        <v>1471</v>
      </c>
      <c r="I319" s="1226" t="s">
        <v>1471</v>
      </c>
      <c r="J319" s="1226" t="s">
        <v>1471</v>
      </c>
      <c r="K319" s="1226" t="s">
        <v>1471</v>
      </c>
      <c r="L319" s="1226" t="s">
        <v>1471</v>
      </c>
      <c r="M319" s="1226" t="s">
        <v>1471</v>
      </c>
      <c r="N319" s="1226" t="s">
        <v>1471</v>
      </c>
      <c r="O319" s="1163">
        <v>20</v>
      </c>
    </row>
    <row r="320" spans="1:15" s="1153" customFormat="1" x14ac:dyDescent="0.2">
      <c r="A320" s="1169">
        <v>2019</v>
      </c>
      <c r="B320" s="1226" t="s">
        <v>1471</v>
      </c>
      <c r="C320" s="1226" t="s">
        <v>1471</v>
      </c>
      <c r="D320" s="1226" t="s">
        <v>1471</v>
      </c>
      <c r="E320" s="1226" t="s">
        <v>1471</v>
      </c>
      <c r="F320" s="1226" t="s">
        <v>1471</v>
      </c>
      <c r="G320" s="1226" t="s">
        <v>1471</v>
      </c>
      <c r="H320" s="1226" t="s">
        <v>1471</v>
      </c>
      <c r="I320" s="1226" t="s">
        <v>1471</v>
      </c>
      <c r="J320" s="1226" t="s">
        <v>1471</v>
      </c>
      <c r="K320" s="1226" t="s">
        <v>1471</v>
      </c>
      <c r="L320" s="1226" t="s">
        <v>1471</v>
      </c>
      <c r="M320" s="1226" t="s">
        <v>1471</v>
      </c>
      <c r="N320" s="1226" t="s">
        <v>1471</v>
      </c>
      <c r="O320" s="1163">
        <v>21</v>
      </c>
    </row>
    <row r="321" spans="1:15" s="1153" customFormat="1" x14ac:dyDescent="0.2">
      <c r="A321" s="1169">
        <v>2020</v>
      </c>
      <c r="B321" s="1226" t="s">
        <v>1471</v>
      </c>
      <c r="C321" s="1226" t="s">
        <v>1471</v>
      </c>
      <c r="D321" s="1226" t="s">
        <v>1471</v>
      </c>
      <c r="E321" s="1226" t="s">
        <v>1471</v>
      </c>
      <c r="F321" s="1226" t="s">
        <v>1471</v>
      </c>
      <c r="G321" s="1226" t="s">
        <v>1471</v>
      </c>
      <c r="H321" s="1226" t="s">
        <v>1471</v>
      </c>
      <c r="I321" s="1226" t="s">
        <v>1471</v>
      </c>
      <c r="J321" s="1226" t="s">
        <v>1471</v>
      </c>
      <c r="K321" s="1226" t="s">
        <v>1471</v>
      </c>
      <c r="L321" s="1226" t="s">
        <v>1471</v>
      </c>
      <c r="M321" s="1226" t="s">
        <v>1471</v>
      </c>
      <c r="N321" s="1226" t="s">
        <v>1471</v>
      </c>
      <c r="O321" s="1163">
        <v>22</v>
      </c>
    </row>
    <row r="322" spans="1:15" x14ac:dyDescent="0.2">
      <c r="A322" s="1169"/>
      <c r="B322" s="1159"/>
      <c r="C322" s="1159"/>
      <c r="D322" s="1159"/>
      <c r="E322" s="1159"/>
      <c r="F322" s="1159"/>
      <c r="G322" s="1159"/>
      <c r="H322" s="1159"/>
      <c r="I322" s="1159"/>
      <c r="J322" s="1159"/>
      <c r="K322" s="1159"/>
      <c r="L322" s="1159"/>
      <c r="M322" s="1159"/>
      <c r="N322" s="1159"/>
      <c r="O322" s="1163">
        <v>23</v>
      </c>
    </row>
    <row r="323" spans="1:15" ht="15" x14ac:dyDescent="0.3">
      <c r="A323" s="1153"/>
      <c r="B323" s="1174" t="s">
        <v>674</v>
      </c>
      <c r="C323" s="1153"/>
      <c r="D323" s="1174">
        <v>198212</v>
      </c>
      <c r="E323" s="1153"/>
      <c r="F323" s="1153"/>
      <c r="G323" s="1153"/>
      <c r="H323" s="1153"/>
      <c r="I323" s="1153"/>
      <c r="J323" s="1153"/>
      <c r="K323" s="1153"/>
      <c r="L323" s="1153"/>
      <c r="M323" s="1153"/>
      <c r="N323" s="1153"/>
      <c r="O323" s="1153"/>
    </row>
    <row r="324" spans="1:15" x14ac:dyDescent="0.2">
      <c r="A324" s="1154" t="s">
        <v>286</v>
      </c>
      <c r="B324" s="1162">
        <v>3359291</v>
      </c>
      <c r="C324" s="1154" t="s">
        <v>332</v>
      </c>
      <c r="D324" s="1153"/>
      <c r="E324" s="1153"/>
      <c r="F324" s="1153"/>
      <c r="G324" s="1153"/>
      <c r="H324" s="1153"/>
      <c r="I324" s="1153"/>
      <c r="J324" s="1153"/>
      <c r="K324" s="1153"/>
      <c r="L324" s="1153"/>
      <c r="M324" s="1153"/>
      <c r="N324" s="1153"/>
      <c r="O324" s="1153" t="s">
        <v>306</v>
      </c>
    </row>
    <row r="325" spans="1:15" x14ac:dyDescent="0.2">
      <c r="A325" s="1154"/>
      <c r="B325" s="1157" t="s">
        <v>291</v>
      </c>
      <c r="C325" s="1168" t="s">
        <v>292</v>
      </c>
      <c r="D325" s="1167" t="s">
        <v>293</v>
      </c>
      <c r="E325" s="1167" t="s">
        <v>294</v>
      </c>
      <c r="F325" s="1167" t="s">
        <v>295</v>
      </c>
      <c r="G325" s="1167" t="s">
        <v>296</v>
      </c>
      <c r="H325" s="1167" t="s">
        <v>297</v>
      </c>
      <c r="I325" s="1167" t="s">
        <v>298</v>
      </c>
      <c r="J325" s="1167" t="s">
        <v>299</v>
      </c>
      <c r="K325" s="1167" t="s">
        <v>300</v>
      </c>
      <c r="L325" s="1167" t="s">
        <v>301</v>
      </c>
      <c r="M325" s="1167" t="s">
        <v>302</v>
      </c>
      <c r="N325" s="1167" t="s">
        <v>318</v>
      </c>
      <c r="O325" s="1153"/>
    </row>
    <row r="326" spans="1:15" x14ac:dyDescent="0.2">
      <c r="A326" s="1161" t="s">
        <v>319</v>
      </c>
      <c r="B326" s="1164">
        <v>1</v>
      </c>
      <c r="C326" s="1164">
        <v>2</v>
      </c>
      <c r="D326" s="1164">
        <v>3</v>
      </c>
      <c r="E326" s="1164">
        <v>4</v>
      </c>
      <c r="F326" s="1164">
        <v>5</v>
      </c>
      <c r="G326" s="1164">
        <v>6</v>
      </c>
      <c r="H326" s="1164">
        <v>7</v>
      </c>
      <c r="I326" s="1164">
        <v>8</v>
      </c>
      <c r="J326" s="1164">
        <v>9</v>
      </c>
      <c r="K326" s="1164">
        <v>10</v>
      </c>
      <c r="L326" s="1164">
        <v>11</v>
      </c>
      <c r="M326" s="1164">
        <v>12</v>
      </c>
      <c r="N326" s="1164">
        <v>13</v>
      </c>
      <c r="O326" s="1165">
        <v>1</v>
      </c>
    </row>
    <row r="327" spans="1:15" x14ac:dyDescent="0.2">
      <c r="A327" s="1169">
        <v>2000</v>
      </c>
      <c r="B327" s="1175">
        <v>113.6</v>
      </c>
      <c r="C327" s="1175">
        <v>115.9</v>
      </c>
      <c r="D327" s="1175">
        <v>120.7</v>
      </c>
      <c r="E327" s="1175">
        <v>122.3</v>
      </c>
      <c r="F327" s="1175">
        <v>124</v>
      </c>
      <c r="G327" s="1175">
        <v>120.9</v>
      </c>
      <c r="H327" s="1175">
        <v>118.3</v>
      </c>
      <c r="I327" s="1175">
        <v>118.4</v>
      </c>
      <c r="J327" s="1175">
        <v>118.9</v>
      </c>
      <c r="K327" s="1175">
        <v>118.1</v>
      </c>
      <c r="L327" s="1175">
        <v>118.8</v>
      </c>
      <c r="M327" s="1175">
        <v>117.3</v>
      </c>
      <c r="N327" s="1175">
        <v>118.9</v>
      </c>
      <c r="O327" s="1163">
        <v>2</v>
      </c>
    </row>
    <row r="328" spans="1:15" x14ac:dyDescent="0.2">
      <c r="A328" s="1169">
        <v>2001</v>
      </c>
      <c r="B328" s="1175">
        <v>117.7</v>
      </c>
      <c r="C328" s="1175">
        <v>117.8</v>
      </c>
      <c r="D328" s="1175">
        <v>116.5</v>
      </c>
      <c r="E328" s="1175">
        <v>114.5</v>
      </c>
      <c r="F328" s="1175">
        <v>113.2</v>
      </c>
      <c r="G328" s="1175">
        <v>113.8</v>
      </c>
      <c r="H328" s="1175">
        <v>109.6</v>
      </c>
      <c r="I328" s="1175">
        <v>112.3</v>
      </c>
      <c r="J328" s="1175">
        <v>111.5</v>
      </c>
      <c r="K328" s="1175">
        <v>110.2</v>
      </c>
      <c r="L328" s="1175">
        <v>109.9</v>
      </c>
      <c r="M328" s="1175">
        <v>108.8</v>
      </c>
      <c r="N328" s="1175">
        <v>113</v>
      </c>
      <c r="O328" s="1163">
        <v>3</v>
      </c>
    </row>
    <row r="329" spans="1:15" x14ac:dyDescent="0.2">
      <c r="A329" s="1169">
        <v>2002</v>
      </c>
      <c r="B329" s="1175">
        <v>110.4</v>
      </c>
      <c r="C329" s="1175">
        <v>110.2</v>
      </c>
      <c r="D329" s="1175">
        <v>111.2</v>
      </c>
      <c r="E329" s="1175">
        <v>110.4</v>
      </c>
      <c r="F329" s="1175">
        <v>112.4</v>
      </c>
      <c r="G329" s="1175">
        <v>111.9</v>
      </c>
      <c r="H329" s="1175">
        <v>110</v>
      </c>
      <c r="I329" s="1175">
        <v>109.4</v>
      </c>
      <c r="J329" s="1175">
        <v>108.6</v>
      </c>
      <c r="K329" s="1175">
        <v>107.6</v>
      </c>
      <c r="L329" s="1175">
        <v>106.4</v>
      </c>
      <c r="M329" s="1175">
        <v>108.1</v>
      </c>
      <c r="N329" s="1175">
        <v>109.7</v>
      </c>
      <c r="O329" s="1163">
        <v>4</v>
      </c>
    </row>
    <row r="330" spans="1:15" x14ac:dyDescent="0.2">
      <c r="A330" s="1169">
        <v>2003</v>
      </c>
      <c r="B330" s="1175">
        <v>110.6</v>
      </c>
      <c r="C330" s="1175">
        <v>108.2</v>
      </c>
      <c r="D330" s="1175">
        <v>110.8</v>
      </c>
      <c r="E330" s="1175">
        <v>110.2</v>
      </c>
      <c r="F330" s="1175">
        <v>116.9</v>
      </c>
      <c r="G330" s="1175">
        <v>118.3</v>
      </c>
      <c r="H330" s="1175">
        <v>114.2</v>
      </c>
      <c r="I330" s="1175">
        <v>119.5</v>
      </c>
      <c r="J330" s="1175">
        <v>119.2</v>
      </c>
      <c r="K330" s="1175">
        <v>116.4</v>
      </c>
      <c r="L330" s="1175">
        <v>116.8</v>
      </c>
      <c r="M330" s="1175">
        <v>115.5</v>
      </c>
      <c r="N330" s="1175">
        <v>114.7</v>
      </c>
      <c r="O330" s="1163">
        <v>5</v>
      </c>
    </row>
    <row r="331" spans="1:15" x14ac:dyDescent="0.2">
      <c r="A331" s="1169">
        <v>2004</v>
      </c>
      <c r="B331" s="1175">
        <v>118.6</v>
      </c>
      <c r="C331" s="1175">
        <v>120.1</v>
      </c>
      <c r="D331" s="1175">
        <v>119.6</v>
      </c>
      <c r="E331" s="1175">
        <v>128.30000000000001</v>
      </c>
      <c r="F331" s="1175">
        <v>123.7</v>
      </c>
      <c r="G331" s="1175">
        <v>122.8</v>
      </c>
      <c r="H331" s="1175">
        <v>122.5</v>
      </c>
      <c r="I331" s="1175">
        <v>122</v>
      </c>
      <c r="J331" s="1175">
        <v>125</v>
      </c>
      <c r="K331" s="1175">
        <v>134.1</v>
      </c>
      <c r="L331" s="1175">
        <v>137.30000000000001</v>
      </c>
      <c r="M331" s="1175">
        <v>132.80000000000001</v>
      </c>
      <c r="N331" s="1175">
        <v>125.6</v>
      </c>
      <c r="O331" s="1163">
        <v>6</v>
      </c>
    </row>
    <row r="332" spans="1:15" x14ac:dyDescent="0.2">
      <c r="A332" s="1169">
        <v>2005</v>
      </c>
      <c r="B332" s="1175">
        <v>132.9</v>
      </c>
      <c r="C332" s="1175">
        <v>137.69999999999999</v>
      </c>
      <c r="D332" s="1179">
        <v>139.5</v>
      </c>
      <c r="E332" s="1179">
        <v>139.30000000000001</v>
      </c>
      <c r="F332" s="1179">
        <v>137.1</v>
      </c>
      <c r="G332" s="1179">
        <v>142.19999999999999</v>
      </c>
      <c r="H332" s="1179">
        <v>151.9</v>
      </c>
      <c r="I332" s="1179">
        <v>146.4</v>
      </c>
      <c r="J332" s="1179">
        <v>148.30000000000001</v>
      </c>
      <c r="K332" s="1179">
        <v>150.19999999999999</v>
      </c>
      <c r="L332" s="1179">
        <v>162.5</v>
      </c>
      <c r="M332" s="1179">
        <v>180</v>
      </c>
      <c r="N332" s="1179">
        <v>147.30000000000001</v>
      </c>
      <c r="O332" s="1163">
        <v>7</v>
      </c>
    </row>
    <row r="333" spans="1:15" x14ac:dyDescent="0.2">
      <c r="A333" s="1169">
        <v>2006</v>
      </c>
      <c r="B333" s="1179">
        <v>176.1</v>
      </c>
      <c r="C333" s="1180">
        <v>171.3</v>
      </c>
      <c r="D333" s="1181">
        <v>174.9</v>
      </c>
      <c r="E333" s="1181">
        <v>191.4</v>
      </c>
      <c r="F333" s="1181">
        <v>215.6</v>
      </c>
      <c r="G333" s="1181">
        <v>211.7</v>
      </c>
      <c r="H333" s="1181">
        <v>221.2</v>
      </c>
      <c r="I333" s="1182">
        <v>231.1</v>
      </c>
      <c r="J333" s="1182">
        <v>225</v>
      </c>
      <c r="K333" s="1182">
        <v>224.6</v>
      </c>
      <c r="L333" s="1182">
        <v>215.4</v>
      </c>
      <c r="M333" s="1182">
        <v>209</v>
      </c>
      <c r="N333" s="1182">
        <v>205.6</v>
      </c>
      <c r="O333" s="1163">
        <v>8</v>
      </c>
    </row>
    <row r="334" spans="1:15" x14ac:dyDescent="0.2">
      <c r="A334" s="1169">
        <v>2007</v>
      </c>
      <c r="B334" s="1176">
        <v>207.2</v>
      </c>
      <c r="C334" s="1176">
        <v>198.7</v>
      </c>
      <c r="D334" s="1181">
        <v>194.2</v>
      </c>
      <c r="E334" s="1181">
        <v>213.4</v>
      </c>
      <c r="F334" s="1181">
        <v>223.3</v>
      </c>
      <c r="G334" s="1181">
        <v>213.5</v>
      </c>
      <c r="H334" s="1181">
        <v>212.9</v>
      </c>
      <c r="I334" s="1182">
        <v>234</v>
      </c>
      <c r="J334" s="1182">
        <v>230.8</v>
      </c>
      <c r="K334" s="1182">
        <v>227.4</v>
      </c>
      <c r="L334" s="1182">
        <v>229</v>
      </c>
      <c r="M334" s="1182">
        <v>241.1</v>
      </c>
      <c r="N334" s="1182">
        <v>218.8</v>
      </c>
      <c r="O334" s="1163">
        <v>9</v>
      </c>
    </row>
    <row r="335" spans="1:15" x14ac:dyDescent="0.2">
      <c r="A335" s="1169">
        <v>2008</v>
      </c>
      <c r="B335" s="1183">
        <v>245.5</v>
      </c>
      <c r="C335" s="1193">
        <v>232.9</v>
      </c>
      <c r="D335" s="1194">
        <v>246.2</v>
      </c>
      <c r="E335" s="1194">
        <v>225.5</v>
      </c>
      <c r="F335" s="1194">
        <v>234.3</v>
      </c>
      <c r="G335" s="1194">
        <v>226.2</v>
      </c>
      <c r="H335" s="1195">
        <v>229.1</v>
      </c>
      <c r="I335" s="1195">
        <v>220.6</v>
      </c>
      <c r="J335" s="1195">
        <v>227.7</v>
      </c>
      <c r="K335" s="1195">
        <v>211.2</v>
      </c>
      <c r="L335" s="1195">
        <v>198.3</v>
      </c>
      <c r="M335" s="1195">
        <v>188.6</v>
      </c>
      <c r="N335" s="1195">
        <v>223.8</v>
      </c>
      <c r="O335" s="1163">
        <v>10</v>
      </c>
    </row>
    <row r="336" spans="1:15" x14ac:dyDescent="0.2">
      <c r="A336" s="1169">
        <v>2009</v>
      </c>
      <c r="B336" s="1156">
        <v>186.1</v>
      </c>
      <c r="C336" s="1156">
        <v>184</v>
      </c>
      <c r="D336" s="1156">
        <v>166</v>
      </c>
      <c r="E336" s="1156">
        <v>173.4</v>
      </c>
      <c r="F336" s="1156">
        <v>177.6</v>
      </c>
      <c r="G336" s="1156">
        <v>185.6</v>
      </c>
      <c r="H336" s="1156">
        <v>183.5</v>
      </c>
      <c r="I336" s="1156">
        <v>191.9</v>
      </c>
      <c r="J336" s="1197">
        <v>187.8</v>
      </c>
      <c r="K336" s="1197">
        <v>201.4</v>
      </c>
      <c r="L336" s="1197">
        <v>200.7</v>
      </c>
      <c r="M336" s="1197">
        <v>217.1</v>
      </c>
      <c r="N336" s="1197">
        <v>187.9</v>
      </c>
      <c r="O336" s="1163">
        <v>11</v>
      </c>
    </row>
    <row r="337" spans="1:15" x14ac:dyDescent="0.2">
      <c r="A337" s="1169">
        <v>2010</v>
      </c>
      <c r="B337" s="1156">
        <v>219.4</v>
      </c>
      <c r="C337" s="1156">
        <v>218.6</v>
      </c>
      <c r="D337" s="1156">
        <v>222.5</v>
      </c>
      <c r="E337" s="1156">
        <v>226.5</v>
      </c>
      <c r="F337" s="1156">
        <v>225.2</v>
      </c>
      <c r="G337" s="1156">
        <v>223.2</v>
      </c>
      <c r="H337" s="1156">
        <v>222.7</v>
      </c>
      <c r="I337" s="1156">
        <v>226.2</v>
      </c>
      <c r="J337" s="1155">
        <v>232.3</v>
      </c>
      <c r="K337" s="1192">
        <v>234.8</v>
      </c>
      <c r="L337" s="1192">
        <v>238.2</v>
      </c>
      <c r="M337" s="1192">
        <v>235.3</v>
      </c>
      <c r="N337" s="1192">
        <v>227.1</v>
      </c>
      <c r="O337" s="1163">
        <v>12</v>
      </c>
    </row>
    <row r="338" spans="1:15" x14ac:dyDescent="0.2">
      <c r="A338" s="1169">
        <v>2011</v>
      </c>
      <c r="B338" s="1153">
        <v>245.4</v>
      </c>
      <c r="C338" s="1156">
        <v>252.4</v>
      </c>
      <c r="D338" s="1182">
        <v>260.10000000000002</v>
      </c>
      <c r="E338" s="1192">
        <v>256</v>
      </c>
      <c r="F338" s="1192">
        <v>253.8</v>
      </c>
      <c r="G338" s="1192">
        <v>252.4</v>
      </c>
      <c r="H338" s="1192">
        <v>255</v>
      </c>
      <c r="I338" s="1226">
        <v>257.5</v>
      </c>
      <c r="J338" s="1226">
        <v>261</v>
      </c>
      <c r="K338" s="1226">
        <v>248.6</v>
      </c>
      <c r="L338" s="1226">
        <v>244.3</v>
      </c>
      <c r="M338" s="1226">
        <v>239.3</v>
      </c>
      <c r="N338" s="1226">
        <v>252.2</v>
      </c>
      <c r="O338" s="1163">
        <v>13</v>
      </c>
    </row>
    <row r="339" spans="1:15" s="1153" customFormat="1" x14ac:dyDescent="0.2">
      <c r="A339" s="1169">
        <v>2012</v>
      </c>
      <c r="B339" s="1226">
        <v>240.2</v>
      </c>
      <c r="C339" s="1226">
        <v>248.7</v>
      </c>
      <c r="D339" s="1196">
        <v>249.1</v>
      </c>
      <c r="E339" s="1196">
        <v>252.3</v>
      </c>
      <c r="F339" s="1196">
        <v>254</v>
      </c>
      <c r="G339" s="1196">
        <v>248.7</v>
      </c>
      <c r="H339" s="1226" t="s">
        <v>1471</v>
      </c>
      <c r="I339" s="1226" t="s">
        <v>1471</v>
      </c>
      <c r="J339" s="1226" t="s">
        <v>1471</v>
      </c>
      <c r="K339" s="1226" t="s">
        <v>1471</v>
      </c>
      <c r="L339" s="1226" t="s">
        <v>1471</v>
      </c>
      <c r="M339" s="1226" t="s">
        <v>1471</v>
      </c>
      <c r="N339" s="1226" t="s">
        <v>1471</v>
      </c>
      <c r="O339" s="1163">
        <v>14</v>
      </c>
    </row>
    <row r="340" spans="1:15" s="1153" customFormat="1" x14ac:dyDescent="0.2">
      <c r="A340" s="1169">
        <v>2013</v>
      </c>
      <c r="B340" s="1226" t="s">
        <v>1471</v>
      </c>
      <c r="C340" s="1226" t="s">
        <v>1471</v>
      </c>
      <c r="D340" s="1226" t="s">
        <v>1471</v>
      </c>
      <c r="E340" s="1226" t="s">
        <v>1471</v>
      </c>
      <c r="F340" s="1226" t="s">
        <v>1471</v>
      </c>
      <c r="G340" s="1226" t="s">
        <v>1471</v>
      </c>
      <c r="H340" s="1226" t="s">
        <v>1471</v>
      </c>
      <c r="I340" s="1226" t="s">
        <v>1471</v>
      </c>
      <c r="J340" s="1226" t="s">
        <v>1471</v>
      </c>
      <c r="K340" s="1226" t="s">
        <v>1471</v>
      </c>
      <c r="L340" s="1226" t="s">
        <v>1471</v>
      </c>
      <c r="M340" s="1226" t="s">
        <v>1471</v>
      </c>
      <c r="N340" s="1226" t="s">
        <v>1471</v>
      </c>
      <c r="O340" s="1163">
        <v>15</v>
      </c>
    </row>
    <row r="341" spans="1:15" s="1153" customFormat="1" x14ac:dyDescent="0.2">
      <c r="A341" s="1169">
        <v>2014</v>
      </c>
      <c r="B341" s="1226" t="s">
        <v>1471</v>
      </c>
      <c r="C341" s="1226" t="s">
        <v>1471</v>
      </c>
      <c r="D341" s="1226" t="s">
        <v>1471</v>
      </c>
      <c r="E341" s="1226" t="s">
        <v>1471</v>
      </c>
      <c r="F341" s="1226" t="s">
        <v>1471</v>
      </c>
      <c r="G341" s="1226" t="s">
        <v>1471</v>
      </c>
      <c r="H341" s="1226" t="s">
        <v>1471</v>
      </c>
      <c r="I341" s="1226" t="s">
        <v>1471</v>
      </c>
      <c r="J341" s="1226" t="s">
        <v>1471</v>
      </c>
      <c r="K341" s="1226" t="s">
        <v>1471</v>
      </c>
      <c r="L341" s="1226" t="s">
        <v>1471</v>
      </c>
      <c r="M341" s="1226" t="s">
        <v>1471</v>
      </c>
      <c r="N341" s="1226" t="s">
        <v>1471</v>
      </c>
      <c r="O341" s="1163">
        <v>16</v>
      </c>
    </row>
    <row r="342" spans="1:15" s="1153" customFormat="1" x14ac:dyDescent="0.2">
      <c r="A342" s="1169">
        <v>2015</v>
      </c>
      <c r="B342" s="1226" t="s">
        <v>1471</v>
      </c>
      <c r="C342" s="1226" t="s">
        <v>1471</v>
      </c>
      <c r="D342" s="1226" t="s">
        <v>1471</v>
      </c>
      <c r="E342" s="1226" t="s">
        <v>1471</v>
      </c>
      <c r="F342" s="1226" t="s">
        <v>1471</v>
      </c>
      <c r="G342" s="1226" t="s">
        <v>1471</v>
      </c>
      <c r="H342" s="1226" t="s">
        <v>1471</v>
      </c>
      <c r="I342" s="1226" t="s">
        <v>1471</v>
      </c>
      <c r="J342" s="1226" t="s">
        <v>1471</v>
      </c>
      <c r="K342" s="1226" t="s">
        <v>1471</v>
      </c>
      <c r="L342" s="1226" t="s">
        <v>1471</v>
      </c>
      <c r="M342" s="1226" t="s">
        <v>1471</v>
      </c>
      <c r="N342" s="1226" t="s">
        <v>1471</v>
      </c>
      <c r="O342" s="1163">
        <v>17</v>
      </c>
    </row>
    <row r="343" spans="1:15" s="1153" customFormat="1" x14ac:dyDescent="0.2">
      <c r="A343" s="1169">
        <v>2016</v>
      </c>
      <c r="B343" s="1226" t="s">
        <v>1471</v>
      </c>
      <c r="C343" s="1226" t="s">
        <v>1471</v>
      </c>
      <c r="D343" s="1226" t="s">
        <v>1471</v>
      </c>
      <c r="E343" s="1226" t="s">
        <v>1471</v>
      </c>
      <c r="F343" s="1226" t="s">
        <v>1471</v>
      </c>
      <c r="G343" s="1226" t="s">
        <v>1471</v>
      </c>
      <c r="H343" s="1226" t="s">
        <v>1471</v>
      </c>
      <c r="I343" s="1226" t="s">
        <v>1471</v>
      </c>
      <c r="J343" s="1226" t="s">
        <v>1471</v>
      </c>
      <c r="K343" s="1226" t="s">
        <v>1471</v>
      </c>
      <c r="L343" s="1226" t="s">
        <v>1471</v>
      </c>
      <c r="M343" s="1226" t="s">
        <v>1471</v>
      </c>
      <c r="N343" s="1226" t="s">
        <v>1471</v>
      </c>
      <c r="O343" s="1163">
        <v>18</v>
      </c>
    </row>
    <row r="344" spans="1:15" s="1153" customFormat="1" x14ac:dyDescent="0.2">
      <c r="A344" s="1169">
        <v>2017</v>
      </c>
      <c r="B344" s="1226" t="s">
        <v>1471</v>
      </c>
      <c r="C344" s="1226" t="s">
        <v>1471</v>
      </c>
      <c r="D344" s="1226" t="s">
        <v>1471</v>
      </c>
      <c r="E344" s="1226" t="s">
        <v>1471</v>
      </c>
      <c r="F344" s="1226" t="s">
        <v>1471</v>
      </c>
      <c r="G344" s="1226" t="s">
        <v>1471</v>
      </c>
      <c r="H344" s="1226" t="s">
        <v>1471</v>
      </c>
      <c r="I344" s="1226" t="s">
        <v>1471</v>
      </c>
      <c r="J344" s="1226" t="s">
        <v>1471</v>
      </c>
      <c r="K344" s="1226" t="s">
        <v>1471</v>
      </c>
      <c r="L344" s="1226" t="s">
        <v>1471</v>
      </c>
      <c r="M344" s="1226" t="s">
        <v>1471</v>
      </c>
      <c r="N344" s="1226" t="s">
        <v>1471</v>
      </c>
      <c r="O344" s="1163">
        <v>19</v>
      </c>
    </row>
    <row r="345" spans="1:15" s="1153" customFormat="1" x14ac:dyDescent="0.2">
      <c r="A345" s="1169">
        <v>2018</v>
      </c>
      <c r="B345" s="1226" t="s">
        <v>1471</v>
      </c>
      <c r="C345" s="1226" t="s">
        <v>1471</v>
      </c>
      <c r="D345" s="1226" t="s">
        <v>1471</v>
      </c>
      <c r="E345" s="1226" t="s">
        <v>1471</v>
      </c>
      <c r="F345" s="1226" t="s">
        <v>1471</v>
      </c>
      <c r="G345" s="1226" t="s">
        <v>1471</v>
      </c>
      <c r="H345" s="1226" t="s">
        <v>1471</v>
      </c>
      <c r="I345" s="1226" t="s">
        <v>1471</v>
      </c>
      <c r="J345" s="1226" t="s">
        <v>1471</v>
      </c>
      <c r="K345" s="1226" t="s">
        <v>1471</v>
      </c>
      <c r="L345" s="1226" t="s">
        <v>1471</v>
      </c>
      <c r="M345" s="1226" t="s">
        <v>1471</v>
      </c>
      <c r="N345" s="1226" t="s">
        <v>1471</v>
      </c>
      <c r="O345" s="1163">
        <v>20</v>
      </c>
    </row>
    <row r="346" spans="1:15" s="1153" customFormat="1" x14ac:dyDescent="0.2">
      <c r="A346" s="1169">
        <v>2019</v>
      </c>
      <c r="B346" s="1226" t="s">
        <v>1471</v>
      </c>
      <c r="C346" s="1226" t="s">
        <v>1471</v>
      </c>
      <c r="D346" s="1226" t="s">
        <v>1471</v>
      </c>
      <c r="E346" s="1226" t="s">
        <v>1471</v>
      </c>
      <c r="F346" s="1226" t="s">
        <v>1471</v>
      </c>
      <c r="G346" s="1226" t="s">
        <v>1471</v>
      </c>
      <c r="H346" s="1226" t="s">
        <v>1471</v>
      </c>
      <c r="I346" s="1226" t="s">
        <v>1471</v>
      </c>
      <c r="J346" s="1226" t="s">
        <v>1471</v>
      </c>
      <c r="K346" s="1226" t="s">
        <v>1471</v>
      </c>
      <c r="L346" s="1226" t="s">
        <v>1471</v>
      </c>
      <c r="M346" s="1226" t="s">
        <v>1471</v>
      </c>
      <c r="N346" s="1226" t="s">
        <v>1471</v>
      </c>
      <c r="O346" s="1163">
        <v>21</v>
      </c>
    </row>
    <row r="347" spans="1:15" s="1153" customFormat="1" x14ac:dyDescent="0.2">
      <c r="A347" s="1169">
        <v>2020</v>
      </c>
      <c r="B347" s="1226" t="s">
        <v>1471</v>
      </c>
      <c r="C347" s="1226" t="s">
        <v>1471</v>
      </c>
      <c r="D347" s="1226" t="s">
        <v>1471</v>
      </c>
      <c r="E347" s="1226" t="s">
        <v>1471</v>
      </c>
      <c r="F347" s="1226" t="s">
        <v>1471</v>
      </c>
      <c r="G347" s="1226" t="s">
        <v>1471</v>
      </c>
      <c r="H347" s="1226" t="s">
        <v>1471</v>
      </c>
      <c r="I347" s="1226" t="s">
        <v>1471</v>
      </c>
      <c r="J347" s="1226" t="s">
        <v>1471</v>
      </c>
      <c r="K347" s="1226" t="s">
        <v>1471</v>
      </c>
      <c r="L347" s="1226" t="s">
        <v>1471</v>
      </c>
      <c r="M347" s="1226" t="s">
        <v>1471</v>
      </c>
      <c r="N347" s="1226" t="s">
        <v>1471</v>
      </c>
      <c r="O347" s="1163">
        <v>22</v>
      </c>
    </row>
    <row r="348" spans="1:15" x14ac:dyDescent="0.2">
      <c r="A348" s="1169"/>
      <c r="B348" s="1159"/>
      <c r="C348" s="1159"/>
      <c r="D348" s="1159"/>
      <c r="E348" s="1159"/>
      <c r="F348" s="1159"/>
      <c r="G348" s="1159"/>
      <c r="H348" s="1159"/>
      <c r="I348" s="1159"/>
      <c r="J348" s="1159"/>
      <c r="K348" s="1159"/>
      <c r="L348" s="1159"/>
      <c r="M348" s="1159"/>
      <c r="N348" s="1159"/>
      <c r="O348" s="1163">
        <v>23</v>
      </c>
    </row>
    <row r="349" spans="1:15" ht="15" x14ac:dyDescent="0.3">
      <c r="A349" s="1153"/>
      <c r="B349" s="1178" t="s">
        <v>676</v>
      </c>
      <c r="C349" s="1153"/>
      <c r="D349" s="1174">
        <v>199912</v>
      </c>
      <c r="E349" s="1153"/>
      <c r="F349" s="1153"/>
      <c r="G349" s="1153"/>
      <c r="H349" s="1153"/>
      <c r="I349" s="1153"/>
      <c r="J349" s="1153"/>
      <c r="K349" s="1153"/>
      <c r="L349" s="1153"/>
      <c r="M349" s="1153"/>
      <c r="N349" s="1153"/>
      <c r="O349" s="1153"/>
    </row>
    <row r="350" spans="1:15" x14ac:dyDescent="0.2">
      <c r="A350" s="1154" t="s">
        <v>286</v>
      </c>
      <c r="B350" s="1162">
        <v>3353119</v>
      </c>
      <c r="C350" s="1154" t="s">
        <v>333</v>
      </c>
      <c r="D350" s="1153"/>
      <c r="E350" s="1153"/>
      <c r="F350" s="1153"/>
      <c r="G350" s="1153"/>
      <c r="H350" s="1153"/>
      <c r="I350" s="1153"/>
      <c r="J350" s="1153"/>
      <c r="K350" s="1153"/>
      <c r="L350" s="1153"/>
      <c r="M350" s="1153"/>
      <c r="N350" s="1153"/>
      <c r="O350" s="1153" t="s">
        <v>306</v>
      </c>
    </row>
    <row r="351" spans="1:15" x14ac:dyDescent="0.2">
      <c r="A351" s="1154"/>
      <c r="B351" s="1157" t="s">
        <v>291</v>
      </c>
      <c r="C351" s="1168" t="s">
        <v>292</v>
      </c>
      <c r="D351" s="1167" t="s">
        <v>293</v>
      </c>
      <c r="E351" s="1167" t="s">
        <v>294</v>
      </c>
      <c r="F351" s="1167" t="s">
        <v>295</v>
      </c>
      <c r="G351" s="1167" t="s">
        <v>296</v>
      </c>
      <c r="H351" s="1167" t="s">
        <v>297</v>
      </c>
      <c r="I351" s="1167" t="s">
        <v>298</v>
      </c>
      <c r="J351" s="1167" t="s">
        <v>299</v>
      </c>
      <c r="K351" s="1167" t="s">
        <v>300</v>
      </c>
      <c r="L351" s="1167" t="s">
        <v>301</v>
      </c>
      <c r="M351" s="1167" t="s">
        <v>302</v>
      </c>
      <c r="N351" s="1167" t="s">
        <v>318</v>
      </c>
      <c r="O351" s="1153"/>
    </row>
    <row r="352" spans="1:15" x14ac:dyDescent="0.2">
      <c r="A352" s="1161" t="s">
        <v>319</v>
      </c>
      <c r="B352" s="1164">
        <v>1</v>
      </c>
      <c r="C352" s="1164">
        <v>2</v>
      </c>
      <c r="D352" s="1164">
        <v>3</v>
      </c>
      <c r="E352" s="1164">
        <v>4</v>
      </c>
      <c r="F352" s="1164">
        <v>5</v>
      </c>
      <c r="G352" s="1164">
        <v>6</v>
      </c>
      <c r="H352" s="1164">
        <v>7</v>
      </c>
      <c r="I352" s="1164">
        <v>8</v>
      </c>
      <c r="J352" s="1164">
        <v>9</v>
      </c>
      <c r="K352" s="1164">
        <v>10</v>
      </c>
      <c r="L352" s="1164">
        <v>11</v>
      </c>
      <c r="M352" s="1164">
        <v>12</v>
      </c>
      <c r="N352" s="1164">
        <v>13</v>
      </c>
      <c r="O352" s="1165">
        <v>1</v>
      </c>
    </row>
    <row r="353" spans="1:15" x14ac:dyDescent="0.2">
      <c r="A353" s="1169">
        <v>2000</v>
      </c>
      <c r="B353" s="1175">
        <v>100.3</v>
      </c>
      <c r="C353" s="1175">
        <v>100.8</v>
      </c>
      <c r="D353" s="1175">
        <v>101.5</v>
      </c>
      <c r="E353" s="1175">
        <v>101.7</v>
      </c>
      <c r="F353" s="1175">
        <v>101.7</v>
      </c>
      <c r="G353" s="1175">
        <v>101.6</v>
      </c>
      <c r="H353" s="1175">
        <v>100.8</v>
      </c>
      <c r="I353" s="1175">
        <v>100.5</v>
      </c>
      <c r="J353" s="1175">
        <v>99.9</v>
      </c>
      <c r="K353" s="1175">
        <v>100.2</v>
      </c>
      <c r="L353" s="1175">
        <v>99.2</v>
      </c>
      <c r="M353" s="1175">
        <v>99.2</v>
      </c>
      <c r="N353" s="1175">
        <v>100.6</v>
      </c>
      <c r="O353" s="1163">
        <v>2</v>
      </c>
    </row>
    <row r="354" spans="1:15" x14ac:dyDescent="0.2">
      <c r="A354" s="1169">
        <v>2001</v>
      </c>
      <c r="B354" s="1175">
        <v>99.8</v>
      </c>
      <c r="C354" s="1175">
        <v>99.6</v>
      </c>
      <c r="D354" s="1175">
        <v>99.5</v>
      </c>
      <c r="E354" s="1175">
        <v>99.8</v>
      </c>
      <c r="F354" s="1175">
        <v>99.2</v>
      </c>
      <c r="G354" s="1175">
        <v>99.1</v>
      </c>
      <c r="H354" s="1175">
        <v>99.1</v>
      </c>
      <c r="I354" s="1175">
        <v>98.9</v>
      </c>
      <c r="J354" s="1175">
        <v>98.9</v>
      </c>
      <c r="K354" s="1175">
        <v>98.8</v>
      </c>
      <c r="L354" s="1175">
        <v>98.5</v>
      </c>
      <c r="M354" s="1175">
        <v>98.4</v>
      </c>
      <c r="N354" s="1175">
        <v>99.1</v>
      </c>
      <c r="O354" s="1163">
        <v>3</v>
      </c>
    </row>
    <row r="355" spans="1:15" x14ac:dyDescent="0.2">
      <c r="A355" s="1169">
        <v>2002</v>
      </c>
      <c r="B355" s="1175">
        <v>97.9</v>
      </c>
      <c r="C355" s="1175">
        <v>97.9</v>
      </c>
      <c r="D355" s="1175">
        <v>97.5</v>
      </c>
      <c r="E355" s="1175">
        <v>97.8</v>
      </c>
      <c r="F355" s="1175">
        <v>98.1</v>
      </c>
      <c r="G355" s="1175">
        <v>98.2</v>
      </c>
      <c r="H355" s="1175">
        <v>98.2</v>
      </c>
      <c r="I355" s="1175">
        <v>98.2</v>
      </c>
      <c r="J355" s="1175">
        <v>98.2</v>
      </c>
      <c r="K355" s="1175">
        <v>98.2</v>
      </c>
      <c r="L355" s="1175">
        <v>98.3</v>
      </c>
      <c r="M355" s="1175">
        <v>98.3</v>
      </c>
      <c r="N355" s="1175">
        <v>98.1</v>
      </c>
      <c r="O355" s="1163">
        <v>4</v>
      </c>
    </row>
    <row r="356" spans="1:15" x14ac:dyDescent="0.2">
      <c r="A356" s="1169">
        <v>2003</v>
      </c>
      <c r="B356" s="1175">
        <v>98.1</v>
      </c>
      <c r="C356" s="1175">
        <v>96.9</v>
      </c>
      <c r="D356" s="1175">
        <v>96.7</v>
      </c>
      <c r="E356" s="1175">
        <v>96.8</v>
      </c>
      <c r="F356" s="1175">
        <v>96.7</v>
      </c>
      <c r="G356" s="1175">
        <v>96.6</v>
      </c>
      <c r="H356" s="1175">
        <v>97.8</v>
      </c>
      <c r="I356" s="1175">
        <v>97.9</v>
      </c>
      <c r="J356" s="1175">
        <v>97.9</v>
      </c>
      <c r="K356" s="1175">
        <v>97.6</v>
      </c>
      <c r="L356" s="1175">
        <v>97.5</v>
      </c>
      <c r="M356" s="1175">
        <v>97.6</v>
      </c>
      <c r="N356" s="1175">
        <v>97.3</v>
      </c>
      <c r="O356" s="1163">
        <v>5</v>
      </c>
    </row>
    <row r="357" spans="1:15" x14ac:dyDescent="0.2">
      <c r="A357" s="1169">
        <v>2004</v>
      </c>
      <c r="B357" s="1175">
        <v>97.8</v>
      </c>
      <c r="C357" s="1175">
        <v>98.1</v>
      </c>
      <c r="D357" s="1175">
        <v>98.8</v>
      </c>
      <c r="E357" s="1175">
        <v>100</v>
      </c>
      <c r="F357" s="1175">
        <v>99.9</v>
      </c>
      <c r="G357" s="1175">
        <v>100</v>
      </c>
      <c r="H357" s="1175">
        <v>101</v>
      </c>
      <c r="I357" s="1175">
        <v>101.7</v>
      </c>
      <c r="J357" s="1175">
        <v>103.1</v>
      </c>
      <c r="K357" s="1175">
        <v>104.2</v>
      </c>
      <c r="L357" s="1175">
        <v>105.2</v>
      </c>
      <c r="M357" s="1175">
        <v>108.3</v>
      </c>
      <c r="N357" s="1175">
        <v>101.5</v>
      </c>
      <c r="O357" s="1163">
        <v>6</v>
      </c>
    </row>
    <row r="358" spans="1:15" x14ac:dyDescent="0.2">
      <c r="A358" s="1169">
        <v>2005</v>
      </c>
      <c r="B358" s="1175">
        <v>110.8</v>
      </c>
      <c r="C358" s="1175">
        <v>110.6</v>
      </c>
      <c r="D358" s="1179">
        <v>113.5</v>
      </c>
      <c r="E358" s="1179">
        <v>114.4</v>
      </c>
      <c r="F358" s="1179">
        <v>114.4</v>
      </c>
      <c r="G358" s="1179">
        <v>114.4</v>
      </c>
      <c r="H358" s="1179">
        <v>114.9</v>
      </c>
      <c r="I358" s="1179">
        <v>115.1</v>
      </c>
      <c r="J358" s="1179">
        <v>118.5</v>
      </c>
      <c r="K358" s="1179">
        <v>118.4</v>
      </c>
      <c r="L358" s="1179">
        <v>125.2</v>
      </c>
      <c r="M358" s="1179">
        <v>128.5</v>
      </c>
      <c r="N358" s="1179">
        <v>116.6</v>
      </c>
      <c r="O358" s="1163">
        <v>7</v>
      </c>
    </row>
    <row r="359" spans="1:15" x14ac:dyDescent="0.2">
      <c r="A359" s="1169">
        <v>2006</v>
      </c>
      <c r="B359" s="1179">
        <v>127.6</v>
      </c>
      <c r="C359" s="1180">
        <v>128.30000000000001</v>
      </c>
      <c r="D359" s="1181">
        <v>128.4</v>
      </c>
      <c r="E359" s="1181">
        <v>130.4</v>
      </c>
      <c r="F359" s="1181">
        <v>131.19999999999999</v>
      </c>
      <c r="G359" s="1181">
        <v>133.9</v>
      </c>
      <c r="H359" s="1181">
        <v>137.80000000000001</v>
      </c>
      <c r="I359" s="1182">
        <v>141.5</v>
      </c>
      <c r="J359" s="1182">
        <v>145</v>
      </c>
      <c r="K359" s="1182">
        <v>145.30000000000001</v>
      </c>
      <c r="L359" s="1182">
        <v>145.1</v>
      </c>
      <c r="M359" s="1182">
        <v>146.1</v>
      </c>
      <c r="N359" s="1182">
        <v>136.69999999999999</v>
      </c>
      <c r="O359" s="1163">
        <v>8</v>
      </c>
    </row>
    <row r="360" spans="1:15" x14ac:dyDescent="0.2">
      <c r="A360" s="1169">
        <v>2007</v>
      </c>
      <c r="B360" s="1176">
        <v>149.6</v>
      </c>
      <c r="C360" s="1176">
        <v>157.1</v>
      </c>
      <c r="D360" s="1181">
        <v>158.9</v>
      </c>
      <c r="E360" s="1181">
        <v>159.4</v>
      </c>
      <c r="F360" s="1181">
        <v>162.5</v>
      </c>
      <c r="G360" s="1181">
        <v>161.5</v>
      </c>
      <c r="H360" s="1181">
        <v>163</v>
      </c>
      <c r="I360" s="1182">
        <v>165</v>
      </c>
      <c r="J360" s="1182">
        <v>162.9</v>
      </c>
      <c r="K360" s="1182">
        <v>164</v>
      </c>
      <c r="L360" s="1182">
        <v>165.3</v>
      </c>
      <c r="M360" s="1182">
        <v>164.2</v>
      </c>
      <c r="N360" s="1182">
        <v>161.1</v>
      </c>
      <c r="O360" s="1163">
        <v>9</v>
      </c>
    </row>
    <row r="361" spans="1:15" x14ac:dyDescent="0.2">
      <c r="A361" s="1169">
        <v>2008</v>
      </c>
      <c r="B361" s="1183">
        <v>170.2</v>
      </c>
      <c r="C361" s="1193">
        <v>170.9</v>
      </c>
      <c r="D361" s="1194">
        <v>178.4</v>
      </c>
      <c r="E361" s="1194">
        <v>179.9</v>
      </c>
      <c r="F361" s="1194">
        <v>183.7</v>
      </c>
      <c r="G361" s="1194">
        <v>189.9</v>
      </c>
      <c r="H361" s="1195">
        <v>195.4</v>
      </c>
      <c r="I361" s="1195">
        <v>194.3</v>
      </c>
      <c r="J361" s="1195">
        <v>194.6</v>
      </c>
      <c r="K361" s="1195">
        <v>194</v>
      </c>
      <c r="L361" s="1195">
        <v>178.3</v>
      </c>
      <c r="M361" s="1195">
        <v>174.4</v>
      </c>
      <c r="N361" s="1195">
        <v>183.7</v>
      </c>
      <c r="O361" s="1163">
        <v>10</v>
      </c>
    </row>
    <row r="362" spans="1:15" x14ac:dyDescent="0.2">
      <c r="A362" s="1169">
        <v>2009</v>
      </c>
      <c r="B362" s="1156">
        <v>165.7</v>
      </c>
      <c r="C362" s="1156">
        <v>169.5</v>
      </c>
      <c r="D362" s="1156">
        <v>171.9</v>
      </c>
      <c r="E362" s="1156">
        <v>171.1</v>
      </c>
      <c r="F362" s="1156">
        <v>171</v>
      </c>
      <c r="G362" s="1156">
        <v>173.4</v>
      </c>
      <c r="H362" s="1156">
        <v>172.9</v>
      </c>
      <c r="I362" s="1156">
        <v>177.1</v>
      </c>
      <c r="J362" s="1197">
        <v>180.2</v>
      </c>
      <c r="K362" s="1197">
        <v>181.4</v>
      </c>
      <c r="L362" s="1197">
        <v>185.6</v>
      </c>
      <c r="M362" s="1197">
        <v>187.7</v>
      </c>
      <c r="N362" s="1197">
        <v>175.6</v>
      </c>
      <c r="O362" s="1163">
        <v>11</v>
      </c>
    </row>
    <row r="363" spans="1:15" x14ac:dyDescent="0.2">
      <c r="A363" s="1169">
        <v>2010</v>
      </c>
      <c r="B363" s="1156">
        <v>190.5</v>
      </c>
      <c r="C363" s="1156">
        <v>190.7</v>
      </c>
      <c r="D363" s="1156">
        <v>190.5</v>
      </c>
      <c r="E363" s="1156">
        <v>191.1</v>
      </c>
      <c r="F363" s="1156">
        <v>194</v>
      </c>
      <c r="G363" s="1156">
        <v>192.4</v>
      </c>
      <c r="H363" s="1156">
        <v>191.6</v>
      </c>
      <c r="I363" s="1156">
        <v>191.8</v>
      </c>
      <c r="J363" s="1155">
        <v>191.8</v>
      </c>
      <c r="K363" s="1192">
        <v>192.6</v>
      </c>
      <c r="L363" s="1192">
        <v>193.7</v>
      </c>
      <c r="M363" s="1192">
        <v>193.7</v>
      </c>
      <c r="N363" s="1192">
        <v>192</v>
      </c>
      <c r="O363" s="1163">
        <v>12</v>
      </c>
    </row>
    <row r="364" spans="1:15" x14ac:dyDescent="0.2">
      <c r="A364" s="1169">
        <v>2011</v>
      </c>
      <c r="B364" s="1153">
        <v>195.5</v>
      </c>
      <c r="C364" s="1156">
        <v>198.4</v>
      </c>
      <c r="D364" s="1182">
        <v>199.9</v>
      </c>
      <c r="E364" s="1192">
        <v>201.6</v>
      </c>
      <c r="F364" s="1192">
        <v>202.7</v>
      </c>
      <c r="G364" s="1192">
        <v>201.6</v>
      </c>
      <c r="H364" s="1192">
        <v>201.3</v>
      </c>
      <c r="I364" s="1226">
        <v>201.6</v>
      </c>
      <c r="J364" s="1226">
        <v>199.5</v>
      </c>
      <c r="K364" s="1226">
        <v>199.6</v>
      </c>
      <c r="L364" s="1226">
        <v>199.6</v>
      </c>
      <c r="M364" s="1226">
        <v>200.2</v>
      </c>
      <c r="N364" s="1226">
        <v>200.1</v>
      </c>
      <c r="O364" s="1163">
        <v>13</v>
      </c>
    </row>
    <row r="365" spans="1:15" s="1153" customFormat="1" x14ac:dyDescent="0.2">
      <c r="A365" s="1169">
        <v>2012</v>
      </c>
      <c r="B365" s="1226">
        <v>203</v>
      </c>
      <c r="C365" s="1226">
        <v>203</v>
      </c>
      <c r="D365" s="1196">
        <v>203.4</v>
      </c>
      <c r="E365" s="1196">
        <v>204.7</v>
      </c>
      <c r="F365" s="1196">
        <v>205.6</v>
      </c>
      <c r="G365" s="1196">
        <v>205.6</v>
      </c>
      <c r="H365" s="1226" t="s">
        <v>1471</v>
      </c>
      <c r="I365" s="1226" t="s">
        <v>1471</v>
      </c>
      <c r="J365" s="1226" t="s">
        <v>1471</v>
      </c>
      <c r="K365" s="1226" t="s">
        <v>1471</v>
      </c>
      <c r="L365" s="1226" t="s">
        <v>1471</v>
      </c>
      <c r="M365" s="1226" t="s">
        <v>1471</v>
      </c>
      <c r="N365" s="1226" t="s">
        <v>1471</v>
      </c>
      <c r="O365" s="1163">
        <v>14</v>
      </c>
    </row>
    <row r="366" spans="1:15" s="1153" customFormat="1" x14ac:dyDescent="0.2">
      <c r="A366" s="1169">
        <v>2013</v>
      </c>
      <c r="B366" s="1226" t="s">
        <v>1471</v>
      </c>
      <c r="C366" s="1226" t="s">
        <v>1471</v>
      </c>
      <c r="D366" s="1226" t="s">
        <v>1471</v>
      </c>
      <c r="E366" s="1226" t="s">
        <v>1471</v>
      </c>
      <c r="F366" s="1226" t="s">
        <v>1471</v>
      </c>
      <c r="G366" s="1226" t="s">
        <v>1471</v>
      </c>
      <c r="H366" s="1226" t="s">
        <v>1471</v>
      </c>
      <c r="I366" s="1226" t="s">
        <v>1471</v>
      </c>
      <c r="J366" s="1226" t="s">
        <v>1471</v>
      </c>
      <c r="K366" s="1226" t="s">
        <v>1471</v>
      </c>
      <c r="L366" s="1226" t="s">
        <v>1471</v>
      </c>
      <c r="M366" s="1226" t="s">
        <v>1471</v>
      </c>
      <c r="N366" s="1226" t="s">
        <v>1471</v>
      </c>
      <c r="O366" s="1163">
        <v>15</v>
      </c>
    </row>
    <row r="367" spans="1:15" s="1153" customFormat="1" x14ac:dyDescent="0.2">
      <c r="A367" s="1169">
        <v>2014</v>
      </c>
      <c r="B367" s="1226" t="s">
        <v>1471</v>
      </c>
      <c r="C367" s="1226" t="s">
        <v>1471</v>
      </c>
      <c r="D367" s="1226" t="s">
        <v>1471</v>
      </c>
      <c r="E367" s="1226" t="s">
        <v>1471</v>
      </c>
      <c r="F367" s="1226" t="s">
        <v>1471</v>
      </c>
      <c r="G367" s="1226" t="s">
        <v>1471</v>
      </c>
      <c r="H367" s="1226" t="s">
        <v>1471</v>
      </c>
      <c r="I367" s="1226" t="s">
        <v>1471</v>
      </c>
      <c r="J367" s="1226" t="s">
        <v>1471</v>
      </c>
      <c r="K367" s="1226" t="s">
        <v>1471</v>
      </c>
      <c r="L367" s="1226" t="s">
        <v>1471</v>
      </c>
      <c r="M367" s="1226" t="s">
        <v>1471</v>
      </c>
      <c r="N367" s="1226" t="s">
        <v>1471</v>
      </c>
      <c r="O367" s="1163">
        <v>16</v>
      </c>
    </row>
    <row r="368" spans="1:15" s="1153" customFormat="1" x14ac:dyDescent="0.2">
      <c r="A368" s="1169">
        <v>2015</v>
      </c>
      <c r="B368" s="1226" t="s">
        <v>1471</v>
      </c>
      <c r="C368" s="1226" t="s">
        <v>1471</v>
      </c>
      <c r="D368" s="1226" t="s">
        <v>1471</v>
      </c>
      <c r="E368" s="1226" t="s">
        <v>1471</v>
      </c>
      <c r="F368" s="1226" t="s">
        <v>1471</v>
      </c>
      <c r="G368" s="1226" t="s">
        <v>1471</v>
      </c>
      <c r="H368" s="1226" t="s">
        <v>1471</v>
      </c>
      <c r="I368" s="1226" t="s">
        <v>1471</v>
      </c>
      <c r="J368" s="1226" t="s">
        <v>1471</v>
      </c>
      <c r="K368" s="1226" t="s">
        <v>1471</v>
      </c>
      <c r="L368" s="1226" t="s">
        <v>1471</v>
      </c>
      <c r="M368" s="1226" t="s">
        <v>1471</v>
      </c>
      <c r="N368" s="1226" t="s">
        <v>1471</v>
      </c>
      <c r="O368" s="1163">
        <v>17</v>
      </c>
    </row>
    <row r="369" spans="1:15" s="1153" customFormat="1" x14ac:dyDescent="0.2">
      <c r="A369" s="1169">
        <v>2016</v>
      </c>
      <c r="B369" s="1226" t="s">
        <v>1471</v>
      </c>
      <c r="C369" s="1226" t="s">
        <v>1471</v>
      </c>
      <c r="D369" s="1226" t="s">
        <v>1471</v>
      </c>
      <c r="E369" s="1226" t="s">
        <v>1471</v>
      </c>
      <c r="F369" s="1226" t="s">
        <v>1471</v>
      </c>
      <c r="G369" s="1226" t="s">
        <v>1471</v>
      </c>
      <c r="H369" s="1226" t="s">
        <v>1471</v>
      </c>
      <c r="I369" s="1226" t="s">
        <v>1471</v>
      </c>
      <c r="J369" s="1226" t="s">
        <v>1471</v>
      </c>
      <c r="K369" s="1226" t="s">
        <v>1471</v>
      </c>
      <c r="L369" s="1226" t="s">
        <v>1471</v>
      </c>
      <c r="M369" s="1226" t="s">
        <v>1471</v>
      </c>
      <c r="N369" s="1226" t="s">
        <v>1471</v>
      </c>
      <c r="O369" s="1163">
        <v>18</v>
      </c>
    </row>
    <row r="370" spans="1:15" s="1153" customFormat="1" x14ac:dyDescent="0.2">
      <c r="A370" s="1169">
        <v>2017</v>
      </c>
      <c r="B370" s="1226" t="s">
        <v>1471</v>
      </c>
      <c r="C370" s="1226" t="s">
        <v>1471</v>
      </c>
      <c r="D370" s="1226" t="s">
        <v>1471</v>
      </c>
      <c r="E370" s="1226" t="s">
        <v>1471</v>
      </c>
      <c r="F370" s="1226" t="s">
        <v>1471</v>
      </c>
      <c r="G370" s="1226" t="s">
        <v>1471</v>
      </c>
      <c r="H370" s="1226" t="s">
        <v>1471</v>
      </c>
      <c r="I370" s="1226" t="s">
        <v>1471</v>
      </c>
      <c r="J370" s="1226" t="s">
        <v>1471</v>
      </c>
      <c r="K370" s="1226" t="s">
        <v>1471</v>
      </c>
      <c r="L370" s="1226" t="s">
        <v>1471</v>
      </c>
      <c r="M370" s="1226" t="s">
        <v>1471</v>
      </c>
      <c r="N370" s="1226" t="s">
        <v>1471</v>
      </c>
      <c r="O370" s="1163">
        <v>19</v>
      </c>
    </row>
    <row r="371" spans="1:15" s="1153" customFormat="1" x14ac:dyDescent="0.2">
      <c r="A371" s="1169">
        <v>2018</v>
      </c>
      <c r="B371" s="1226" t="s">
        <v>1471</v>
      </c>
      <c r="C371" s="1226" t="s">
        <v>1471</v>
      </c>
      <c r="D371" s="1226" t="s">
        <v>1471</v>
      </c>
      <c r="E371" s="1226" t="s">
        <v>1471</v>
      </c>
      <c r="F371" s="1226" t="s">
        <v>1471</v>
      </c>
      <c r="G371" s="1226" t="s">
        <v>1471</v>
      </c>
      <c r="H371" s="1226" t="s">
        <v>1471</v>
      </c>
      <c r="I371" s="1226" t="s">
        <v>1471</v>
      </c>
      <c r="J371" s="1226" t="s">
        <v>1471</v>
      </c>
      <c r="K371" s="1226" t="s">
        <v>1471</v>
      </c>
      <c r="L371" s="1226" t="s">
        <v>1471</v>
      </c>
      <c r="M371" s="1226" t="s">
        <v>1471</v>
      </c>
      <c r="N371" s="1226" t="s">
        <v>1471</v>
      </c>
      <c r="O371" s="1163">
        <v>20</v>
      </c>
    </row>
    <row r="372" spans="1:15" s="1153" customFormat="1" x14ac:dyDescent="0.2">
      <c r="A372" s="1169">
        <v>2019</v>
      </c>
      <c r="B372" s="1226" t="s">
        <v>1471</v>
      </c>
      <c r="C372" s="1226" t="s">
        <v>1471</v>
      </c>
      <c r="D372" s="1226" t="s">
        <v>1471</v>
      </c>
      <c r="E372" s="1226" t="s">
        <v>1471</v>
      </c>
      <c r="F372" s="1226" t="s">
        <v>1471</v>
      </c>
      <c r="G372" s="1226" t="s">
        <v>1471</v>
      </c>
      <c r="H372" s="1226" t="s">
        <v>1471</v>
      </c>
      <c r="I372" s="1226" t="s">
        <v>1471</v>
      </c>
      <c r="J372" s="1226" t="s">
        <v>1471</v>
      </c>
      <c r="K372" s="1226" t="s">
        <v>1471</v>
      </c>
      <c r="L372" s="1226" t="s">
        <v>1471</v>
      </c>
      <c r="M372" s="1226" t="s">
        <v>1471</v>
      </c>
      <c r="N372" s="1226" t="s">
        <v>1471</v>
      </c>
      <c r="O372" s="1163">
        <v>21</v>
      </c>
    </row>
    <row r="373" spans="1:15" s="1153" customFormat="1" x14ac:dyDescent="0.2">
      <c r="A373" s="1169">
        <v>2020</v>
      </c>
      <c r="B373" s="1226" t="s">
        <v>1471</v>
      </c>
      <c r="C373" s="1226" t="s">
        <v>1471</v>
      </c>
      <c r="D373" s="1226" t="s">
        <v>1471</v>
      </c>
      <c r="E373" s="1226" t="s">
        <v>1471</v>
      </c>
      <c r="F373" s="1226" t="s">
        <v>1471</v>
      </c>
      <c r="G373" s="1226" t="s">
        <v>1471</v>
      </c>
      <c r="H373" s="1226" t="s">
        <v>1471</v>
      </c>
      <c r="I373" s="1226" t="s">
        <v>1471</v>
      </c>
      <c r="J373" s="1226" t="s">
        <v>1471</v>
      </c>
      <c r="K373" s="1226" t="s">
        <v>1471</v>
      </c>
      <c r="L373" s="1226" t="s">
        <v>1471</v>
      </c>
      <c r="M373" s="1226" t="s">
        <v>1471</v>
      </c>
      <c r="N373" s="1226" t="s">
        <v>1471</v>
      </c>
      <c r="O373" s="1163">
        <v>22</v>
      </c>
    </row>
    <row r="374" spans="1:15" x14ac:dyDescent="0.2">
      <c r="A374" s="1169"/>
      <c r="B374" s="1159"/>
      <c r="C374" s="1159"/>
      <c r="D374" s="1159"/>
      <c r="E374" s="1159"/>
      <c r="F374" s="1159"/>
      <c r="G374" s="1159"/>
      <c r="H374" s="1159"/>
      <c r="I374" s="1159"/>
      <c r="J374" s="1159"/>
      <c r="K374" s="1159"/>
      <c r="L374" s="1159"/>
      <c r="M374" s="1159"/>
      <c r="N374" s="1159"/>
      <c r="O374" s="1163">
        <v>23</v>
      </c>
    </row>
    <row r="375" spans="1:15" ht="15" x14ac:dyDescent="0.3">
      <c r="A375" s="1153"/>
      <c r="B375" s="1178" t="s">
        <v>675</v>
      </c>
      <c r="C375" s="1153"/>
      <c r="D375" s="1174">
        <v>199006</v>
      </c>
      <c r="E375" s="1153"/>
      <c r="F375" s="1153"/>
      <c r="G375" s="1153"/>
      <c r="H375" s="1153"/>
      <c r="I375" s="1153"/>
      <c r="J375" s="1153"/>
      <c r="K375" s="1153"/>
      <c r="L375" s="1153"/>
      <c r="M375" s="1153"/>
      <c r="N375" s="1153"/>
      <c r="O375" s="1153"/>
    </row>
    <row r="376" spans="1:15" x14ac:dyDescent="0.2">
      <c r="A376" s="1154" t="s">
        <v>286</v>
      </c>
      <c r="B376" s="1162">
        <v>3339954</v>
      </c>
      <c r="C376" s="1154" t="s">
        <v>334</v>
      </c>
      <c r="D376" s="1153"/>
      <c r="E376" s="1153"/>
      <c r="F376" s="1153"/>
      <c r="G376" s="1153"/>
      <c r="H376" s="1153"/>
      <c r="I376" s="1153"/>
      <c r="J376" s="1153"/>
      <c r="K376" s="1153"/>
      <c r="L376" s="1153"/>
      <c r="M376" s="1153"/>
      <c r="N376" s="1153"/>
      <c r="O376" s="1153" t="s">
        <v>306</v>
      </c>
    </row>
    <row r="377" spans="1:15" x14ac:dyDescent="0.2">
      <c r="A377" s="1154"/>
      <c r="B377" s="1157" t="s">
        <v>291</v>
      </c>
      <c r="C377" s="1168" t="s">
        <v>292</v>
      </c>
      <c r="D377" s="1167" t="s">
        <v>293</v>
      </c>
      <c r="E377" s="1167" t="s">
        <v>294</v>
      </c>
      <c r="F377" s="1167" t="s">
        <v>295</v>
      </c>
      <c r="G377" s="1167" t="s">
        <v>296</v>
      </c>
      <c r="H377" s="1167" t="s">
        <v>297</v>
      </c>
      <c r="I377" s="1167" t="s">
        <v>298</v>
      </c>
      <c r="J377" s="1167" t="s">
        <v>299</v>
      </c>
      <c r="K377" s="1167" t="s">
        <v>300</v>
      </c>
      <c r="L377" s="1167" t="s">
        <v>301</v>
      </c>
      <c r="M377" s="1167" t="s">
        <v>302</v>
      </c>
      <c r="N377" s="1167" t="s">
        <v>318</v>
      </c>
      <c r="O377" s="1153"/>
    </row>
    <row r="378" spans="1:15" x14ac:dyDescent="0.2">
      <c r="A378" s="1161" t="s">
        <v>319</v>
      </c>
      <c r="B378" s="1164">
        <v>1</v>
      </c>
      <c r="C378" s="1164">
        <v>2</v>
      </c>
      <c r="D378" s="1164">
        <v>3</v>
      </c>
      <c r="E378" s="1164">
        <v>4</v>
      </c>
      <c r="F378" s="1164">
        <v>5</v>
      </c>
      <c r="G378" s="1164">
        <v>6</v>
      </c>
      <c r="H378" s="1164">
        <v>7</v>
      </c>
      <c r="I378" s="1164">
        <v>8</v>
      </c>
      <c r="J378" s="1164">
        <v>9</v>
      </c>
      <c r="K378" s="1164">
        <v>10</v>
      </c>
      <c r="L378" s="1164">
        <v>11</v>
      </c>
      <c r="M378" s="1164">
        <v>12</v>
      </c>
      <c r="N378" s="1164">
        <v>13</v>
      </c>
      <c r="O378" s="1165">
        <v>1</v>
      </c>
    </row>
    <row r="379" spans="1:15" x14ac:dyDescent="0.2">
      <c r="A379" s="1169">
        <v>2000</v>
      </c>
      <c r="B379" s="1175">
        <v>119.6</v>
      </c>
      <c r="C379" s="1175">
        <v>120.2</v>
      </c>
      <c r="D379" s="1175">
        <v>120.2</v>
      </c>
      <c r="E379" s="1175">
        <v>120.3</v>
      </c>
      <c r="F379" s="1175">
        <v>120.3</v>
      </c>
      <c r="G379" s="1175">
        <v>120.3</v>
      </c>
      <c r="H379" s="1175">
        <v>120.3</v>
      </c>
      <c r="I379" s="1175">
        <v>120.6</v>
      </c>
      <c r="J379" s="1175">
        <v>120.5</v>
      </c>
      <c r="K379" s="1175">
        <v>120.5</v>
      </c>
      <c r="L379" s="1175">
        <v>120.5</v>
      </c>
      <c r="M379" s="1175">
        <v>120.5</v>
      </c>
      <c r="N379" s="1175">
        <v>120.3</v>
      </c>
      <c r="O379" s="1163">
        <v>2</v>
      </c>
    </row>
    <row r="380" spans="1:15" x14ac:dyDescent="0.2">
      <c r="A380" s="1169">
        <v>2001</v>
      </c>
      <c r="B380" s="1175">
        <v>121.6</v>
      </c>
      <c r="C380" s="1175">
        <v>120.6</v>
      </c>
      <c r="D380" s="1175">
        <v>120.6</v>
      </c>
      <c r="E380" s="1175">
        <v>120.7</v>
      </c>
      <c r="F380" s="1175">
        <v>122.7</v>
      </c>
      <c r="G380" s="1175">
        <v>122.7</v>
      </c>
      <c r="H380" s="1175">
        <v>122.7</v>
      </c>
      <c r="I380" s="1175">
        <v>122.7</v>
      </c>
      <c r="J380" s="1175">
        <v>122.4</v>
      </c>
      <c r="K380" s="1175">
        <v>122.4</v>
      </c>
      <c r="L380" s="1175">
        <v>122.4</v>
      </c>
      <c r="M380" s="1175">
        <v>122.4</v>
      </c>
      <c r="N380" s="1175">
        <v>122</v>
      </c>
      <c r="O380" s="1163">
        <v>3</v>
      </c>
    </row>
    <row r="381" spans="1:15" x14ac:dyDescent="0.2">
      <c r="A381" s="1169">
        <v>2002</v>
      </c>
      <c r="B381" s="1175">
        <v>122.4</v>
      </c>
      <c r="C381" s="1175">
        <v>122.6</v>
      </c>
      <c r="D381" s="1175">
        <v>122.6</v>
      </c>
      <c r="E381" s="1175">
        <v>122.6</v>
      </c>
      <c r="F381" s="1175">
        <v>122.6</v>
      </c>
      <c r="G381" s="1175">
        <v>122.4</v>
      </c>
      <c r="H381" s="1175">
        <v>122.4</v>
      </c>
      <c r="I381" s="1175">
        <v>122.4</v>
      </c>
      <c r="J381" s="1175">
        <v>122.4</v>
      </c>
      <c r="K381" s="1175">
        <v>122.4</v>
      </c>
      <c r="L381" s="1175">
        <v>122.4</v>
      </c>
      <c r="M381" s="1175">
        <v>122.5</v>
      </c>
      <c r="N381" s="1175">
        <v>122.5</v>
      </c>
      <c r="O381" s="1163">
        <v>4</v>
      </c>
    </row>
    <row r="382" spans="1:15" x14ac:dyDescent="0.2">
      <c r="A382" s="1169">
        <v>2003</v>
      </c>
      <c r="B382" s="1175">
        <v>123.4</v>
      </c>
      <c r="C382" s="1175">
        <v>122.7</v>
      </c>
      <c r="D382" s="1175">
        <v>122.7</v>
      </c>
      <c r="E382" s="1175">
        <v>122.7</v>
      </c>
      <c r="F382" s="1175">
        <v>122.7</v>
      </c>
      <c r="G382" s="1175">
        <v>122.7</v>
      </c>
      <c r="H382" s="1175">
        <v>124.1</v>
      </c>
      <c r="I382" s="1175">
        <v>123.9</v>
      </c>
      <c r="J382" s="1175">
        <v>123.9</v>
      </c>
      <c r="K382" s="1175">
        <v>123.5</v>
      </c>
      <c r="L382" s="1175">
        <v>123.5</v>
      </c>
      <c r="M382" s="1175">
        <v>123.5</v>
      </c>
      <c r="N382" s="1175">
        <v>123.3</v>
      </c>
      <c r="O382" s="1163">
        <v>5</v>
      </c>
    </row>
    <row r="383" spans="1:15" x14ac:dyDescent="0.2">
      <c r="A383" s="1169">
        <v>2004</v>
      </c>
      <c r="B383" s="1175">
        <v>125.9</v>
      </c>
      <c r="C383" s="1175">
        <v>125.9</v>
      </c>
      <c r="D383" s="1175">
        <v>126.7</v>
      </c>
      <c r="E383" s="1175">
        <v>128.4</v>
      </c>
      <c r="F383" s="1175">
        <v>129.6</v>
      </c>
      <c r="G383" s="1175">
        <v>130.1</v>
      </c>
      <c r="H383" s="1175">
        <v>130.1</v>
      </c>
      <c r="I383" s="1175">
        <v>131.69999999999999</v>
      </c>
      <c r="J383" s="1175">
        <v>132</v>
      </c>
      <c r="K383" s="1175">
        <v>134.19999999999999</v>
      </c>
      <c r="L383" s="1175">
        <v>134.19999999999999</v>
      </c>
      <c r="M383" s="1175">
        <v>135.30000000000001</v>
      </c>
      <c r="N383" s="1175">
        <v>130.30000000000001</v>
      </c>
      <c r="O383" s="1163">
        <v>6</v>
      </c>
    </row>
    <row r="384" spans="1:15" x14ac:dyDescent="0.2">
      <c r="A384" s="1169">
        <v>2005</v>
      </c>
      <c r="B384" s="1175">
        <v>135.30000000000001</v>
      </c>
      <c r="C384" s="1175">
        <v>136.69999999999999</v>
      </c>
      <c r="D384" s="1179">
        <v>138.1</v>
      </c>
      <c r="E384" s="1179">
        <v>138.30000000000001</v>
      </c>
      <c r="F384" s="1179">
        <v>138.30000000000001</v>
      </c>
      <c r="G384" s="1179">
        <v>139.30000000000001</v>
      </c>
      <c r="H384" s="1179">
        <v>141</v>
      </c>
      <c r="I384" s="1179">
        <v>141</v>
      </c>
      <c r="J384" s="1179">
        <v>141</v>
      </c>
      <c r="K384" s="1179">
        <v>141</v>
      </c>
      <c r="L384" s="1179">
        <v>141</v>
      </c>
      <c r="M384" s="1179">
        <v>141</v>
      </c>
      <c r="N384" s="1179">
        <v>139.30000000000001</v>
      </c>
      <c r="O384" s="1163">
        <v>7</v>
      </c>
    </row>
    <row r="385" spans="1:15" x14ac:dyDescent="0.2">
      <c r="A385" s="1169">
        <v>2006</v>
      </c>
      <c r="B385" s="1179">
        <v>142.9</v>
      </c>
      <c r="C385" s="1180">
        <v>142.9</v>
      </c>
      <c r="D385" s="1181">
        <v>143.19999999999999</v>
      </c>
      <c r="E385" s="1181">
        <v>143.4</v>
      </c>
      <c r="F385" s="1181">
        <v>143.4</v>
      </c>
      <c r="G385" s="1181">
        <v>143.9</v>
      </c>
      <c r="H385" s="1181">
        <v>145.1</v>
      </c>
      <c r="I385" s="1182">
        <v>145.1</v>
      </c>
      <c r="J385" s="1182">
        <v>145.1</v>
      </c>
      <c r="K385" s="1182">
        <v>145.1</v>
      </c>
      <c r="L385" s="1182">
        <v>145.4</v>
      </c>
      <c r="M385" s="1182">
        <v>145.19999999999999</v>
      </c>
      <c r="N385" s="1182">
        <v>144.19999999999999</v>
      </c>
      <c r="O385" s="1163">
        <v>8</v>
      </c>
    </row>
    <row r="386" spans="1:15" x14ac:dyDescent="0.2">
      <c r="A386" s="1169">
        <v>2007</v>
      </c>
      <c r="B386" s="1176">
        <v>146.4</v>
      </c>
      <c r="C386" s="1176">
        <v>146.4</v>
      </c>
      <c r="D386" s="1181">
        <v>146.9</v>
      </c>
      <c r="E386" s="1181">
        <v>148.1</v>
      </c>
      <c r="F386" s="1181">
        <v>148.1</v>
      </c>
      <c r="G386" s="1181">
        <v>148.1</v>
      </c>
      <c r="H386" s="1181">
        <v>148.1</v>
      </c>
      <c r="I386" s="1182">
        <v>148.1</v>
      </c>
      <c r="J386" s="1182">
        <v>148.5</v>
      </c>
      <c r="K386" s="1182">
        <v>148.5</v>
      </c>
      <c r="L386" s="1182">
        <v>151.30000000000001</v>
      </c>
      <c r="M386" s="1182">
        <v>153.80000000000001</v>
      </c>
      <c r="N386" s="1182">
        <v>148.5</v>
      </c>
      <c r="O386" s="1163">
        <v>9</v>
      </c>
    </row>
    <row r="387" spans="1:15" x14ac:dyDescent="0.2">
      <c r="A387" s="1169">
        <v>2008</v>
      </c>
      <c r="B387" s="1183">
        <v>154.30000000000001</v>
      </c>
      <c r="C387" s="1193">
        <v>154.4</v>
      </c>
      <c r="D387" s="1194">
        <v>154.9</v>
      </c>
      <c r="E387" s="1194">
        <v>155.9</v>
      </c>
      <c r="F387" s="1194">
        <v>156.5</v>
      </c>
      <c r="G387" s="1194">
        <v>159.19999999999999</v>
      </c>
      <c r="H387" s="1195">
        <v>161</v>
      </c>
      <c r="I387" s="1195">
        <v>162.69999999999999</v>
      </c>
      <c r="J387" s="1195">
        <v>163.4</v>
      </c>
      <c r="K387" s="1195">
        <v>163</v>
      </c>
      <c r="L387" s="1195">
        <v>163.30000000000001</v>
      </c>
      <c r="M387" s="1195">
        <v>163.30000000000001</v>
      </c>
      <c r="N387" s="1195">
        <v>159.30000000000001</v>
      </c>
      <c r="O387" s="1163">
        <v>10</v>
      </c>
    </row>
    <row r="388" spans="1:15" x14ac:dyDescent="0.2">
      <c r="A388" s="1169">
        <v>2009</v>
      </c>
      <c r="B388" s="1156">
        <v>163.69999999999999</v>
      </c>
      <c r="C388" s="1156">
        <v>162.4</v>
      </c>
      <c r="D388" s="1156">
        <v>162.30000000000001</v>
      </c>
      <c r="E388" s="1156">
        <v>162</v>
      </c>
      <c r="F388" s="1156">
        <v>161.5</v>
      </c>
      <c r="G388" s="1156">
        <v>164.8</v>
      </c>
      <c r="H388" s="1156">
        <v>164.8</v>
      </c>
      <c r="I388" s="1156">
        <v>164.8</v>
      </c>
      <c r="J388" s="1197">
        <v>164.8</v>
      </c>
      <c r="K388" s="1197">
        <v>164.9</v>
      </c>
      <c r="L388" s="1197">
        <v>164.9</v>
      </c>
      <c r="M388" s="1197">
        <v>164.9</v>
      </c>
      <c r="N388" s="1197">
        <v>163.80000000000001</v>
      </c>
      <c r="O388" s="1163">
        <v>11</v>
      </c>
    </row>
    <row r="389" spans="1:15" x14ac:dyDescent="0.2">
      <c r="A389" s="1169">
        <v>2010</v>
      </c>
      <c r="B389" s="1156">
        <v>165</v>
      </c>
      <c r="C389" s="1156">
        <v>165.1</v>
      </c>
      <c r="D389" s="1156">
        <v>165.3</v>
      </c>
      <c r="E389" s="1156">
        <v>165.3</v>
      </c>
      <c r="F389" s="1156">
        <v>165.7</v>
      </c>
      <c r="G389" s="1156">
        <v>165.7</v>
      </c>
      <c r="H389" s="1156">
        <v>166.2</v>
      </c>
      <c r="I389" s="1156">
        <v>166.8</v>
      </c>
      <c r="J389" s="1155">
        <v>166.8</v>
      </c>
      <c r="K389" s="1192">
        <v>166.9</v>
      </c>
      <c r="L389" s="1192">
        <v>168</v>
      </c>
      <c r="M389" s="1192">
        <v>168</v>
      </c>
      <c r="N389" s="1192">
        <v>166.2</v>
      </c>
      <c r="O389" s="1163">
        <v>12</v>
      </c>
    </row>
    <row r="390" spans="1:15" x14ac:dyDescent="0.2">
      <c r="A390" s="1169">
        <v>2011</v>
      </c>
      <c r="B390" s="1153">
        <v>168</v>
      </c>
      <c r="C390" s="1156">
        <v>168.1</v>
      </c>
      <c r="D390" s="1182">
        <v>168.1</v>
      </c>
      <c r="E390" s="1192">
        <v>169.3</v>
      </c>
      <c r="F390" s="1192">
        <v>169.7</v>
      </c>
      <c r="G390" s="1192">
        <v>169.9</v>
      </c>
      <c r="H390" s="1192">
        <v>170</v>
      </c>
      <c r="I390" s="1226">
        <v>170</v>
      </c>
      <c r="J390" s="1226">
        <v>170.9</v>
      </c>
      <c r="K390" s="1226">
        <v>171</v>
      </c>
      <c r="L390" s="1226">
        <v>172.4</v>
      </c>
      <c r="M390" s="1226">
        <v>172.4</v>
      </c>
      <c r="N390" s="1226">
        <v>170</v>
      </c>
      <c r="O390" s="1163">
        <v>13</v>
      </c>
    </row>
    <row r="391" spans="1:15" s="1153" customFormat="1" x14ac:dyDescent="0.2">
      <c r="A391" s="1169">
        <v>2012</v>
      </c>
      <c r="B391" s="1226">
        <v>173.3</v>
      </c>
      <c r="C391" s="1226">
        <v>173.4</v>
      </c>
      <c r="D391" s="1196">
        <v>174.5</v>
      </c>
      <c r="E391" s="1196">
        <v>174.2</v>
      </c>
      <c r="F391" s="1196">
        <v>174.3</v>
      </c>
      <c r="G391" s="1196">
        <v>174.1</v>
      </c>
      <c r="H391" s="1226" t="s">
        <v>1471</v>
      </c>
      <c r="I391" s="1226" t="s">
        <v>1471</v>
      </c>
      <c r="J391" s="1226" t="s">
        <v>1471</v>
      </c>
      <c r="K391" s="1226" t="s">
        <v>1471</v>
      </c>
      <c r="L391" s="1226" t="s">
        <v>1471</v>
      </c>
      <c r="M391" s="1226" t="s">
        <v>1471</v>
      </c>
      <c r="N391" s="1226" t="s">
        <v>1471</v>
      </c>
      <c r="O391" s="1163">
        <v>14</v>
      </c>
    </row>
    <row r="392" spans="1:15" s="1153" customFormat="1" x14ac:dyDescent="0.2">
      <c r="A392" s="1169">
        <v>2013</v>
      </c>
      <c r="B392" s="1226" t="s">
        <v>1471</v>
      </c>
      <c r="C392" s="1226" t="s">
        <v>1471</v>
      </c>
      <c r="D392" s="1226" t="s">
        <v>1471</v>
      </c>
      <c r="E392" s="1226" t="s">
        <v>1471</v>
      </c>
      <c r="F392" s="1226" t="s">
        <v>1471</v>
      </c>
      <c r="G392" s="1226" t="s">
        <v>1471</v>
      </c>
      <c r="H392" s="1226" t="s">
        <v>1471</v>
      </c>
      <c r="I392" s="1226" t="s">
        <v>1471</v>
      </c>
      <c r="J392" s="1226" t="s">
        <v>1471</v>
      </c>
      <c r="K392" s="1226" t="s">
        <v>1471</v>
      </c>
      <c r="L392" s="1226" t="s">
        <v>1471</v>
      </c>
      <c r="M392" s="1226" t="s">
        <v>1471</v>
      </c>
      <c r="N392" s="1226" t="s">
        <v>1471</v>
      </c>
      <c r="O392" s="1163">
        <v>15</v>
      </c>
    </row>
    <row r="393" spans="1:15" s="1153" customFormat="1" x14ac:dyDescent="0.2">
      <c r="A393" s="1169">
        <v>2014</v>
      </c>
      <c r="B393" s="1226" t="s">
        <v>1471</v>
      </c>
      <c r="C393" s="1226" t="s">
        <v>1471</v>
      </c>
      <c r="D393" s="1226" t="s">
        <v>1471</v>
      </c>
      <c r="E393" s="1226" t="s">
        <v>1471</v>
      </c>
      <c r="F393" s="1226" t="s">
        <v>1471</v>
      </c>
      <c r="G393" s="1226" t="s">
        <v>1471</v>
      </c>
      <c r="H393" s="1226" t="s">
        <v>1471</v>
      </c>
      <c r="I393" s="1226" t="s">
        <v>1471</v>
      </c>
      <c r="J393" s="1226" t="s">
        <v>1471</v>
      </c>
      <c r="K393" s="1226" t="s">
        <v>1471</v>
      </c>
      <c r="L393" s="1226" t="s">
        <v>1471</v>
      </c>
      <c r="M393" s="1226" t="s">
        <v>1471</v>
      </c>
      <c r="N393" s="1226" t="s">
        <v>1471</v>
      </c>
      <c r="O393" s="1163">
        <v>16</v>
      </c>
    </row>
    <row r="394" spans="1:15" s="1153" customFormat="1" x14ac:dyDescent="0.2">
      <c r="A394" s="1169">
        <v>2015</v>
      </c>
      <c r="B394" s="1226" t="s">
        <v>1471</v>
      </c>
      <c r="C394" s="1226" t="s">
        <v>1471</v>
      </c>
      <c r="D394" s="1226" t="s">
        <v>1471</v>
      </c>
      <c r="E394" s="1226" t="s">
        <v>1471</v>
      </c>
      <c r="F394" s="1226" t="s">
        <v>1471</v>
      </c>
      <c r="G394" s="1226" t="s">
        <v>1471</v>
      </c>
      <c r="H394" s="1226" t="s">
        <v>1471</v>
      </c>
      <c r="I394" s="1226" t="s">
        <v>1471</v>
      </c>
      <c r="J394" s="1226" t="s">
        <v>1471</v>
      </c>
      <c r="K394" s="1226" t="s">
        <v>1471</v>
      </c>
      <c r="L394" s="1226" t="s">
        <v>1471</v>
      </c>
      <c r="M394" s="1226" t="s">
        <v>1471</v>
      </c>
      <c r="N394" s="1226" t="s">
        <v>1471</v>
      </c>
      <c r="O394" s="1163">
        <v>17</v>
      </c>
    </row>
    <row r="395" spans="1:15" s="1153" customFormat="1" x14ac:dyDescent="0.2">
      <c r="A395" s="1169">
        <v>2016</v>
      </c>
      <c r="B395" s="1226" t="s">
        <v>1471</v>
      </c>
      <c r="C395" s="1226" t="s">
        <v>1471</v>
      </c>
      <c r="D395" s="1226" t="s">
        <v>1471</v>
      </c>
      <c r="E395" s="1226" t="s">
        <v>1471</v>
      </c>
      <c r="F395" s="1226" t="s">
        <v>1471</v>
      </c>
      <c r="G395" s="1226" t="s">
        <v>1471</v>
      </c>
      <c r="H395" s="1226" t="s">
        <v>1471</v>
      </c>
      <c r="I395" s="1226" t="s">
        <v>1471</v>
      </c>
      <c r="J395" s="1226" t="s">
        <v>1471</v>
      </c>
      <c r="K395" s="1226" t="s">
        <v>1471</v>
      </c>
      <c r="L395" s="1226" t="s">
        <v>1471</v>
      </c>
      <c r="M395" s="1226" t="s">
        <v>1471</v>
      </c>
      <c r="N395" s="1226" t="s">
        <v>1471</v>
      </c>
      <c r="O395" s="1163">
        <v>18</v>
      </c>
    </row>
    <row r="396" spans="1:15" s="1153" customFormat="1" x14ac:dyDescent="0.2">
      <c r="A396" s="1169">
        <v>2017</v>
      </c>
      <c r="B396" s="1226" t="s">
        <v>1471</v>
      </c>
      <c r="C396" s="1226" t="s">
        <v>1471</v>
      </c>
      <c r="D396" s="1226" t="s">
        <v>1471</v>
      </c>
      <c r="E396" s="1226" t="s">
        <v>1471</v>
      </c>
      <c r="F396" s="1226" t="s">
        <v>1471</v>
      </c>
      <c r="G396" s="1226" t="s">
        <v>1471</v>
      </c>
      <c r="H396" s="1226" t="s">
        <v>1471</v>
      </c>
      <c r="I396" s="1226" t="s">
        <v>1471</v>
      </c>
      <c r="J396" s="1226" t="s">
        <v>1471</v>
      </c>
      <c r="K396" s="1226" t="s">
        <v>1471</v>
      </c>
      <c r="L396" s="1226" t="s">
        <v>1471</v>
      </c>
      <c r="M396" s="1226" t="s">
        <v>1471</v>
      </c>
      <c r="N396" s="1226" t="s">
        <v>1471</v>
      </c>
      <c r="O396" s="1163">
        <v>19</v>
      </c>
    </row>
    <row r="397" spans="1:15" s="1153" customFormat="1" x14ac:dyDescent="0.2">
      <c r="A397" s="1169">
        <v>2018</v>
      </c>
      <c r="B397" s="1226" t="s">
        <v>1471</v>
      </c>
      <c r="C397" s="1226" t="s">
        <v>1471</v>
      </c>
      <c r="D397" s="1226" t="s">
        <v>1471</v>
      </c>
      <c r="E397" s="1226" t="s">
        <v>1471</v>
      </c>
      <c r="F397" s="1226" t="s">
        <v>1471</v>
      </c>
      <c r="G397" s="1226" t="s">
        <v>1471</v>
      </c>
      <c r="H397" s="1226" t="s">
        <v>1471</v>
      </c>
      <c r="I397" s="1226" t="s">
        <v>1471</v>
      </c>
      <c r="J397" s="1226" t="s">
        <v>1471</v>
      </c>
      <c r="K397" s="1226" t="s">
        <v>1471</v>
      </c>
      <c r="L397" s="1226" t="s">
        <v>1471</v>
      </c>
      <c r="M397" s="1226" t="s">
        <v>1471</v>
      </c>
      <c r="N397" s="1226" t="s">
        <v>1471</v>
      </c>
      <c r="O397" s="1163">
        <v>20</v>
      </c>
    </row>
    <row r="398" spans="1:15" s="1153" customFormat="1" x14ac:dyDescent="0.2">
      <c r="A398" s="1169">
        <v>2019</v>
      </c>
      <c r="B398" s="1226" t="s">
        <v>1471</v>
      </c>
      <c r="C398" s="1226" t="s">
        <v>1471</v>
      </c>
      <c r="D398" s="1226" t="s">
        <v>1471</v>
      </c>
      <c r="E398" s="1226" t="s">
        <v>1471</v>
      </c>
      <c r="F398" s="1226" t="s">
        <v>1471</v>
      </c>
      <c r="G398" s="1226" t="s">
        <v>1471</v>
      </c>
      <c r="H398" s="1226" t="s">
        <v>1471</v>
      </c>
      <c r="I398" s="1226" t="s">
        <v>1471</v>
      </c>
      <c r="J398" s="1226" t="s">
        <v>1471</v>
      </c>
      <c r="K398" s="1226" t="s">
        <v>1471</v>
      </c>
      <c r="L398" s="1226" t="s">
        <v>1471</v>
      </c>
      <c r="M398" s="1226" t="s">
        <v>1471</v>
      </c>
      <c r="N398" s="1226" t="s">
        <v>1471</v>
      </c>
      <c r="O398" s="1163">
        <v>21</v>
      </c>
    </row>
    <row r="399" spans="1:15" s="1153" customFormat="1" x14ac:dyDescent="0.2">
      <c r="A399" s="1169">
        <v>2020</v>
      </c>
      <c r="B399" s="1226" t="s">
        <v>1471</v>
      </c>
      <c r="C399" s="1226" t="s">
        <v>1471</v>
      </c>
      <c r="D399" s="1226" t="s">
        <v>1471</v>
      </c>
      <c r="E399" s="1226" t="s">
        <v>1471</v>
      </c>
      <c r="F399" s="1226" t="s">
        <v>1471</v>
      </c>
      <c r="G399" s="1226" t="s">
        <v>1471</v>
      </c>
      <c r="H399" s="1226" t="s">
        <v>1471</v>
      </c>
      <c r="I399" s="1226" t="s">
        <v>1471</v>
      </c>
      <c r="J399" s="1226" t="s">
        <v>1471</v>
      </c>
      <c r="K399" s="1226" t="s">
        <v>1471</v>
      </c>
      <c r="L399" s="1226" t="s">
        <v>1471</v>
      </c>
      <c r="M399" s="1226" t="s">
        <v>1471</v>
      </c>
      <c r="N399" s="1226" t="s">
        <v>1471</v>
      </c>
      <c r="O399" s="1163">
        <v>22</v>
      </c>
    </row>
    <row r="400" spans="1:15" x14ac:dyDescent="0.2">
      <c r="A400" s="1169"/>
      <c r="B400" s="1159"/>
      <c r="C400" s="1159"/>
      <c r="D400" s="1159"/>
      <c r="E400" s="1159"/>
      <c r="F400" s="1159"/>
      <c r="G400" s="1159"/>
      <c r="H400" s="1159"/>
      <c r="I400" s="1159"/>
      <c r="J400" s="1159"/>
      <c r="K400" s="1159"/>
      <c r="L400" s="1159"/>
      <c r="M400" s="1159"/>
      <c r="N400" s="1159"/>
      <c r="O400" s="1163">
        <v>23</v>
      </c>
    </row>
    <row r="401" spans="1:15" ht="15" x14ac:dyDescent="0.3">
      <c r="A401" s="1153"/>
      <c r="B401" s="1174" t="s">
        <v>677</v>
      </c>
      <c r="C401" s="1153"/>
      <c r="D401" s="1174">
        <v>198206</v>
      </c>
      <c r="E401" s="1153"/>
      <c r="F401" s="1153"/>
      <c r="G401" s="1153"/>
      <c r="H401" s="1153"/>
      <c r="I401" s="1153"/>
      <c r="J401" s="1153"/>
      <c r="K401" s="1153"/>
      <c r="L401" s="1153"/>
      <c r="M401" s="1153"/>
      <c r="N401" s="1153"/>
      <c r="O401" s="1153"/>
    </row>
    <row r="402" spans="1:15" x14ac:dyDescent="0.2">
      <c r="A402" s="1154" t="s">
        <v>286</v>
      </c>
      <c r="B402" s="1162">
        <v>331221</v>
      </c>
      <c r="C402" s="1154" t="s">
        <v>335</v>
      </c>
      <c r="D402" s="1153"/>
      <c r="E402" s="1153"/>
      <c r="F402" s="1153"/>
      <c r="G402" s="1153"/>
      <c r="H402" s="1153"/>
      <c r="I402" s="1153"/>
      <c r="J402" s="1153"/>
      <c r="K402" s="1153"/>
      <c r="L402" s="1153"/>
      <c r="M402" s="1153"/>
      <c r="N402" s="1153"/>
      <c r="O402" s="1153" t="s">
        <v>306</v>
      </c>
    </row>
    <row r="403" spans="1:15" x14ac:dyDescent="0.2">
      <c r="A403" s="1154"/>
      <c r="B403" s="1157" t="s">
        <v>291</v>
      </c>
      <c r="C403" s="1168" t="s">
        <v>292</v>
      </c>
      <c r="D403" s="1167" t="s">
        <v>293</v>
      </c>
      <c r="E403" s="1167" t="s">
        <v>294</v>
      </c>
      <c r="F403" s="1167" t="s">
        <v>295</v>
      </c>
      <c r="G403" s="1167" t="s">
        <v>296</v>
      </c>
      <c r="H403" s="1167" t="s">
        <v>297</v>
      </c>
      <c r="I403" s="1167" t="s">
        <v>298</v>
      </c>
      <c r="J403" s="1167" t="s">
        <v>299</v>
      </c>
      <c r="K403" s="1167" t="s">
        <v>300</v>
      </c>
      <c r="L403" s="1167" t="s">
        <v>301</v>
      </c>
      <c r="M403" s="1167" t="s">
        <v>302</v>
      </c>
      <c r="N403" s="1167" t="s">
        <v>318</v>
      </c>
      <c r="O403" s="1153"/>
    </row>
    <row r="404" spans="1:15" x14ac:dyDescent="0.2">
      <c r="A404" s="1161" t="s">
        <v>319</v>
      </c>
      <c r="B404" s="1164">
        <v>1</v>
      </c>
      <c r="C404" s="1164">
        <v>2</v>
      </c>
      <c r="D404" s="1164">
        <v>3</v>
      </c>
      <c r="E404" s="1164">
        <v>4</v>
      </c>
      <c r="F404" s="1164">
        <v>5</v>
      </c>
      <c r="G404" s="1164">
        <v>6</v>
      </c>
      <c r="H404" s="1164">
        <v>7</v>
      </c>
      <c r="I404" s="1164">
        <v>8</v>
      </c>
      <c r="J404" s="1164">
        <v>9</v>
      </c>
      <c r="K404" s="1164">
        <v>10</v>
      </c>
      <c r="L404" s="1164">
        <v>11</v>
      </c>
      <c r="M404" s="1164">
        <v>12</v>
      </c>
      <c r="N404" s="1164">
        <v>13</v>
      </c>
      <c r="O404" s="1165">
        <v>1</v>
      </c>
    </row>
    <row r="405" spans="1:15" x14ac:dyDescent="0.2">
      <c r="A405" s="1169">
        <v>2000</v>
      </c>
      <c r="B405" s="1175">
        <v>111.8</v>
      </c>
      <c r="C405" s="1175">
        <v>112.7</v>
      </c>
      <c r="D405" s="1175">
        <v>113</v>
      </c>
      <c r="E405" s="1175">
        <v>114.3</v>
      </c>
      <c r="F405" s="1175">
        <v>115.7</v>
      </c>
      <c r="G405" s="1175">
        <v>115.1</v>
      </c>
      <c r="H405" s="1175">
        <v>115.2</v>
      </c>
      <c r="I405" s="1175">
        <v>115.5</v>
      </c>
      <c r="J405" s="1175">
        <v>114.5</v>
      </c>
      <c r="K405" s="1175">
        <v>114.6</v>
      </c>
      <c r="L405" s="1175">
        <v>111.8</v>
      </c>
      <c r="M405" s="1175">
        <v>109.1</v>
      </c>
      <c r="N405" s="1175">
        <v>113.6</v>
      </c>
      <c r="O405" s="1163">
        <v>2</v>
      </c>
    </row>
    <row r="406" spans="1:15" x14ac:dyDescent="0.2">
      <c r="A406" s="1169">
        <v>2001</v>
      </c>
      <c r="B406" s="1175">
        <v>108.6</v>
      </c>
      <c r="C406" s="1175">
        <v>109.7</v>
      </c>
      <c r="D406" s="1175">
        <v>108.8</v>
      </c>
      <c r="E406" s="1175">
        <v>108.3</v>
      </c>
      <c r="F406" s="1175">
        <v>107.9</v>
      </c>
      <c r="G406" s="1175">
        <v>107.3</v>
      </c>
      <c r="H406" s="1175">
        <v>107</v>
      </c>
      <c r="I406" s="1175">
        <v>106.6</v>
      </c>
      <c r="J406" s="1175">
        <v>106.9</v>
      </c>
      <c r="K406" s="1175">
        <v>106.5</v>
      </c>
      <c r="L406" s="1175">
        <v>106.4</v>
      </c>
      <c r="M406" s="1175">
        <v>105.8</v>
      </c>
      <c r="N406" s="1175">
        <v>107.5</v>
      </c>
      <c r="O406" s="1163">
        <v>3</v>
      </c>
    </row>
    <row r="407" spans="1:15" x14ac:dyDescent="0.2">
      <c r="A407" s="1169">
        <v>2002</v>
      </c>
      <c r="B407" s="1175">
        <v>105.3</v>
      </c>
      <c r="C407" s="1175">
        <v>106.8</v>
      </c>
      <c r="D407" s="1175">
        <v>108.2</v>
      </c>
      <c r="E407" s="1175">
        <v>111.4</v>
      </c>
      <c r="F407" s="1175">
        <v>115.2</v>
      </c>
      <c r="G407" s="1175">
        <v>117</v>
      </c>
      <c r="H407" s="1175">
        <v>118.5</v>
      </c>
      <c r="I407" s="1175">
        <v>119.2</v>
      </c>
      <c r="J407" s="1175">
        <v>117.6</v>
      </c>
      <c r="K407" s="1175">
        <v>118.3</v>
      </c>
      <c r="L407" s="1175">
        <v>118.3</v>
      </c>
      <c r="M407" s="1175">
        <v>118.3</v>
      </c>
      <c r="N407" s="1175">
        <v>114.5</v>
      </c>
      <c r="O407" s="1163">
        <v>4</v>
      </c>
    </row>
    <row r="408" spans="1:15" x14ac:dyDescent="0.2">
      <c r="A408" s="1169">
        <v>2003</v>
      </c>
      <c r="B408" s="1175">
        <v>118.5</v>
      </c>
      <c r="C408" s="1175">
        <v>118.8</v>
      </c>
      <c r="D408" s="1175">
        <v>118.5</v>
      </c>
      <c r="E408" s="1175">
        <v>117.3</v>
      </c>
      <c r="F408" s="1175">
        <v>117</v>
      </c>
      <c r="G408" s="1175">
        <v>117.3</v>
      </c>
      <c r="H408" s="1175">
        <v>117.5</v>
      </c>
      <c r="I408" s="1175">
        <v>117.1</v>
      </c>
      <c r="J408" s="1175">
        <v>117.5</v>
      </c>
      <c r="K408" s="1175">
        <v>117.6</v>
      </c>
      <c r="L408" s="1175">
        <v>119</v>
      </c>
      <c r="M408" s="1175">
        <v>119.9</v>
      </c>
      <c r="N408" s="1175">
        <v>118</v>
      </c>
      <c r="O408" s="1163">
        <v>5</v>
      </c>
    </row>
    <row r="409" spans="1:15" x14ac:dyDescent="0.2">
      <c r="A409" s="1169">
        <v>2004</v>
      </c>
      <c r="B409" s="1175">
        <v>123.2</v>
      </c>
      <c r="C409" s="1175">
        <v>130.6</v>
      </c>
      <c r="D409" s="1175">
        <v>137.6</v>
      </c>
      <c r="E409" s="1175">
        <v>144</v>
      </c>
      <c r="F409" s="1175">
        <v>146.4</v>
      </c>
      <c r="G409" s="1175">
        <v>147.1</v>
      </c>
      <c r="H409" s="1175">
        <v>148.69999999999999</v>
      </c>
      <c r="I409" s="1175">
        <v>155.6</v>
      </c>
      <c r="J409" s="1175">
        <v>160.69999999999999</v>
      </c>
      <c r="K409" s="1175">
        <v>163.19999999999999</v>
      </c>
      <c r="L409" s="1175">
        <v>162.6</v>
      </c>
      <c r="M409" s="1175">
        <v>165.7</v>
      </c>
      <c r="N409" s="1175">
        <v>148.80000000000001</v>
      </c>
      <c r="O409" s="1163">
        <v>6</v>
      </c>
    </row>
    <row r="410" spans="1:15" x14ac:dyDescent="0.2">
      <c r="A410" s="1169">
        <v>2005</v>
      </c>
      <c r="B410" s="1175">
        <v>176.4</v>
      </c>
      <c r="C410" s="1175">
        <v>177.4</v>
      </c>
      <c r="D410" s="1179">
        <v>174.9</v>
      </c>
      <c r="E410" s="1179">
        <v>174</v>
      </c>
      <c r="F410" s="1179">
        <v>174.2</v>
      </c>
      <c r="G410" s="1179">
        <v>167.9</v>
      </c>
      <c r="H410" s="1179">
        <v>164.6</v>
      </c>
      <c r="I410" s="1179">
        <v>159.9</v>
      </c>
      <c r="J410" s="1179">
        <v>162.1</v>
      </c>
      <c r="K410" s="1179">
        <v>164.5</v>
      </c>
      <c r="L410" s="1179">
        <v>165.3</v>
      </c>
      <c r="M410" s="1179">
        <v>167.8</v>
      </c>
      <c r="N410" s="1179">
        <v>169.1</v>
      </c>
      <c r="O410" s="1163">
        <v>7</v>
      </c>
    </row>
    <row r="411" spans="1:15" x14ac:dyDescent="0.2">
      <c r="A411" s="1169">
        <v>2006</v>
      </c>
      <c r="B411" s="1179">
        <v>164</v>
      </c>
      <c r="C411" s="1180">
        <v>163.69999999999999</v>
      </c>
      <c r="D411" s="1181">
        <v>164.5</v>
      </c>
      <c r="E411" s="1181">
        <v>165.6</v>
      </c>
      <c r="F411" s="1181">
        <v>167.9</v>
      </c>
      <c r="G411" s="1181">
        <v>171.1</v>
      </c>
      <c r="H411" s="1181">
        <v>172.4</v>
      </c>
      <c r="I411" s="1181">
        <v>172.5</v>
      </c>
      <c r="J411" s="1182">
        <v>171.9</v>
      </c>
      <c r="K411" s="1182">
        <v>171.1</v>
      </c>
      <c r="L411" s="1182">
        <v>170.9</v>
      </c>
      <c r="M411" s="1182">
        <v>171</v>
      </c>
      <c r="N411" s="1182">
        <v>168.9</v>
      </c>
      <c r="O411" s="1163">
        <v>8</v>
      </c>
    </row>
    <row r="412" spans="1:15" x14ac:dyDescent="0.2">
      <c r="A412" s="1169">
        <v>2007</v>
      </c>
      <c r="B412" s="1176">
        <v>169</v>
      </c>
      <c r="C412" s="1176">
        <v>170.3</v>
      </c>
      <c r="D412" s="1181">
        <v>172.4</v>
      </c>
      <c r="E412" s="1181">
        <v>175.4</v>
      </c>
      <c r="F412" s="1181">
        <v>174.8</v>
      </c>
      <c r="G412" s="1181">
        <v>173</v>
      </c>
      <c r="H412" s="1181">
        <v>171.9</v>
      </c>
      <c r="I412" s="1181">
        <v>171.5</v>
      </c>
      <c r="J412" s="1182">
        <v>170.7</v>
      </c>
      <c r="K412" s="1182">
        <v>169.6</v>
      </c>
      <c r="L412" s="1182">
        <v>169.7</v>
      </c>
      <c r="M412" s="1182">
        <v>172</v>
      </c>
      <c r="N412" s="1182">
        <v>171.7</v>
      </c>
      <c r="O412" s="1163">
        <v>9</v>
      </c>
    </row>
    <row r="413" spans="1:15" x14ac:dyDescent="0.2">
      <c r="A413" s="1169">
        <v>2008</v>
      </c>
      <c r="B413" s="1183">
        <v>177.4</v>
      </c>
      <c r="C413" s="1193">
        <v>183.9</v>
      </c>
      <c r="D413" s="1194">
        <v>191.4</v>
      </c>
      <c r="E413" s="1194">
        <v>208</v>
      </c>
      <c r="F413" s="1194">
        <v>225.5</v>
      </c>
      <c r="G413" s="1194">
        <v>240.9</v>
      </c>
      <c r="H413" s="1195">
        <v>250.8</v>
      </c>
      <c r="I413" s="1195">
        <v>255.4</v>
      </c>
      <c r="J413" s="1195">
        <v>251.3</v>
      </c>
      <c r="K413" s="1195">
        <v>240.6</v>
      </c>
      <c r="L413" s="1195">
        <v>224.9</v>
      </c>
      <c r="M413" s="1195">
        <v>213.5</v>
      </c>
      <c r="N413" s="1195">
        <v>222</v>
      </c>
      <c r="O413" s="1163">
        <v>10</v>
      </c>
    </row>
    <row r="414" spans="1:15" x14ac:dyDescent="0.2">
      <c r="A414" s="1169">
        <v>2009</v>
      </c>
      <c r="B414" s="1156">
        <v>203.5</v>
      </c>
      <c r="C414" s="1156">
        <v>196.3</v>
      </c>
      <c r="D414" s="1156">
        <v>189.5</v>
      </c>
      <c r="E414" s="1156">
        <v>184.2</v>
      </c>
      <c r="F414" s="1156">
        <v>177.3</v>
      </c>
      <c r="G414" s="1156">
        <v>174.4</v>
      </c>
      <c r="H414" s="1156">
        <v>179</v>
      </c>
      <c r="I414" s="1156">
        <v>182.5</v>
      </c>
      <c r="J414" s="1197">
        <v>181.5</v>
      </c>
      <c r="K414" s="1197">
        <v>180.4</v>
      </c>
      <c r="L414" s="1197">
        <v>177.3</v>
      </c>
      <c r="M414" s="1197">
        <v>178.1</v>
      </c>
      <c r="N414" s="1197">
        <v>183.7</v>
      </c>
      <c r="O414" s="1163">
        <v>11</v>
      </c>
    </row>
    <row r="415" spans="1:15" x14ac:dyDescent="0.2">
      <c r="A415" s="1169">
        <v>2010</v>
      </c>
      <c r="B415" s="1156">
        <v>182.2</v>
      </c>
      <c r="C415" s="1156">
        <v>187.4</v>
      </c>
      <c r="D415" s="1156">
        <v>188.2</v>
      </c>
      <c r="E415" s="1156">
        <v>190</v>
      </c>
      <c r="F415" s="1156">
        <v>192.6</v>
      </c>
      <c r="G415" s="1156">
        <v>192.2</v>
      </c>
      <c r="H415" s="1156">
        <v>190.1</v>
      </c>
      <c r="I415" s="1219">
        <v>186.6</v>
      </c>
      <c r="J415" s="199">
        <v>186</v>
      </c>
      <c r="K415" s="1220">
        <v>185.2</v>
      </c>
      <c r="L415" s="1220">
        <v>183.4</v>
      </c>
      <c r="M415" s="1220">
        <v>186.1</v>
      </c>
      <c r="N415" s="1220">
        <v>187.5</v>
      </c>
      <c r="O415" s="1163">
        <v>12</v>
      </c>
    </row>
    <row r="416" spans="1:15" x14ac:dyDescent="0.2">
      <c r="A416" s="1169">
        <v>2011</v>
      </c>
      <c r="B416" s="1153">
        <v>189.7</v>
      </c>
      <c r="C416" s="1219">
        <v>196.9</v>
      </c>
      <c r="D416" s="1195">
        <v>205.1</v>
      </c>
      <c r="E416" s="1220">
        <v>215.5</v>
      </c>
      <c r="F416" s="1220">
        <v>218.2</v>
      </c>
      <c r="G416" s="1220">
        <v>212.9</v>
      </c>
      <c r="H416" s="1228">
        <v>210.2</v>
      </c>
      <c r="I416" s="1226">
        <v>209.5</v>
      </c>
      <c r="J416" s="1226">
        <v>207.2</v>
      </c>
      <c r="K416" s="1226">
        <v>207.9</v>
      </c>
      <c r="L416" s="1226">
        <v>205</v>
      </c>
      <c r="M416" s="1226">
        <v>204.3</v>
      </c>
      <c r="N416" s="1226">
        <v>206.9</v>
      </c>
      <c r="O416" s="1163">
        <v>13</v>
      </c>
    </row>
    <row r="417" spans="1:15" s="1153" customFormat="1" x14ac:dyDescent="0.2">
      <c r="A417" s="1218">
        <v>2012</v>
      </c>
      <c r="B417" s="1226">
        <v>205</v>
      </c>
      <c r="C417" s="1226">
        <v>205</v>
      </c>
      <c r="D417" s="1196">
        <v>205.2</v>
      </c>
      <c r="E417" s="1196">
        <v>204.7</v>
      </c>
      <c r="F417" s="1196">
        <v>203.5</v>
      </c>
      <c r="G417" s="1196">
        <v>201.8</v>
      </c>
      <c r="H417" s="1226" t="s">
        <v>1471</v>
      </c>
      <c r="I417" s="1226" t="s">
        <v>1471</v>
      </c>
      <c r="J417" s="1226" t="s">
        <v>1471</v>
      </c>
      <c r="K417" s="1226" t="s">
        <v>1471</v>
      </c>
      <c r="L417" s="1226" t="s">
        <v>1471</v>
      </c>
      <c r="M417" s="1226" t="s">
        <v>1471</v>
      </c>
      <c r="N417" s="1226" t="s">
        <v>1471</v>
      </c>
      <c r="O417" s="1163">
        <v>14</v>
      </c>
    </row>
    <row r="418" spans="1:15" s="1153" customFormat="1" x14ac:dyDescent="0.2">
      <c r="A418" s="1218">
        <v>2013</v>
      </c>
      <c r="B418" s="1226" t="s">
        <v>1471</v>
      </c>
      <c r="C418" s="1226" t="s">
        <v>1471</v>
      </c>
      <c r="D418" s="1226" t="s">
        <v>1471</v>
      </c>
      <c r="E418" s="1226" t="s">
        <v>1471</v>
      </c>
      <c r="F418" s="1226" t="s">
        <v>1471</v>
      </c>
      <c r="G418" s="1226" t="s">
        <v>1471</v>
      </c>
      <c r="H418" s="1226" t="s">
        <v>1471</v>
      </c>
      <c r="I418" s="1226" t="s">
        <v>1471</v>
      </c>
      <c r="J418" s="1226" t="s">
        <v>1471</v>
      </c>
      <c r="K418" s="1226" t="s">
        <v>1471</v>
      </c>
      <c r="L418" s="1226" t="s">
        <v>1471</v>
      </c>
      <c r="M418" s="1226" t="s">
        <v>1471</v>
      </c>
      <c r="N418" s="1226" t="s">
        <v>1471</v>
      </c>
      <c r="O418" s="1163">
        <v>15</v>
      </c>
    </row>
    <row r="419" spans="1:15" s="1153" customFormat="1" x14ac:dyDescent="0.2">
      <c r="A419" s="1218">
        <v>2014</v>
      </c>
      <c r="B419" s="1226" t="s">
        <v>1471</v>
      </c>
      <c r="C419" s="1226" t="s">
        <v>1471</v>
      </c>
      <c r="D419" s="1226" t="s">
        <v>1471</v>
      </c>
      <c r="E419" s="1226" t="s">
        <v>1471</v>
      </c>
      <c r="F419" s="1226" t="s">
        <v>1471</v>
      </c>
      <c r="G419" s="1226" t="s">
        <v>1471</v>
      </c>
      <c r="H419" s="1226" t="s">
        <v>1471</v>
      </c>
      <c r="I419" s="1226" t="s">
        <v>1471</v>
      </c>
      <c r="J419" s="1226" t="s">
        <v>1471</v>
      </c>
      <c r="K419" s="1226" t="s">
        <v>1471</v>
      </c>
      <c r="L419" s="1226" t="s">
        <v>1471</v>
      </c>
      <c r="M419" s="1226" t="s">
        <v>1471</v>
      </c>
      <c r="N419" s="1226" t="s">
        <v>1471</v>
      </c>
      <c r="O419" s="1163">
        <v>16</v>
      </c>
    </row>
    <row r="420" spans="1:15" s="1153" customFormat="1" x14ac:dyDescent="0.2">
      <c r="A420" s="1218">
        <v>2015</v>
      </c>
      <c r="B420" s="1226" t="s">
        <v>1471</v>
      </c>
      <c r="C420" s="1226" t="s">
        <v>1471</v>
      </c>
      <c r="D420" s="1226" t="s">
        <v>1471</v>
      </c>
      <c r="E420" s="1226" t="s">
        <v>1471</v>
      </c>
      <c r="F420" s="1226" t="s">
        <v>1471</v>
      </c>
      <c r="G420" s="1226" t="s">
        <v>1471</v>
      </c>
      <c r="H420" s="1226" t="s">
        <v>1471</v>
      </c>
      <c r="I420" s="1226" t="s">
        <v>1471</v>
      </c>
      <c r="J420" s="1226" t="s">
        <v>1471</v>
      </c>
      <c r="K420" s="1226" t="s">
        <v>1471</v>
      </c>
      <c r="L420" s="1226" t="s">
        <v>1471</v>
      </c>
      <c r="M420" s="1226" t="s">
        <v>1471</v>
      </c>
      <c r="N420" s="1226" t="s">
        <v>1471</v>
      </c>
      <c r="O420" s="1163">
        <v>17</v>
      </c>
    </row>
    <row r="421" spans="1:15" s="1153" customFormat="1" x14ac:dyDescent="0.2">
      <c r="A421" s="1218">
        <v>2016</v>
      </c>
      <c r="B421" s="1226" t="s">
        <v>1471</v>
      </c>
      <c r="C421" s="1226" t="s">
        <v>1471</v>
      </c>
      <c r="D421" s="1226" t="s">
        <v>1471</v>
      </c>
      <c r="E421" s="1226" t="s">
        <v>1471</v>
      </c>
      <c r="F421" s="1226" t="s">
        <v>1471</v>
      </c>
      <c r="G421" s="1226" t="s">
        <v>1471</v>
      </c>
      <c r="H421" s="1226" t="s">
        <v>1471</v>
      </c>
      <c r="I421" s="1226" t="s">
        <v>1471</v>
      </c>
      <c r="J421" s="1226" t="s">
        <v>1471</v>
      </c>
      <c r="K421" s="1226" t="s">
        <v>1471</v>
      </c>
      <c r="L421" s="1226" t="s">
        <v>1471</v>
      </c>
      <c r="M421" s="1226" t="s">
        <v>1471</v>
      </c>
      <c r="N421" s="1226" t="s">
        <v>1471</v>
      </c>
      <c r="O421" s="1163">
        <v>18</v>
      </c>
    </row>
    <row r="422" spans="1:15" s="1153" customFormat="1" x14ac:dyDescent="0.2">
      <c r="A422" s="1218">
        <v>2017</v>
      </c>
      <c r="B422" s="1226" t="s">
        <v>1471</v>
      </c>
      <c r="C422" s="1226" t="s">
        <v>1471</v>
      </c>
      <c r="D422" s="1226" t="s">
        <v>1471</v>
      </c>
      <c r="E422" s="1226" t="s">
        <v>1471</v>
      </c>
      <c r="F422" s="1226" t="s">
        <v>1471</v>
      </c>
      <c r="G422" s="1226" t="s">
        <v>1471</v>
      </c>
      <c r="H422" s="1226" t="s">
        <v>1471</v>
      </c>
      <c r="I422" s="1226" t="s">
        <v>1471</v>
      </c>
      <c r="J422" s="1226" t="s">
        <v>1471</v>
      </c>
      <c r="K422" s="1226" t="s">
        <v>1471</v>
      </c>
      <c r="L422" s="1226" t="s">
        <v>1471</v>
      </c>
      <c r="M422" s="1226" t="s">
        <v>1471</v>
      </c>
      <c r="N422" s="1226" t="s">
        <v>1471</v>
      </c>
      <c r="O422" s="1163">
        <v>19</v>
      </c>
    </row>
    <row r="423" spans="1:15" s="1153" customFormat="1" x14ac:dyDescent="0.2">
      <c r="A423" s="1218">
        <v>2018</v>
      </c>
      <c r="B423" s="1226" t="s">
        <v>1471</v>
      </c>
      <c r="C423" s="1226" t="s">
        <v>1471</v>
      </c>
      <c r="D423" s="1226" t="s">
        <v>1471</v>
      </c>
      <c r="E423" s="1226" t="s">
        <v>1471</v>
      </c>
      <c r="F423" s="1226" t="s">
        <v>1471</v>
      </c>
      <c r="G423" s="1226" t="s">
        <v>1471</v>
      </c>
      <c r="H423" s="1226" t="s">
        <v>1471</v>
      </c>
      <c r="I423" s="1226" t="s">
        <v>1471</v>
      </c>
      <c r="J423" s="1226" t="s">
        <v>1471</v>
      </c>
      <c r="K423" s="1226" t="s">
        <v>1471</v>
      </c>
      <c r="L423" s="1226" t="s">
        <v>1471</v>
      </c>
      <c r="M423" s="1226" t="s">
        <v>1471</v>
      </c>
      <c r="N423" s="1226" t="s">
        <v>1471</v>
      </c>
      <c r="O423" s="1163">
        <v>20</v>
      </c>
    </row>
    <row r="424" spans="1:15" s="1153" customFormat="1" x14ac:dyDescent="0.2">
      <c r="A424" s="1218">
        <v>2019</v>
      </c>
      <c r="B424" s="1226" t="s">
        <v>1471</v>
      </c>
      <c r="C424" s="1226" t="s">
        <v>1471</v>
      </c>
      <c r="D424" s="1226" t="s">
        <v>1471</v>
      </c>
      <c r="E424" s="1226" t="s">
        <v>1471</v>
      </c>
      <c r="F424" s="1226" t="s">
        <v>1471</v>
      </c>
      <c r="G424" s="1226" t="s">
        <v>1471</v>
      </c>
      <c r="H424" s="1226" t="s">
        <v>1471</v>
      </c>
      <c r="I424" s="1226" t="s">
        <v>1471</v>
      </c>
      <c r="J424" s="1226" t="s">
        <v>1471</v>
      </c>
      <c r="K424" s="1226" t="s">
        <v>1471</v>
      </c>
      <c r="L424" s="1226" t="s">
        <v>1471</v>
      </c>
      <c r="M424" s="1226" t="s">
        <v>1471</v>
      </c>
      <c r="N424" s="1226" t="s">
        <v>1471</v>
      </c>
      <c r="O424" s="1163">
        <v>21</v>
      </c>
    </row>
    <row r="425" spans="1:15" s="1153" customFormat="1" x14ac:dyDescent="0.2">
      <c r="A425" s="1218">
        <v>2020</v>
      </c>
      <c r="B425" s="1226" t="s">
        <v>1471</v>
      </c>
      <c r="C425" s="1226" t="s">
        <v>1471</v>
      </c>
      <c r="D425" s="1226" t="s">
        <v>1471</v>
      </c>
      <c r="E425" s="1226" t="s">
        <v>1471</v>
      </c>
      <c r="F425" s="1226" t="s">
        <v>1471</v>
      </c>
      <c r="G425" s="1226" t="s">
        <v>1471</v>
      </c>
      <c r="H425" s="1226" t="s">
        <v>1471</v>
      </c>
      <c r="I425" s="1226" t="s">
        <v>1471</v>
      </c>
      <c r="J425" s="1226" t="s">
        <v>1471</v>
      </c>
      <c r="K425" s="1226" t="s">
        <v>1471</v>
      </c>
      <c r="L425" s="1226" t="s">
        <v>1471</v>
      </c>
      <c r="M425" s="1226" t="s">
        <v>1471</v>
      </c>
      <c r="N425" s="1226" t="s">
        <v>1471</v>
      </c>
      <c r="O425" s="1163">
        <v>22</v>
      </c>
    </row>
    <row r="426" spans="1:15" x14ac:dyDescent="0.2">
      <c r="A426" s="1169"/>
      <c r="B426" s="1159"/>
      <c r="C426" s="1159"/>
      <c r="D426" s="1159"/>
      <c r="E426" s="1159"/>
      <c r="F426" s="1159"/>
      <c r="G426" s="1159"/>
      <c r="H426" s="1159"/>
      <c r="I426" s="1159"/>
      <c r="J426" s="1159"/>
      <c r="K426" s="1159"/>
      <c r="L426" s="1159"/>
      <c r="M426" s="1159"/>
      <c r="N426" s="1159"/>
      <c r="O426" s="1163">
        <v>23</v>
      </c>
    </row>
    <row r="427" spans="1:15" ht="15" x14ac:dyDescent="0.3">
      <c r="B427" s="1174" t="s">
        <v>1473</v>
      </c>
      <c r="D427" s="833"/>
    </row>
    <row r="428" spans="1:15" ht="15" x14ac:dyDescent="0.3">
      <c r="A428" s="1154" t="s">
        <v>286</v>
      </c>
      <c r="B428" s="1162" t="s">
        <v>1464</v>
      </c>
      <c r="C428" s="1154" t="s">
        <v>1465</v>
      </c>
      <c r="D428" s="1153"/>
      <c r="E428" s="1153"/>
      <c r="F428" s="1153"/>
      <c r="G428" s="1153" t="s">
        <v>1466</v>
      </c>
      <c r="H428" s="1174" t="s">
        <v>678</v>
      </c>
      <c r="I428" s="1153"/>
      <c r="J428" s="1174">
        <v>198606</v>
      </c>
      <c r="K428" s="1153"/>
      <c r="L428" s="1153"/>
      <c r="M428" s="1153"/>
      <c r="N428" s="1153"/>
      <c r="O428" s="1153" t="s">
        <v>306</v>
      </c>
    </row>
    <row r="429" spans="1:15" x14ac:dyDescent="0.2">
      <c r="A429" s="1154"/>
      <c r="B429" s="1157" t="s">
        <v>291</v>
      </c>
      <c r="C429" s="1168" t="s">
        <v>292</v>
      </c>
      <c r="D429" s="1167" t="s">
        <v>293</v>
      </c>
      <c r="E429" s="1167" t="s">
        <v>294</v>
      </c>
      <c r="F429" s="1167" t="s">
        <v>295</v>
      </c>
      <c r="G429" s="1167" t="s">
        <v>296</v>
      </c>
      <c r="H429" s="1167" t="s">
        <v>297</v>
      </c>
      <c r="I429" s="1167" t="s">
        <v>298</v>
      </c>
      <c r="J429" s="1167" t="s">
        <v>299</v>
      </c>
      <c r="K429" s="1167" t="s">
        <v>300</v>
      </c>
      <c r="L429" s="1167" t="s">
        <v>301</v>
      </c>
      <c r="M429" s="1167" t="s">
        <v>302</v>
      </c>
      <c r="N429" s="1167" t="s">
        <v>318</v>
      </c>
      <c r="O429" s="1153"/>
    </row>
    <row r="430" spans="1:15" x14ac:dyDescent="0.2">
      <c r="A430" s="1161" t="s">
        <v>319</v>
      </c>
      <c r="B430" s="1164">
        <v>1</v>
      </c>
      <c r="C430" s="1164">
        <v>2</v>
      </c>
      <c r="D430" s="1164">
        <v>3</v>
      </c>
      <c r="E430" s="1164">
        <v>4</v>
      </c>
      <c r="F430" s="1164">
        <v>5</v>
      </c>
      <c r="G430" s="1164">
        <v>6</v>
      </c>
      <c r="H430" s="1164">
        <v>7</v>
      </c>
      <c r="I430" s="1164">
        <v>8</v>
      </c>
      <c r="J430" s="1164">
        <v>9</v>
      </c>
      <c r="K430" s="1164">
        <v>10</v>
      </c>
      <c r="L430" s="1164">
        <v>11</v>
      </c>
      <c r="M430" s="1164">
        <v>12</v>
      </c>
      <c r="N430" s="1164">
        <v>13</v>
      </c>
      <c r="O430" s="1165">
        <v>1</v>
      </c>
    </row>
    <row r="431" spans="1:15" x14ac:dyDescent="0.2">
      <c r="A431" s="1169">
        <v>2000</v>
      </c>
      <c r="B431" s="1199">
        <v>61.72270842929526</v>
      </c>
      <c r="C431" s="1199">
        <v>62.643942883463843</v>
      </c>
      <c r="D431" s="1199">
        <v>62.459695992630124</v>
      </c>
      <c r="E431" s="1199">
        <v>62.551819438046984</v>
      </c>
      <c r="F431" s="1199">
        <v>63.380930446798715</v>
      </c>
      <c r="G431" s="1199">
        <v>63.150621833256558</v>
      </c>
      <c r="H431" s="1199">
        <v>62.920313219714416</v>
      </c>
      <c r="I431" s="1199">
        <v>63.979732842008296</v>
      </c>
      <c r="J431" s="1199">
        <v>63.795485951174577</v>
      </c>
      <c r="K431" s="1199">
        <v>63.749424228466147</v>
      </c>
      <c r="L431" s="1199">
        <v>63.242745278673432</v>
      </c>
      <c r="M431" s="1199">
        <v>62.874251497005993</v>
      </c>
      <c r="N431" s="1200">
        <v>63.039306003377853</v>
      </c>
      <c r="O431" s="1163">
        <v>2</v>
      </c>
    </row>
    <row r="432" spans="1:15" x14ac:dyDescent="0.2">
      <c r="A432" s="1169">
        <v>2001</v>
      </c>
      <c r="B432" s="1199">
        <v>63.473053892215582</v>
      </c>
      <c r="C432" s="1199">
        <v>63.657300783049287</v>
      </c>
      <c r="D432" s="1199">
        <v>63.288807001381855</v>
      </c>
      <c r="E432" s="1199">
        <v>63.795485951174577</v>
      </c>
      <c r="F432" s="1199">
        <v>64.440350069092588</v>
      </c>
      <c r="G432" s="1199">
        <v>63.933671119299873</v>
      </c>
      <c r="H432" s="1199">
        <v>62.920313219714416</v>
      </c>
      <c r="I432" s="1199">
        <v>63.104560110548135</v>
      </c>
      <c r="J432" s="1199">
        <v>63.749424228466147</v>
      </c>
      <c r="K432" s="1199">
        <v>62.367572547213271</v>
      </c>
      <c r="L432" s="1199">
        <v>61.768770152003682</v>
      </c>
      <c r="M432" s="1199">
        <v>60.985720865960388</v>
      </c>
      <c r="N432" s="1199">
        <v>63.104560110548135</v>
      </c>
      <c r="O432" s="1163">
        <v>3</v>
      </c>
    </row>
    <row r="433" spans="1:15" x14ac:dyDescent="0.2">
      <c r="A433" s="1169">
        <v>2002</v>
      </c>
      <c r="B433" s="1199">
        <v>61.216029479502545</v>
      </c>
      <c r="C433" s="1199">
        <v>60.985720865960388</v>
      </c>
      <c r="D433" s="1199">
        <v>61.123906034085671</v>
      </c>
      <c r="E433" s="1199">
        <v>61.400276370336258</v>
      </c>
      <c r="F433" s="1199">
        <v>61.6305849838784</v>
      </c>
      <c r="G433" s="1199">
        <v>61.676646706586837</v>
      </c>
      <c r="H433" s="1199">
        <v>61.768770152003682</v>
      </c>
      <c r="I433" s="1199">
        <v>61.814831874712105</v>
      </c>
      <c r="J433" s="1199">
        <v>61.906955320128972</v>
      </c>
      <c r="K433" s="1199">
        <v>61.906955320128972</v>
      </c>
      <c r="L433" s="1199">
        <v>61.676646706586837</v>
      </c>
      <c r="M433" s="1199">
        <v>61.584523261169963</v>
      </c>
      <c r="N433" s="1199">
        <v>61.584523261169963</v>
      </c>
      <c r="O433" s="1163">
        <v>4</v>
      </c>
    </row>
    <row r="434" spans="1:15" x14ac:dyDescent="0.2">
      <c r="A434" s="1169">
        <v>2003</v>
      </c>
      <c r="B434" s="1199">
        <v>62.045140488254255</v>
      </c>
      <c r="C434" s="1199">
        <v>62.505757715338547</v>
      </c>
      <c r="D434" s="1199">
        <v>63.012436665131276</v>
      </c>
      <c r="E434" s="1199">
        <v>63.150621833256558</v>
      </c>
      <c r="F434" s="1199">
        <v>63.104560110548135</v>
      </c>
      <c r="G434" s="1199">
        <v>63.058498387839713</v>
      </c>
      <c r="H434" s="1199">
        <v>62.966374942422846</v>
      </c>
      <c r="I434" s="1199">
        <v>63.058498387839713</v>
      </c>
      <c r="J434" s="1199">
        <v>63.012436665131276</v>
      </c>
      <c r="K434" s="1199">
        <v>62.966374942422846</v>
      </c>
      <c r="L434" s="1199">
        <v>63.150621833256558</v>
      </c>
      <c r="M434" s="1199">
        <v>63.196683555964995</v>
      </c>
      <c r="N434" s="1199">
        <v>62.920313219714416</v>
      </c>
      <c r="O434" s="1163">
        <v>5</v>
      </c>
    </row>
    <row r="435" spans="1:15" x14ac:dyDescent="0.2">
      <c r="A435" s="1169">
        <v>2004</v>
      </c>
      <c r="B435" s="1199">
        <v>64.716720405343167</v>
      </c>
      <c r="C435" s="1199">
        <v>65.039152464302163</v>
      </c>
      <c r="D435" s="1199">
        <v>65.637954859511751</v>
      </c>
      <c r="E435" s="1199">
        <v>66.88162137263933</v>
      </c>
      <c r="F435" s="1199">
        <v>68.125287885766923</v>
      </c>
      <c r="G435" s="1199">
        <v>67.710732381391068</v>
      </c>
      <c r="H435" s="1199">
        <v>68.724090280976498</v>
      </c>
      <c r="I435" s="1199">
        <v>69.322892676186086</v>
      </c>
      <c r="J435" s="1199">
        <v>69.921695071395675</v>
      </c>
      <c r="K435" s="1199">
        <v>71.625978811607567</v>
      </c>
      <c r="L435" s="1199">
        <v>71.579917088899123</v>
      </c>
      <c r="M435" s="1199">
        <v>70.013818516812535</v>
      </c>
      <c r="N435" s="1199">
        <v>68.263473053892213</v>
      </c>
      <c r="O435" s="1163">
        <v>6</v>
      </c>
    </row>
    <row r="436" spans="1:15" x14ac:dyDescent="0.2">
      <c r="A436" s="1169">
        <v>2005</v>
      </c>
      <c r="B436" s="1199">
        <v>71.073238139106408</v>
      </c>
      <c r="C436" s="1199">
        <v>72.086596038691852</v>
      </c>
      <c r="D436" s="1201">
        <v>73.883003224320603</v>
      </c>
      <c r="E436" s="1201">
        <v>75.034546292031322</v>
      </c>
      <c r="F436" s="1201">
        <v>74.804237678489187</v>
      </c>
      <c r="G436" s="1201">
        <v>75.403040073698762</v>
      </c>
      <c r="H436" s="1201">
        <v>77.199447259327499</v>
      </c>
      <c r="I436" s="1201">
        <v>78.304928604329803</v>
      </c>
      <c r="J436" s="1201">
        <v>81.114693689543998</v>
      </c>
      <c r="K436" s="1201">
        <v>83.279594656840175</v>
      </c>
      <c r="L436" s="1201">
        <v>79.96315062183325</v>
      </c>
      <c r="M436" s="1201">
        <v>79.917088899124835</v>
      </c>
      <c r="N436" s="1201">
        <v>76.830953477660074</v>
      </c>
      <c r="O436" s="1163">
        <v>7</v>
      </c>
    </row>
    <row r="437" spans="1:15" x14ac:dyDescent="0.2">
      <c r="A437" s="1169">
        <v>2006</v>
      </c>
      <c r="B437" s="1201">
        <v>81.759557807462002</v>
      </c>
      <c r="C437" s="1202">
        <v>81.022570244127138</v>
      </c>
      <c r="D437" s="1203">
        <v>82.634730538922156</v>
      </c>
      <c r="E437" s="1203">
        <v>85.398433901427921</v>
      </c>
      <c r="F437" s="1203">
        <v>86.549976969138655</v>
      </c>
      <c r="G437" s="1203">
        <v>87.701520036849374</v>
      </c>
      <c r="H437" s="1203">
        <v>88.346384154767392</v>
      </c>
      <c r="I437" s="1204">
        <v>88.853063104560121</v>
      </c>
      <c r="J437" s="1204">
        <v>85.628742514970071</v>
      </c>
      <c r="K437" s="1204">
        <v>84.385076001842464</v>
      </c>
      <c r="L437" s="1204">
        <v>84.246890833717174</v>
      </c>
      <c r="M437" s="1204">
        <v>84.799631506218333</v>
      </c>
      <c r="N437" s="1204">
        <v>85.122063565177342</v>
      </c>
      <c r="O437" s="1163">
        <v>8</v>
      </c>
    </row>
    <row r="438" spans="1:15" x14ac:dyDescent="0.2">
      <c r="A438" s="1169">
        <v>2007</v>
      </c>
      <c r="B438" s="1203">
        <v>84.339014279134034</v>
      </c>
      <c r="C438" s="1203">
        <v>85.306310456011047</v>
      </c>
      <c r="D438" s="1203">
        <v>87.517273146015668</v>
      </c>
      <c r="E438" s="1203">
        <v>89.636112390603401</v>
      </c>
      <c r="F438" s="1203">
        <v>91.017964071856284</v>
      </c>
      <c r="G438" s="1203">
        <v>90.649470290188859</v>
      </c>
      <c r="H438" s="1203">
        <v>92.123445416858601</v>
      </c>
      <c r="I438" s="1204">
        <v>90.23491478581299</v>
      </c>
      <c r="J438" s="1204">
        <v>90.971902349147854</v>
      </c>
      <c r="K438" s="1204">
        <v>90.971902349147854</v>
      </c>
      <c r="L438" s="1204">
        <v>94.380469829571638</v>
      </c>
      <c r="M438" s="1204">
        <v>93.36711192998618</v>
      </c>
      <c r="N438" s="1204">
        <v>90.05066789497927</v>
      </c>
      <c r="O438" s="1163">
        <v>9</v>
      </c>
    </row>
    <row r="439" spans="1:15" x14ac:dyDescent="0.2">
      <c r="A439" s="1169">
        <v>2008</v>
      </c>
      <c r="B439" s="1205">
        <v>94.288346384154764</v>
      </c>
      <c r="C439" s="1206">
        <v>94.841087056655923</v>
      </c>
      <c r="D439" s="1206">
        <v>98.479963150621842</v>
      </c>
      <c r="E439" s="1206">
        <v>100.64486411791802</v>
      </c>
      <c r="F439" s="1206">
        <v>104.69829571625979</v>
      </c>
      <c r="G439" s="1206">
        <v>107.96867802855827</v>
      </c>
      <c r="H439" s="1207">
        <v>112.16029479502534</v>
      </c>
      <c r="I439" s="1207">
        <v>110.22570244127132</v>
      </c>
      <c r="J439" s="1207">
        <v>111.05481345002303</v>
      </c>
      <c r="K439" s="1207">
        <v>104.51404882542607</v>
      </c>
      <c r="L439" s="1207">
        <v>97.650852141870104</v>
      </c>
      <c r="M439" s="1207">
        <v>92.814371257485035</v>
      </c>
      <c r="N439" s="1207">
        <v>102.44127130354677</v>
      </c>
      <c r="O439" s="1163">
        <v>10</v>
      </c>
    </row>
    <row r="440" spans="1:15" x14ac:dyDescent="0.2">
      <c r="A440" s="1169">
        <v>2009</v>
      </c>
      <c r="B440" s="1208">
        <v>93.459235375403054</v>
      </c>
      <c r="C440" s="1208">
        <v>91.801013357899592</v>
      </c>
      <c r="D440" s="1208">
        <v>91.294334408106863</v>
      </c>
      <c r="E440" s="1208">
        <v>92.491939198526026</v>
      </c>
      <c r="F440" s="1208">
        <v>94.011976047904184</v>
      </c>
      <c r="G440" s="1208">
        <v>96.130815292491931</v>
      </c>
      <c r="H440" s="1208">
        <v>94.933210502072768</v>
      </c>
      <c r="I440" s="1208">
        <v>96.269000460617221</v>
      </c>
      <c r="J440" s="1209">
        <v>95.854444956241352</v>
      </c>
      <c r="K440" s="1209">
        <v>95.578074619990787</v>
      </c>
      <c r="L440" s="1209">
        <v>96.499309074159385</v>
      </c>
      <c r="M440" s="1209">
        <v>96.407185628742525</v>
      </c>
      <c r="N440" s="1209">
        <v>94.564716720405357</v>
      </c>
      <c r="O440" s="1163">
        <v>11</v>
      </c>
    </row>
    <row r="441" spans="1:15" x14ac:dyDescent="0.2">
      <c r="A441" s="1169">
        <v>2010</v>
      </c>
      <c r="B441" s="1208">
        <v>97.927222478120683</v>
      </c>
      <c r="C441" s="1208">
        <v>97.466605251036384</v>
      </c>
      <c r="D441" s="1209">
        <v>99.032703823122986</v>
      </c>
      <c r="E441" s="1209">
        <v>100.18424689083372</v>
      </c>
      <c r="F441" s="1209">
        <v>100.82911100875174</v>
      </c>
      <c r="G441" s="1210">
        <v>100</v>
      </c>
      <c r="H441" s="1211">
        <v>99.9</v>
      </c>
      <c r="I441" s="1211">
        <v>100.3</v>
      </c>
      <c r="J441" s="1211">
        <v>100</v>
      </c>
      <c r="K441" s="1211">
        <v>100.8</v>
      </c>
      <c r="L441" s="1211">
        <v>101.4</v>
      </c>
      <c r="M441" s="1211">
        <v>102.2</v>
      </c>
      <c r="N441" s="1212">
        <v>100.00332412098879</v>
      </c>
      <c r="O441" s="1163">
        <v>12</v>
      </c>
    </row>
    <row r="442" spans="1:15" x14ac:dyDescent="0.2">
      <c r="A442" s="1169">
        <v>2011</v>
      </c>
      <c r="B442" s="1213">
        <v>103.6</v>
      </c>
      <c r="C442" s="1213">
        <v>104.8</v>
      </c>
      <c r="D442" s="1197">
        <v>107.5</v>
      </c>
      <c r="E442" s="1221">
        <v>109.4</v>
      </c>
      <c r="F442" s="1221">
        <v>110.7</v>
      </c>
      <c r="G442" s="1221">
        <v>110.4</v>
      </c>
      <c r="H442" s="1221">
        <v>110.9</v>
      </c>
      <c r="I442" s="1226">
        <v>109.8</v>
      </c>
      <c r="J442" s="1226">
        <v>110.2</v>
      </c>
      <c r="K442" s="1226">
        <v>109.1</v>
      </c>
      <c r="L442" s="1226">
        <v>109</v>
      </c>
      <c r="M442" s="1226">
        <v>108.4</v>
      </c>
      <c r="N442" s="1226">
        <v>108.6</v>
      </c>
      <c r="O442" s="1163">
        <v>13</v>
      </c>
    </row>
    <row r="443" spans="1:15" s="1153" customFormat="1" x14ac:dyDescent="0.2">
      <c r="A443" s="1169">
        <v>2012</v>
      </c>
      <c r="B443" s="1226">
        <v>109.2</v>
      </c>
      <c r="C443" s="1226">
        <v>109.7</v>
      </c>
      <c r="D443" s="1196">
        <v>112</v>
      </c>
      <c r="E443" s="1196">
        <v>112</v>
      </c>
      <c r="F443" s="1196">
        <v>111.2</v>
      </c>
      <c r="G443" s="1196">
        <v>110.3</v>
      </c>
      <c r="H443" s="1226" t="s">
        <v>1471</v>
      </c>
      <c r="I443" s="1226" t="s">
        <v>1471</v>
      </c>
      <c r="J443" s="1226" t="s">
        <v>1471</v>
      </c>
      <c r="K443" s="1226" t="s">
        <v>1471</v>
      </c>
      <c r="L443" s="1226" t="s">
        <v>1471</v>
      </c>
      <c r="M443" s="1226" t="s">
        <v>1471</v>
      </c>
      <c r="N443" s="1226" t="s">
        <v>1471</v>
      </c>
      <c r="O443" s="1163">
        <v>14</v>
      </c>
    </row>
    <row r="444" spans="1:15" s="1153" customFormat="1" x14ac:dyDescent="0.2">
      <c r="A444" s="1169">
        <v>2013</v>
      </c>
      <c r="B444" s="1226" t="s">
        <v>1471</v>
      </c>
      <c r="C444" s="1226" t="s">
        <v>1471</v>
      </c>
      <c r="D444" s="1226" t="s">
        <v>1471</v>
      </c>
      <c r="E444" s="1226" t="s">
        <v>1471</v>
      </c>
      <c r="F444" s="1226" t="s">
        <v>1471</v>
      </c>
      <c r="G444" s="1226" t="s">
        <v>1471</v>
      </c>
      <c r="H444" s="1226" t="s">
        <v>1471</v>
      </c>
      <c r="I444" s="1226" t="s">
        <v>1471</v>
      </c>
      <c r="J444" s="1226" t="s">
        <v>1471</v>
      </c>
      <c r="K444" s="1226" t="s">
        <v>1471</v>
      </c>
      <c r="L444" s="1226" t="s">
        <v>1471</v>
      </c>
      <c r="M444" s="1226" t="s">
        <v>1471</v>
      </c>
      <c r="N444" s="1226" t="s">
        <v>1471</v>
      </c>
      <c r="O444" s="1163">
        <v>15</v>
      </c>
    </row>
    <row r="445" spans="1:15" s="1153" customFormat="1" x14ac:dyDescent="0.2">
      <c r="A445" s="1169">
        <v>2014</v>
      </c>
      <c r="B445" s="1226" t="s">
        <v>1471</v>
      </c>
      <c r="C445" s="1226" t="s">
        <v>1471</v>
      </c>
      <c r="D445" s="1226" t="s">
        <v>1471</v>
      </c>
      <c r="E445" s="1226" t="s">
        <v>1471</v>
      </c>
      <c r="F445" s="1226" t="s">
        <v>1471</v>
      </c>
      <c r="G445" s="1226" t="s">
        <v>1471</v>
      </c>
      <c r="H445" s="1226" t="s">
        <v>1471</v>
      </c>
      <c r="I445" s="1226" t="s">
        <v>1471</v>
      </c>
      <c r="J445" s="1226" t="s">
        <v>1471</v>
      </c>
      <c r="K445" s="1226" t="s">
        <v>1471</v>
      </c>
      <c r="L445" s="1226" t="s">
        <v>1471</v>
      </c>
      <c r="M445" s="1226" t="s">
        <v>1471</v>
      </c>
      <c r="N445" s="1226" t="s">
        <v>1471</v>
      </c>
      <c r="O445" s="1163">
        <v>16</v>
      </c>
    </row>
    <row r="446" spans="1:15" s="1153" customFormat="1" x14ac:dyDescent="0.2">
      <c r="A446" s="1169">
        <v>2015</v>
      </c>
      <c r="B446" s="1226" t="s">
        <v>1471</v>
      </c>
      <c r="C446" s="1226" t="s">
        <v>1471</v>
      </c>
      <c r="D446" s="1226" t="s">
        <v>1471</v>
      </c>
      <c r="E446" s="1226" t="s">
        <v>1471</v>
      </c>
      <c r="F446" s="1226" t="s">
        <v>1471</v>
      </c>
      <c r="G446" s="1226" t="s">
        <v>1471</v>
      </c>
      <c r="H446" s="1226" t="s">
        <v>1471</v>
      </c>
      <c r="I446" s="1226" t="s">
        <v>1471</v>
      </c>
      <c r="J446" s="1226" t="s">
        <v>1471</v>
      </c>
      <c r="K446" s="1226" t="s">
        <v>1471</v>
      </c>
      <c r="L446" s="1226" t="s">
        <v>1471</v>
      </c>
      <c r="M446" s="1226" t="s">
        <v>1471</v>
      </c>
      <c r="N446" s="1226" t="s">
        <v>1471</v>
      </c>
      <c r="O446" s="1163">
        <v>17</v>
      </c>
    </row>
    <row r="447" spans="1:15" s="1153" customFormat="1" x14ac:dyDescent="0.2">
      <c r="A447" s="1169">
        <v>2016</v>
      </c>
      <c r="B447" s="1226" t="s">
        <v>1471</v>
      </c>
      <c r="C447" s="1226" t="s">
        <v>1471</v>
      </c>
      <c r="D447" s="1226" t="s">
        <v>1471</v>
      </c>
      <c r="E447" s="1226" t="s">
        <v>1471</v>
      </c>
      <c r="F447" s="1226" t="s">
        <v>1471</v>
      </c>
      <c r="G447" s="1226" t="s">
        <v>1471</v>
      </c>
      <c r="H447" s="1226" t="s">
        <v>1471</v>
      </c>
      <c r="I447" s="1226" t="s">
        <v>1471</v>
      </c>
      <c r="J447" s="1226" t="s">
        <v>1471</v>
      </c>
      <c r="K447" s="1226" t="s">
        <v>1471</v>
      </c>
      <c r="L447" s="1226" t="s">
        <v>1471</v>
      </c>
      <c r="M447" s="1226" t="s">
        <v>1471</v>
      </c>
      <c r="N447" s="1226" t="s">
        <v>1471</v>
      </c>
      <c r="O447" s="1163">
        <v>18</v>
      </c>
    </row>
    <row r="448" spans="1:15" s="1153" customFormat="1" x14ac:dyDescent="0.2">
      <c r="A448" s="1169">
        <v>2017</v>
      </c>
      <c r="B448" s="1226" t="s">
        <v>1471</v>
      </c>
      <c r="C448" s="1226" t="s">
        <v>1471</v>
      </c>
      <c r="D448" s="1226" t="s">
        <v>1471</v>
      </c>
      <c r="E448" s="1226" t="s">
        <v>1471</v>
      </c>
      <c r="F448" s="1226" t="s">
        <v>1471</v>
      </c>
      <c r="G448" s="1226" t="s">
        <v>1471</v>
      </c>
      <c r="H448" s="1226" t="s">
        <v>1471</v>
      </c>
      <c r="I448" s="1226" t="s">
        <v>1471</v>
      </c>
      <c r="J448" s="1226" t="s">
        <v>1471</v>
      </c>
      <c r="K448" s="1226" t="s">
        <v>1471</v>
      </c>
      <c r="L448" s="1226" t="s">
        <v>1471</v>
      </c>
      <c r="M448" s="1226" t="s">
        <v>1471</v>
      </c>
      <c r="N448" s="1226" t="s">
        <v>1471</v>
      </c>
      <c r="O448" s="1163">
        <v>19</v>
      </c>
    </row>
    <row r="449" spans="1:15" s="1153" customFormat="1" x14ac:dyDescent="0.2">
      <c r="A449" s="1169">
        <v>2018</v>
      </c>
      <c r="B449" s="1226" t="s">
        <v>1471</v>
      </c>
      <c r="C449" s="1226" t="s">
        <v>1471</v>
      </c>
      <c r="D449" s="1226" t="s">
        <v>1471</v>
      </c>
      <c r="E449" s="1226" t="s">
        <v>1471</v>
      </c>
      <c r="F449" s="1226" t="s">
        <v>1471</v>
      </c>
      <c r="G449" s="1226" t="s">
        <v>1471</v>
      </c>
      <c r="H449" s="1226" t="s">
        <v>1471</v>
      </c>
      <c r="I449" s="1226" t="s">
        <v>1471</v>
      </c>
      <c r="J449" s="1226" t="s">
        <v>1471</v>
      </c>
      <c r="K449" s="1226" t="s">
        <v>1471</v>
      </c>
      <c r="L449" s="1226" t="s">
        <v>1471</v>
      </c>
      <c r="M449" s="1226" t="s">
        <v>1471</v>
      </c>
      <c r="N449" s="1226" t="s">
        <v>1471</v>
      </c>
      <c r="O449" s="1163">
        <v>20</v>
      </c>
    </row>
    <row r="450" spans="1:15" s="1153" customFormat="1" x14ac:dyDescent="0.2">
      <c r="A450" s="1169">
        <v>2019</v>
      </c>
      <c r="B450" s="1226" t="s">
        <v>1471</v>
      </c>
      <c r="C450" s="1226" t="s">
        <v>1471</v>
      </c>
      <c r="D450" s="1226" t="s">
        <v>1471</v>
      </c>
      <c r="E450" s="1226" t="s">
        <v>1471</v>
      </c>
      <c r="F450" s="1226" t="s">
        <v>1471</v>
      </c>
      <c r="G450" s="1226" t="s">
        <v>1471</v>
      </c>
      <c r="H450" s="1226" t="s">
        <v>1471</v>
      </c>
      <c r="I450" s="1226" t="s">
        <v>1471</v>
      </c>
      <c r="J450" s="1226" t="s">
        <v>1471</v>
      </c>
      <c r="K450" s="1226" t="s">
        <v>1471</v>
      </c>
      <c r="L450" s="1226" t="s">
        <v>1471</v>
      </c>
      <c r="M450" s="1226" t="s">
        <v>1471</v>
      </c>
      <c r="N450" s="1226" t="s">
        <v>1471</v>
      </c>
      <c r="O450" s="1163">
        <v>21</v>
      </c>
    </row>
    <row r="451" spans="1:15" s="1153" customFormat="1" x14ac:dyDescent="0.2">
      <c r="A451" s="1169">
        <v>2020</v>
      </c>
      <c r="B451" s="1226" t="s">
        <v>1471</v>
      </c>
      <c r="C451" s="1226" t="s">
        <v>1471</v>
      </c>
      <c r="D451" s="1226" t="s">
        <v>1471</v>
      </c>
      <c r="E451" s="1226" t="s">
        <v>1471</v>
      </c>
      <c r="F451" s="1226" t="s">
        <v>1471</v>
      </c>
      <c r="G451" s="1226" t="s">
        <v>1471</v>
      </c>
      <c r="H451" s="1226" t="s">
        <v>1471</v>
      </c>
      <c r="I451" s="1226" t="s">
        <v>1471</v>
      </c>
      <c r="J451" s="1226" t="s">
        <v>1471</v>
      </c>
      <c r="K451" s="1226" t="s">
        <v>1471</v>
      </c>
      <c r="L451" s="1226" t="s">
        <v>1471</v>
      </c>
      <c r="M451" s="1226" t="s">
        <v>1471</v>
      </c>
      <c r="N451" s="1226" t="s">
        <v>1471</v>
      </c>
      <c r="O451" s="1163">
        <v>22</v>
      </c>
    </row>
    <row r="452" spans="1:15" x14ac:dyDescent="0.2">
      <c r="A452" s="1169"/>
      <c r="B452" s="1213"/>
      <c r="C452" s="1213"/>
      <c r="D452" s="1197"/>
      <c r="E452" s="1221"/>
      <c r="F452" s="1221"/>
      <c r="G452" s="1221"/>
      <c r="H452" s="1221"/>
      <c r="I452" s="219"/>
      <c r="J452" s="219"/>
      <c r="K452" s="219"/>
      <c r="L452" s="219"/>
      <c r="M452" s="219"/>
      <c r="N452" s="219"/>
      <c r="O452" s="1163">
        <v>23</v>
      </c>
    </row>
    <row r="453" spans="1:15" x14ac:dyDescent="0.2">
      <c r="A453" s="1214" t="s">
        <v>1467</v>
      </c>
      <c r="B453" s="1215"/>
      <c r="C453" s="1215"/>
      <c r="D453" s="1215"/>
      <c r="E453" s="1215"/>
      <c r="F453" s="1215"/>
      <c r="G453" s="1215"/>
      <c r="H453" s="1215"/>
      <c r="I453" s="1215"/>
      <c r="J453" s="1215"/>
      <c r="K453" s="1215"/>
      <c r="L453" s="1215"/>
      <c r="M453" s="1215"/>
      <c r="N453" s="1216"/>
      <c r="O453" s="1163">
        <v>24</v>
      </c>
    </row>
    <row r="454" spans="1:15" ht="15" x14ac:dyDescent="0.3">
      <c r="B454" s="1174" t="s">
        <v>1473</v>
      </c>
      <c r="D454" s="833"/>
    </row>
    <row r="455" spans="1:15" ht="15" x14ac:dyDescent="0.3">
      <c r="A455" s="1154" t="s">
        <v>286</v>
      </c>
      <c r="B455" s="1162" t="s">
        <v>1464</v>
      </c>
      <c r="C455" s="1154" t="s">
        <v>1465</v>
      </c>
      <c r="D455" s="1153"/>
      <c r="E455" s="1153"/>
      <c r="F455" s="1153" t="s">
        <v>1466</v>
      </c>
      <c r="G455" s="1174" t="s">
        <v>679</v>
      </c>
      <c r="H455" s="1153"/>
      <c r="I455" s="1174">
        <v>198606</v>
      </c>
      <c r="J455" s="1153"/>
      <c r="K455" s="1153"/>
      <c r="L455" s="1153"/>
      <c r="M455" s="1153"/>
      <c r="N455" s="1153"/>
      <c r="O455" s="1153" t="s">
        <v>306</v>
      </c>
    </row>
    <row r="456" spans="1:15" x14ac:dyDescent="0.2">
      <c r="A456" s="1154"/>
      <c r="B456" s="1157" t="s">
        <v>291</v>
      </c>
      <c r="C456" s="1168" t="s">
        <v>292</v>
      </c>
      <c r="D456" s="1167" t="s">
        <v>293</v>
      </c>
      <c r="E456" s="1167" t="s">
        <v>294</v>
      </c>
      <c r="F456" s="1167" t="s">
        <v>295</v>
      </c>
      <c r="G456" s="1167" t="s">
        <v>296</v>
      </c>
      <c r="H456" s="1167" t="s">
        <v>297</v>
      </c>
      <c r="I456" s="1167" t="s">
        <v>298</v>
      </c>
      <c r="J456" s="1167" t="s">
        <v>299</v>
      </c>
      <c r="K456" s="1167" t="s">
        <v>300</v>
      </c>
      <c r="L456" s="1167" t="s">
        <v>301</v>
      </c>
      <c r="M456" s="1167" t="s">
        <v>302</v>
      </c>
      <c r="N456" s="1167" t="s">
        <v>318</v>
      </c>
      <c r="O456" s="1153"/>
    </row>
    <row r="457" spans="1:15" x14ac:dyDescent="0.2">
      <c r="A457" s="1161" t="s">
        <v>319</v>
      </c>
      <c r="B457" s="1164">
        <v>1</v>
      </c>
      <c r="C457" s="1164">
        <v>2</v>
      </c>
      <c r="D457" s="1164">
        <v>3</v>
      </c>
      <c r="E457" s="1164">
        <v>4</v>
      </c>
      <c r="F457" s="1164">
        <v>5</v>
      </c>
      <c r="G457" s="1164">
        <v>6</v>
      </c>
      <c r="H457" s="1164">
        <v>7</v>
      </c>
      <c r="I457" s="1164">
        <v>8</v>
      </c>
      <c r="J457" s="1164">
        <v>9</v>
      </c>
      <c r="K457" s="1164">
        <v>10</v>
      </c>
      <c r="L457" s="1164">
        <v>11</v>
      </c>
      <c r="M457" s="1164">
        <v>12</v>
      </c>
      <c r="N457" s="1164">
        <v>13</v>
      </c>
      <c r="O457" s="1165">
        <v>1</v>
      </c>
    </row>
    <row r="458" spans="1:15" x14ac:dyDescent="0.2">
      <c r="A458" s="1169">
        <v>2000</v>
      </c>
      <c r="B458" s="1199">
        <v>66.925692083535708</v>
      </c>
      <c r="C458" s="1199">
        <v>67.508499271491019</v>
      </c>
      <c r="D458" s="1199">
        <v>67.994171928120451</v>
      </c>
      <c r="E458" s="1199">
        <v>67.751335599805728</v>
      </c>
      <c r="F458" s="1199">
        <v>67.65420106847985</v>
      </c>
      <c r="G458" s="1199">
        <v>68.237008256435161</v>
      </c>
      <c r="H458" s="1199">
        <v>68.139873725109283</v>
      </c>
      <c r="I458" s="1199">
        <v>67.897037396794573</v>
      </c>
      <c r="J458" s="1199">
        <v>68.382710053424006</v>
      </c>
      <c r="K458" s="1199">
        <v>68.2855755220981</v>
      </c>
      <c r="L458" s="1199">
        <v>68.188440990772222</v>
      </c>
      <c r="M458" s="1199">
        <v>67.848470131131606</v>
      </c>
      <c r="N458" s="1199">
        <v>67.897037396794573</v>
      </c>
      <c r="O458" s="1163">
        <v>2</v>
      </c>
    </row>
    <row r="459" spans="1:15" x14ac:dyDescent="0.2">
      <c r="A459" s="1169">
        <v>2001</v>
      </c>
      <c r="B459" s="1199">
        <v>68.04273919378339</v>
      </c>
      <c r="C459" s="1199">
        <v>68.139873725109283</v>
      </c>
      <c r="D459" s="1199">
        <v>67.945604662457498</v>
      </c>
      <c r="E459" s="1199">
        <v>68.237008256435161</v>
      </c>
      <c r="F459" s="1199">
        <v>68.916949975716363</v>
      </c>
      <c r="G459" s="1199">
        <v>68.819815444390471</v>
      </c>
      <c r="H459" s="1199">
        <v>67.848470131131606</v>
      </c>
      <c r="I459" s="1199">
        <v>67.848470131131606</v>
      </c>
      <c r="J459" s="1199">
        <v>68.188440990772222</v>
      </c>
      <c r="K459" s="1199">
        <v>66.974259349198633</v>
      </c>
      <c r="L459" s="1199">
        <v>66.585721223895092</v>
      </c>
      <c r="M459" s="1199">
        <v>66.100048567265659</v>
      </c>
      <c r="N459" s="1199">
        <v>67.799902865468667</v>
      </c>
      <c r="O459" s="1163">
        <v>3</v>
      </c>
    </row>
    <row r="460" spans="1:15" x14ac:dyDescent="0.2">
      <c r="A460" s="1169">
        <v>2002</v>
      </c>
      <c r="B460" s="1199">
        <v>66.197183098591552</v>
      </c>
      <c r="C460" s="1199">
        <v>66.148615832928598</v>
      </c>
      <c r="D460" s="1199">
        <v>66.391452161243308</v>
      </c>
      <c r="E460" s="1199">
        <v>66.731423020883923</v>
      </c>
      <c r="F460" s="1199">
        <v>66.682855755220984</v>
      </c>
      <c r="G460" s="1199">
        <v>66.779990286546862</v>
      </c>
      <c r="H460" s="1199">
        <v>66.828557552209816</v>
      </c>
      <c r="I460" s="1199">
        <v>66.925692083535708</v>
      </c>
      <c r="J460" s="1199">
        <v>67.071393880524525</v>
      </c>
      <c r="K460" s="1199">
        <v>67.071393880524525</v>
      </c>
      <c r="L460" s="1199">
        <v>66.828557552209816</v>
      </c>
      <c r="M460" s="1199">
        <v>66.731423020883923</v>
      </c>
      <c r="N460" s="1199">
        <v>66.682855755220984</v>
      </c>
      <c r="O460" s="1163">
        <v>4</v>
      </c>
    </row>
    <row r="461" spans="1:15" x14ac:dyDescent="0.2">
      <c r="A461" s="1169">
        <v>2003</v>
      </c>
      <c r="B461" s="1199">
        <v>67.022826614861586</v>
      </c>
      <c r="C461" s="1199">
        <v>67.411364740165141</v>
      </c>
      <c r="D461" s="1199">
        <v>67.605633802816882</v>
      </c>
      <c r="E461" s="1199">
        <v>67.411364740165141</v>
      </c>
      <c r="F461" s="1199">
        <v>67.314230208839248</v>
      </c>
      <c r="G461" s="1199">
        <v>67.459932005828065</v>
      </c>
      <c r="H461" s="1199">
        <v>67.605633802816882</v>
      </c>
      <c r="I461" s="1199">
        <v>67.751335599805728</v>
      </c>
      <c r="J461" s="1199">
        <v>68.139873725109283</v>
      </c>
      <c r="K461" s="1199">
        <v>68.139873725109283</v>
      </c>
      <c r="L461" s="1199">
        <v>68.2855755220981</v>
      </c>
      <c r="M461" s="1199">
        <v>68.47984458474987</v>
      </c>
      <c r="N461" s="1199">
        <v>67.702768334142789</v>
      </c>
      <c r="O461" s="1163">
        <v>5</v>
      </c>
    </row>
    <row r="462" spans="1:15" x14ac:dyDescent="0.2">
      <c r="A462" s="1169">
        <v>2004</v>
      </c>
      <c r="B462" s="1199">
        <v>69.596891694997581</v>
      </c>
      <c r="C462" s="1199">
        <v>70.568237008256446</v>
      </c>
      <c r="D462" s="1201">
        <v>72.073822243807669</v>
      </c>
      <c r="E462" s="1201">
        <v>73.482272948033028</v>
      </c>
      <c r="F462" s="1201">
        <v>74.696454589606603</v>
      </c>
      <c r="G462" s="1201">
        <v>74.745021855269542</v>
      </c>
      <c r="H462" s="1201">
        <v>75.522098105876637</v>
      </c>
      <c r="I462" s="1201">
        <v>76.687712481787273</v>
      </c>
      <c r="J462" s="1201">
        <v>77.221952404079659</v>
      </c>
      <c r="K462" s="1201">
        <v>78.436134045653233</v>
      </c>
      <c r="L462" s="1201">
        <v>78.290432248664388</v>
      </c>
      <c r="M462" s="1201">
        <v>77.659057795046138</v>
      </c>
      <c r="N462" s="1201">
        <v>74.890723652258373</v>
      </c>
      <c r="O462" s="1163">
        <v>6</v>
      </c>
    </row>
    <row r="463" spans="1:15" x14ac:dyDescent="0.2">
      <c r="A463" s="1169">
        <v>2005</v>
      </c>
      <c r="B463" s="1199">
        <v>78.824672170956774</v>
      </c>
      <c r="C463" s="1217">
        <v>79.601748421563869</v>
      </c>
      <c r="D463" s="1203">
        <v>80.815930063137444</v>
      </c>
      <c r="E463" s="1203">
        <v>81.301602719766876</v>
      </c>
      <c r="F463" s="1203">
        <v>81.010199125789214</v>
      </c>
      <c r="G463" s="1203">
        <v>81.495871782418646</v>
      </c>
      <c r="H463" s="1203">
        <v>82.467217095677512</v>
      </c>
      <c r="I463" s="1203">
        <v>83.147158814958715</v>
      </c>
      <c r="J463" s="1203">
        <v>84.36134045653229</v>
      </c>
      <c r="K463" s="1203">
        <v>85.964060223409419</v>
      </c>
      <c r="L463" s="1203">
        <v>84.11850412821758</v>
      </c>
      <c r="M463" s="1203">
        <v>84.507042253521121</v>
      </c>
      <c r="N463" s="1203">
        <v>82.321515298688681</v>
      </c>
      <c r="O463" s="1163">
        <v>7</v>
      </c>
    </row>
    <row r="464" spans="1:15" x14ac:dyDescent="0.2">
      <c r="A464" s="1169">
        <v>2006</v>
      </c>
      <c r="B464" s="1201">
        <v>85.624089363768817</v>
      </c>
      <c r="C464" s="1202">
        <v>85.381253035454108</v>
      </c>
      <c r="D464" s="1203">
        <v>86.352598348712974</v>
      </c>
      <c r="E464" s="1203">
        <v>88.149587178241859</v>
      </c>
      <c r="F464" s="1203">
        <v>89.363768819815434</v>
      </c>
      <c r="G464" s="1203">
        <v>90.529383195726069</v>
      </c>
      <c r="H464" s="1203">
        <v>91.160757649344333</v>
      </c>
      <c r="I464" s="1204">
        <v>91.597863040310827</v>
      </c>
      <c r="J464" s="1204">
        <v>89.558037882467218</v>
      </c>
      <c r="K464" s="1204">
        <v>88.829528897523062</v>
      </c>
      <c r="L464" s="1204">
        <v>88.73239436619717</v>
      </c>
      <c r="M464" s="1204">
        <v>89.120932491500724</v>
      </c>
      <c r="N464" s="1204">
        <v>88.683827100534231</v>
      </c>
      <c r="O464" s="1163">
        <v>8</v>
      </c>
    </row>
    <row r="465" spans="1:15" x14ac:dyDescent="0.2">
      <c r="A465" s="1169">
        <v>2007</v>
      </c>
      <c r="B465" s="1203">
        <v>88.683827100534231</v>
      </c>
      <c r="C465" s="1203">
        <v>89.315201554152495</v>
      </c>
      <c r="D465" s="1203">
        <v>90.869354055366685</v>
      </c>
      <c r="E465" s="1203">
        <v>92.423506556580875</v>
      </c>
      <c r="F465" s="1203">
        <v>93.540553666828558</v>
      </c>
      <c r="G465" s="1203">
        <v>93.540553666828558</v>
      </c>
      <c r="H465" s="1203">
        <v>94.511898980087423</v>
      </c>
      <c r="I465" s="1204">
        <v>93.394851869839741</v>
      </c>
      <c r="J465" s="1204">
        <v>93.783389995143267</v>
      </c>
      <c r="K465" s="1204">
        <v>93.880524526469173</v>
      </c>
      <c r="L465" s="1204">
        <v>95.871782418649829</v>
      </c>
      <c r="M465" s="1204">
        <v>95.240407965031565</v>
      </c>
      <c r="N465" s="1204">
        <v>92.909179213210308</v>
      </c>
      <c r="O465" s="1163">
        <v>9</v>
      </c>
    </row>
    <row r="466" spans="1:15" x14ac:dyDescent="0.2">
      <c r="A466" s="1169">
        <v>2008</v>
      </c>
      <c r="B466" s="1205">
        <v>96.114618746964538</v>
      </c>
      <c r="C466" s="1206">
        <v>96.988829528897512</v>
      </c>
      <c r="D466" s="1206">
        <v>99.708596406022338</v>
      </c>
      <c r="E466" s="1206">
        <v>102.03982515784359</v>
      </c>
      <c r="F466" s="1206">
        <v>105.34239922292375</v>
      </c>
      <c r="G466" s="1206">
        <v>108.06216610004857</v>
      </c>
      <c r="H466" s="1207">
        <v>110.39339485186986</v>
      </c>
      <c r="I466" s="1207">
        <v>109.13064594463332</v>
      </c>
      <c r="J466" s="1207">
        <v>109.42204953861099</v>
      </c>
      <c r="K466" s="1207">
        <v>104.90529383195725</v>
      </c>
      <c r="L466" s="1207">
        <v>100.04856726566294</v>
      </c>
      <c r="M466" s="1207">
        <v>96.503156872268079</v>
      </c>
      <c r="N466" s="1207">
        <v>103.20543953375424</v>
      </c>
      <c r="O466" s="1163">
        <v>10</v>
      </c>
    </row>
    <row r="467" spans="1:15" x14ac:dyDescent="0.2">
      <c r="A467" s="1169">
        <v>2009</v>
      </c>
      <c r="B467" s="1208">
        <v>96.45458960660514</v>
      </c>
      <c r="C467" s="1208">
        <v>94.900437105390964</v>
      </c>
      <c r="D467" s="1208">
        <v>94.074793589120915</v>
      </c>
      <c r="E467" s="1208">
        <v>93.929091792132098</v>
      </c>
      <c r="F467" s="1208">
        <v>94.706168042739193</v>
      </c>
      <c r="G467" s="1208">
        <v>95.82321515298689</v>
      </c>
      <c r="H467" s="1208">
        <v>94.949004371053903</v>
      </c>
      <c r="I467" s="1208">
        <v>96.308887809616323</v>
      </c>
      <c r="J467" s="1209">
        <v>95.871782418649829</v>
      </c>
      <c r="K467" s="1209">
        <v>95.580378824672181</v>
      </c>
      <c r="L467" s="1209">
        <v>96.503156872268079</v>
      </c>
      <c r="M467" s="1209">
        <v>96.45458960660514</v>
      </c>
      <c r="N467" s="1209">
        <v>95.483244293346274</v>
      </c>
      <c r="O467" s="1163">
        <v>11</v>
      </c>
    </row>
    <row r="468" spans="1:15" x14ac:dyDescent="0.2">
      <c r="A468" s="1169">
        <v>2010</v>
      </c>
      <c r="B468" s="1208">
        <v>97.911607576493438</v>
      </c>
      <c r="C468" s="1208">
        <v>97.474502185526944</v>
      </c>
      <c r="D468" s="1209">
        <v>99.028654686741135</v>
      </c>
      <c r="E468" s="1209">
        <v>100.19426906265178</v>
      </c>
      <c r="F468" s="1209">
        <v>100.82564351627003</v>
      </c>
      <c r="G468" s="1209">
        <v>100</v>
      </c>
      <c r="H468" s="1211">
        <v>99.9</v>
      </c>
      <c r="I468" s="1211">
        <v>100.3</v>
      </c>
      <c r="J468" s="1211">
        <v>100</v>
      </c>
      <c r="K468" s="1211">
        <v>100.8</v>
      </c>
      <c r="L468" s="1211">
        <v>101.4</v>
      </c>
      <c r="M468" s="1211">
        <v>102.2</v>
      </c>
      <c r="N468" s="1212">
        <v>100.00288975230694</v>
      </c>
      <c r="O468" s="1163">
        <v>12</v>
      </c>
    </row>
    <row r="469" spans="1:15" x14ac:dyDescent="0.2">
      <c r="A469" s="1169">
        <v>2011</v>
      </c>
      <c r="B469" s="1213">
        <v>103.6</v>
      </c>
      <c r="C469" s="1213">
        <v>104.8</v>
      </c>
      <c r="D469" s="1197">
        <v>107.5</v>
      </c>
      <c r="E469" s="1221">
        <v>109.4</v>
      </c>
      <c r="F469" s="1221">
        <v>110.7</v>
      </c>
      <c r="G469" s="1221">
        <v>110.4</v>
      </c>
      <c r="H469" s="1221">
        <v>110.9</v>
      </c>
      <c r="I469" s="1226">
        <v>109.8</v>
      </c>
      <c r="J469" s="1226">
        <v>110.2</v>
      </c>
      <c r="K469" s="1226">
        <v>109.1</v>
      </c>
      <c r="L469" s="1226">
        <v>109</v>
      </c>
      <c r="M469" s="1226">
        <v>108.4</v>
      </c>
      <c r="N469" s="1226">
        <v>108.6</v>
      </c>
      <c r="O469" s="1163">
        <v>13</v>
      </c>
    </row>
    <row r="470" spans="1:15" s="1153" customFormat="1" x14ac:dyDescent="0.2">
      <c r="A470" s="1169">
        <v>2012</v>
      </c>
      <c r="B470" s="1226">
        <v>109.2</v>
      </c>
      <c r="C470" s="1226">
        <v>109.7</v>
      </c>
      <c r="D470" s="1196">
        <v>112</v>
      </c>
      <c r="E470" s="1196">
        <v>112</v>
      </c>
      <c r="F470" s="1196">
        <v>111.2</v>
      </c>
      <c r="G470" s="1196">
        <v>110.3</v>
      </c>
      <c r="H470" s="1226" t="s">
        <v>1471</v>
      </c>
      <c r="I470" s="1226" t="s">
        <v>1471</v>
      </c>
      <c r="J470" s="1226" t="s">
        <v>1471</v>
      </c>
      <c r="K470" s="1226" t="s">
        <v>1471</v>
      </c>
      <c r="L470" s="1226" t="s">
        <v>1471</v>
      </c>
      <c r="M470" s="1226" t="s">
        <v>1471</v>
      </c>
      <c r="N470" s="1226" t="s">
        <v>1471</v>
      </c>
      <c r="O470" s="1163">
        <v>14</v>
      </c>
    </row>
    <row r="471" spans="1:15" s="1153" customFormat="1" x14ac:dyDescent="0.2">
      <c r="A471" s="1169">
        <v>2013</v>
      </c>
      <c r="B471" s="1226" t="s">
        <v>1471</v>
      </c>
      <c r="C471" s="1226" t="s">
        <v>1471</v>
      </c>
      <c r="D471" s="1226" t="s">
        <v>1471</v>
      </c>
      <c r="E471" s="1226" t="s">
        <v>1471</v>
      </c>
      <c r="F471" s="1226" t="s">
        <v>1471</v>
      </c>
      <c r="G471" s="1226" t="s">
        <v>1471</v>
      </c>
      <c r="H471" s="1226" t="s">
        <v>1471</v>
      </c>
      <c r="I471" s="1226" t="s">
        <v>1471</v>
      </c>
      <c r="J471" s="1226" t="s">
        <v>1471</v>
      </c>
      <c r="K471" s="1226" t="s">
        <v>1471</v>
      </c>
      <c r="L471" s="1226" t="s">
        <v>1471</v>
      </c>
      <c r="M471" s="1226" t="s">
        <v>1471</v>
      </c>
      <c r="N471" s="1226" t="s">
        <v>1471</v>
      </c>
      <c r="O471" s="1163">
        <v>15</v>
      </c>
    </row>
    <row r="472" spans="1:15" s="1153" customFormat="1" x14ac:dyDescent="0.2">
      <c r="A472" s="1169">
        <v>2014</v>
      </c>
      <c r="B472" s="1226" t="s">
        <v>1471</v>
      </c>
      <c r="C472" s="1226" t="s">
        <v>1471</v>
      </c>
      <c r="D472" s="1226" t="s">
        <v>1471</v>
      </c>
      <c r="E472" s="1226" t="s">
        <v>1471</v>
      </c>
      <c r="F472" s="1226" t="s">
        <v>1471</v>
      </c>
      <c r="G472" s="1226" t="s">
        <v>1471</v>
      </c>
      <c r="H472" s="1226" t="s">
        <v>1471</v>
      </c>
      <c r="I472" s="1226" t="s">
        <v>1471</v>
      </c>
      <c r="J472" s="1226" t="s">
        <v>1471</v>
      </c>
      <c r="K472" s="1226" t="s">
        <v>1471</v>
      </c>
      <c r="L472" s="1226" t="s">
        <v>1471</v>
      </c>
      <c r="M472" s="1226" t="s">
        <v>1471</v>
      </c>
      <c r="N472" s="1226" t="s">
        <v>1471</v>
      </c>
      <c r="O472" s="1163">
        <v>16</v>
      </c>
    </row>
    <row r="473" spans="1:15" s="1153" customFormat="1" x14ac:dyDescent="0.2">
      <c r="A473" s="1169">
        <v>2015</v>
      </c>
      <c r="B473" s="1226" t="s">
        <v>1471</v>
      </c>
      <c r="C473" s="1226" t="s">
        <v>1471</v>
      </c>
      <c r="D473" s="1226" t="s">
        <v>1471</v>
      </c>
      <c r="E473" s="1226" t="s">
        <v>1471</v>
      </c>
      <c r="F473" s="1226" t="s">
        <v>1471</v>
      </c>
      <c r="G473" s="1226" t="s">
        <v>1471</v>
      </c>
      <c r="H473" s="1226" t="s">
        <v>1471</v>
      </c>
      <c r="I473" s="1226" t="s">
        <v>1471</v>
      </c>
      <c r="J473" s="1226" t="s">
        <v>1471</v>
      </c>
      <c r="K473" s="1226" t="s">
        <v>1471</v>
      </c>
      <c r="L473" s="1226" t="s">
        <v>1471</v>
      </c>
      <c r="M473" s="1226" t="s">
        <v>1471</v>
      </c>
      <c r="N473" s="1226" t="s">
        <v>1471</v>
      </c>
      <c r="O473" s="1163">
        <v>17</v>
      </c>
    </row>
    <row r="474" spans="1:15" s="1153" customFormat="1" x14ac:dyDescent="0.2">
      <c r="A474" s="1169">
        <v>2016</v>
      </c>
      <c r="B474" s="1226" t="s">
        <v>1471</v>
      </c>
      <c r="C474" s="1226" t="s">
        <v>1471</v>
      </c>
      <c r="D474" s="1226" t="s">
        <v>1471</v>
      </c>
      <c r="E474" s="1226" t="s">
        <v>1471</v>
      </c>
      <c r="F474" s="1226" t="s">
        <v>1471</v>
      </c>
      <c r="G474" s="1226" t="s">
        <v>1471</v>
      </c>
      <c r="H474" s="1226" t="s">
        <v>1471</v>
      </c>
      <c r="I474" s="1226" t="s">
        <v>1471</v>
      </c>
      <c r="J474" s="1226" t="s">
        <v>1471</v>
      </c>
      <c r="K474" s="1226" t="s">
        <v>1471</v>
      </c>
      <c r="L474" s="1226" t="s">
        <v>1471</v>
      </c>
      <c r="M474" s="1226" t="s">
        <v>1471</v>
      </c>
      <c r="N474" s="1226" t="s">
        <v>1471</v>
      </c>
      <c r="O474" s="1163">
        <v>18</v>
      </c>
    </row>
    <row r="475" spans="1:15" s="1153" customFormat="1" x14ac:dyDescent="0.2">
      <c r="A475" s="1169">
        <v>2017</v>
      </c>
      <c r="B475" s="1226" t="s">
        <v>1471</v>
      </c>
      <c r="C475" s="1226" t="s">
        <v>1471</v>
      </c>
      <c r="D475" s="1226" t="s">
        <v>1471</v>
      </c>
      <c r="E475" s="1226" t="s">
        <v>1471</v>
      </c>
      <c r="F475" s="1226" t="s">
        <v>1471</v>
      </c>
      <c r="G475" s="1226" t="s">
        <v>1471</v>
      </c>
      <c r="H475" s="1226" t="s">
        <v>1471</v>
      </c>
      <c r="I475" s="1226" t="s">
        <v>1471</v>
      </c>
      <c r="J475" s="1226" t="s">
        <v>1471</v>
      </c>
      <c r="K475" s="1226" t="s">
        <v>1471</v>
      </c>
      <c r="L475" s="1226" t="s">
        <v>1471</v>
      </c>
      <c r="M475" s="1226" t="s">
        <v>1471</v>
      </c>
      <c r="N475" s="1226" t="s">
        <v>1471</v>
      </c>
      <c r="O475" s="1163">
        <v>19</v>
      </c>
    </row>
    <row r="476" spans="1:15" s="1153" customFormat="1" x14ac:dyDescent="0.2">
      <c r="A476" s="1169">
        <v>2018</v>
      </c>
      <c r="B476" s="1226" t="s">
        <v>1471</v>
      </c>
      <c r="C476" s="1226" t="s">
        <v>1471</v>
      </c>
      <c r="D476" s="1226" t="s">
        <v>1471</v>
      </c>
      <c r="E476" s="1226" t="s">
        <v>1471</v>
      </c>
      <c r="F476" s="1226" t="s">
        <v>1471</v>
      </c>
      <c r="G476" s="1226" t="s">
        <v>1471</v>
      </c>
      <c r="H476" s="1226" t="s">
        <v>1471</v>
      </c>
      <c r="I476" s="1226" t="s">
        <v>1471</v>
      </c>
      <c r="J476" s="1226" t="s">
        <v>1471</v>
      </c>
      <c r="K476" s="1226" t="s">
        <v>1471</v>
      </c>
      <c r="L476" s="1226" t="s">
        <v>1471</v>
      </c>
      <c r="M476" s="1226" t="s">
        <v>1471</v>
      </c>
      <c r="N476" s="1226" t="s">
        <v>1471</v>
      </c>
      <c r="O476" s="1163">
        <v>20</v>
      </c>
    </row>
    <row r="477" spans="1:15" s="1153" customFormat="1" x14ac:dyDescent="0.2">
      <c r="A477" s="1169">
        <v>2019</v>
      </c>
      <c r="B477" s="1226" t="s">
        <v>1471</v>
      </c>
      <c r="C477" s="1226" t="s">
        <v>1471</v>
      </c>
      <c r="D477" s="1226" t="s">
        <v>1471</v>
      </c>
      <c r="E477" s="1226" t="s">
        <v>1471</v>
      </c>
      <c r="F477" s="1226" t="s">
        <v>1471</v>
      </c>
      <c r="G477" s="1226" t="s">
        <v>1471</v>
      </c>
      <c r="H477" s="1226" t="s">
        <v>1471</v>
      </c>
      <c r="I477" s="1226" t="s">
        <v>1471</v>
      </c>
      <c r="J477" s="1226" t="s">
        <v>1471</v>
      </c>
      <c r="K477" s="1226" t="s">
        <v>1471</v>
      </c>
      <c r="L477" s="1226" t="s">
        <v>1471</v>
      </c>
      <c r="M477" s="1226" t="s">
        <v>1471</v>
      </c>
      <c r="N477" s="1226" t="s">
        <v>1471</v>
      </c>
      <c r="O477" s="1163">
        <v>21</v>
      </c>
    </row>
    <row r="478" spans="1:15" s="1153" customFormat="1" x14ac:dyDescent="0.2">
      <c r="A478" s="1169">
        <v>2020</v>
      </c>
      <c r="B478" s="1226" t="s">
        <v>1471</v>
      </c>
      <c r="C478" s="1226" t="s">
        <v>1471</v>
      </c>
      <c r="D478" s="1226" t="s">
        <v>1471</v>
      </c>
      <c r="E478" s="1226" t="s">
        <v>1471</v>
      </c>
      <c r="F478" s="1226" t="s">
        <v>1471</v>
      </c>
      <c r="G478" s="1226" t="s">
        <v>1471</v>
      </c>
      <c r="H478" s="1226" t="s">
        <v>1471</v>
      </c>
      <c r="I478" s="1226" t="s">
        <v>1471</v>
      </c>
      <c r="J478" s="1226" t="s">
        <v>1471</v>
      </c>
      <c r="K478" s="1226" t="s">
        <v>1471</v>
      </c>
      <c r="L478" s="1226" t="s">
        <v>1471</v>
      </c>
      <c r="M478" s="1226" t="s">
        <v>1471</v>
      </c>
      <c r="N478" s="1226" t="s">
        <v>1471</v>
      </c>
      <c r="O478" s="1163">
        <v>22</v>
      </c>
    </row>
    <row r="479" spans="1:15" x14ac:dyDescent="0.2">
      <c r="A479" s="1169"/>
      <c r="B479" s="1159"/>
      <c r="C479" s="1159"/>
      <c r="D479" s="1159"/>
      <c r="E479" s="1159"/>
      <c r="F479" s="1159"/>
      <c r="G479" s="1159"/>
      <c r="H479" s="1159"/>
      <c r="I479" s="1159"/>
      <c r="J479" s="1159"/>
      <c r="K479" s="1159"/>
      <c r="L479" s="1159"/>
      <c r="M479" s="1159"/>
      <c r="N479" s="1159"/>
      <c r="O479" s="1163">
        <v>23</v>
      </c>
    </row>
    <row r="480" spans="1:15" x14ac:dyDescent="0.2">
      <c r="A480" s="1214" t="s">
        <v>1468</v>
      </c>
      <c r="B480" s="1215"/>
      <c r="C480" s="1215"/>
      <c r="D480" s="1215"/>
      <c r="E480" s="1215"/>
      <c r="F480" s="1215"/>
      <c r="G480" s="1215"/>
      <c r="H480" s="1215"/>
      <c r="I480" s="1215"/>
      <c r="J480" s="1215"/>
      <c r="K480" s="1215"/>
      <c r="L480" s="1215"/>
      <c r="M480" s="1215"/>
      <c r="N480" s="1216"/>
      <c r="O480" s="1163">
        <v>24</v>
      </c>
    </row>
    <row r="481" spans="1:15" ht="15" x14ac:dyDescent="0.3">
      <c r="A481" s="1153"/>
      <c r="B481" s="1174" t="s">
        <v>680</v>
      </c>
      <c r="C481" s="1153"/>
      <c r="D481" s="1174">
        <v>199206</v>
      </c>
      <c r="E481" s="1153"/>
      <c r="F481" s="1153"/>
      <c r="G481" s="1153"/>
      <c r="H481" s="1153"/>
      <c r="I481" s="1153"/>
      <c r="J481" s="1153"/>
      <c r="K481" s="1153"/>
      <c r="L481" s="1153"/>
      <c r="M481" s="1153"/>
      <c r="N481" s="1153"/>
      <c r="O481" s="1153"/>
    </row>
    <row r="482" spans="1:15" x14ac:dyDescent="0.2">
      <c r="A482" s="1154" t="s">
        <v>286</v>
      </c>
      <c r="B482" s="1162">
        <v>4841212</v>
      </c>
      <c r="C482" s="1154" t="s">
        <v>338</v>
      </c>
      <c r="D482" s="1153"/>
      <c r="E482" s="1153"/>
      <c r="F482" s="1153"/>
      <c r="G482" s="1153"/>
      <c r="H482" s="1153"/>
      <c r="I482" s="1153"/>
      <c r="J482" s="1153"/>
      <c r="K482" s="1153"/>
      <c r="L482" s="1153"/>
      <c r="M482" s="1153"/>
      <c r="N482" s="1153"/>
      <c r="O482" s="1153" t="s">
        <v>306</v>
      </c>
    </row>
    <row r="483" spans="1:15" x14ac:dyDescent="0.2">
      <c r="A483" s="1154"/>
      <c r="B483" s="1157" t="s">
        <v>291</v>
      </c>
      <c r="C483" s="1168" t="s">
        <v>292</v>
      </c>
      <c r="D483" s="1167" t="s">
        <v>293</v>
      </c>
      <c r="E483" s="1167" t="s">
        <v>294</v>
      </c>
      <c r="F483" s="1167" t="s">
        <v>295</v>
      </c>
      <c r="G483" s="1167" t="s">
        <v>296</v>
      </c>
      <c r="H483" s="1167" t="s">
        <v>297</v>
      </c>
      <c r="I483" s="1167" t="s">
        <v>298</v>
      </c>
      <c r="J483" s="1167" t="s">
        <v>299</v>
      </c>
      <c r="K483" s="1167" t="s">
        <v>300</v>
      </c>
      <c r="L483" s="1167" t="s">
        <v>301</v>
      </c>
      <c r="M483" s="1167" t="s">
        <v>302</v>
      </c>
      <c r="N483" s="1167" t="s">
        <v>318</v>
      </c>
      <c r="O483" s="1153"/>
    </row>
    <row r="484" spans="1:15" x14ac:dyDescent="0.2">
      <c r="A484" s="1161" t="s">
        <v>319</v>
      </c>
      <c r="B484" s="1164">
        <v>1</v>
      </c>
      <c r="C484" s="1164">
        <v>2</v>
      </c>
      <c r="D484" s="1164">
        <v>3</v>
      </c>
      <c r="E484" s="1164">
        <v>4</v>
      </c>
      <c r="F484" s="1164">
        <v>5</v>
      </c>
      <c r="G484" s="1164">
        <v>6</v>
      </c>
      <c r="H484" s="1164">
        <v>7</v>
      </c>
      <c r="I484" s="1164">
        <v>8</v>
      </c>
      <c r="J484" s="1164">
        <v>9</v>
      </c>
      <c r="K484" s="1164">
        <v>10</v>
      </c>
      <c r="L484" s="1164">
        <v>11</v>
      </c>
      <c r="M484" s="1164">
        <v>12</v>
      </c>
      <c r="N484" s="1164">
        <v>13</v>
      </c>
      <c r="O484" s="1165">
        <v>1</v>
      </c>
    </row>
    <row r="485" spans="1:15" x14ac:dyDescent="0.2">
      <c r="A485" s="1169">
        <v>2000</v>
      </c>
      <c r="B485" s="1175">
        <v>106.1</v>
      </c>
      <c r="C485" s="1175">
        <v>106.4</v>
      </c>
      <c r="D485" s="1175">
        <v>107</v>
      </c>
      <c r="E485" s="1175">
        <v>107.5</v>
      </c>
      <c r="F485" s="1175">
        <v>107.9</v>
      </c>
      <c r="G485" s="1175">
        <v>108</v>
      </c>
      <c r="H485" s="1175">
        <v>108.1</v>
      </c>
      <c r="I485" s="1175">
        <v>108.4</v>
      </c>
      <c r="J485" s="1175">
        <v>109.2</v>
      </c>
      <c r="K485" s="1175">
        <v>109.5</v>
      </c>
      <c r="L485" s="1175">
        <v>109.8</v>
      </c>
      <c r="M485" s="1175">
        <v>109.8</v>
      </c>
      <c r="N485" s="1175">
        <v>108.1</v>
      </c>
      <c r="O485" s="1163">
        <v>2</v>
      </c>
    </row>
    <row r="486" spans="1:15" x14ac:dyDescent="0.2">
      <c r="A486" s="1169">
        <v>2001</v>
      </c>
      <c r="B486" s="1175">
        <v>110</v>
      </c>
      <c r="C486" s="1175">
        <v>109.6</v>
      </c>
      <c r="D486" s="1175">
        <v>109.4</v>
      </c>
      <c r="E486" s="1175">
        <v>109.7</v>
      </c>
      <c r="F486" s="1175">
        <v>109.9</v>
      </c>
      <c r="G486" s="1175">
        <v>109.9</v>
      </c>
      <c r="H486" s="1175">
        <v>110.3</v>
      </c>
      <c r="I486" s="1175">
        <v>110.2</v>
      </c>
      <c r="J486" s="1175">
        <v>110.4</v>
      </c>
      <c r="K486" s="1175">
        <v>110</v>
      </c>
      <c r="L486" s="1175">
        <v>109.7</v>
      </c>
      <c r="M486" s="1175">
        <v>109.3</v>
      </c>
      <c r="N486" s="1175">
        <v>109.9</v>
      </c>
      <c r="O486" s="1163">
        <v>3</v>
      </c>
    </row>
    <row r="487" spans="1:15" x14ac:dyDescent="0.2">
      <c r="A487" s="1169">
        <v>2002</v>
      </c>
      <c r="B487" s="1175">
        <v>108.9</v>
      </c>
      <c r="C487" s="1175">
        <v>108.8</v>
      </c>
      <c r="D487" s="1175">
        <v>108.7</v>
      </c>
      <c r="E487" s="1175">
        <v>109.3</v>
      </c>
      <c r="F487" s="1175">
        <v>109.3</v>
      </c>
      <c r="G487" s="1175">
        <v>109.5</v>
      </c>
      <c r="H487" s="1175">
        <v>109.5</v>
      </c>
      <c r="I487" s="1175">
        <v>109.8</v>
      </c>
      <c r="J487" s="1175">
        <v>109.9</v>
      </c>
      <c r="K487" s="1175">
        <v>110.2</v>
      </c>
      <c r="L487" s="1175">
        <v>110.4</v>
      </c>
      <c r="M487" s="1175">
        <v>110.3</v>
      </c>
      <c r="N487" s="1175">
        <v>109.5</v>
      </c>
      <c r="O487" s="1163">
        <v>4</v>
      </c>
    </row>
    <row r="488" spans="1:15" x14ac:dyDescent="0.2">
      <c r="A488" s="1169">
        <v>2003</v>
      </c>
      <c r="B488" s="1175">
        <v>110.4</v>
      </c>
      <c r="C488" s="1175">
        <v>110.8</v>
      </c>
      <c r="D488" s="1175">
        <v>111.4</v>
      </c>
      <c r="E488" s="1175">
        <v>111.6</v>
      </c>
      <c r="F488" s="1175">
        <v>111.8</v>
      </c>
      <c r="G488" s="1175">
        <v>111.4</v>
      </c>
      <c r="H488" s="1175">
        <v>112.4</v>
      </c>
      <c r="I488" s="1175">
        <v>112.8</v>
      </c>
      <c r="J488" s="1175">
        <v>113</v>
      </c>
      <c r="K488" s="1175">
        <v>113.3</v>
      </c>
      <c r="L488" s="1175">
        <v>113.4</v>
      </c>
      <c r="M488" s="1175">
        <v>113.9</v>
      </c>
      <c r="N488" s="1175">
        <v>112.2</v>
      </c>
      <c r="O488" s="1163">
        <v>5</v>
      </c>
    </row>
    <row r="489" spans="1:15" x14ac:dyDescent="0.2">
      <c r="A489" s="1169">
        <v>2004</v>
      </c>
      <c r="B489" s="1175">
        <v>114.2</v>
      </c>
      <c r="C489" s="1175">
        <v>115.1</v>
      </c>
      <c r="D489" s="1175">
        <v>115.2</v>
      </c>
      <c r="E489" s="1175">
        <v>115.6</v>
      </c>
      <c r="F489" s="1175">
        <v>116</v>
      </c>
      <c r="G489" s="1175">
        <v>116.7</v>
      </c>
      <c r="H489" s="1175">
        <v>116.7</v>
      </c>
      <c r="I489" s="1175">
        <v>117.3</v>
      </c>
      <c r="J489" s="1175">
        <v>118.3</v>
      </c>
      <c r="K489" s="1175">
        <v>119.2</v>
      </c>
      <c r="L489" s="1175">
        <v>120</v>
      </c>
      <c r="M489" s="1175">
        <v>119.4</v>
      </c>
      <c r="N489" s="1175">
        <v>117</v>
      </c>
      <c r="O489" s="1163">
        <v>6</v>
      </c>
    </row>
    <row r="490" spans="1:15" x14ac:dyDescent="0.2">
      <c r="A490" s="1169">
        <v>2005</v>
      </c>
      <c r="B490" s="1175">
        <v>120.1</v>
      </c>
      <c r="C490" s="1175">
        <v>120.9</v>
      </c>
      <c r="D490" s="1179">
        <v>121.7</v>
      </c>
      <c r="E490" s="1179">
        <v>122.5</v>
      </c>
      <c r="F490" s="1179">
        <v>123.3</v>
      </c>
      <c r="G490" s="1179">
        <v>123.3</v>
      </c>
      <c r="H490" s="1179">
        <v>123.3</v>
      </c>
      <c r="I490" s="1179">
        <v>123.6</v>
      </c>
      <c r="J490" s="1179">
        <v>125.3</v>
      </c>
      <c r="K490" s="1179">
        <v>127.3</v>
      </c>
      <c r="L490" s="1179">
        <v>128</v>
      </c>
      <c r="M490" s="1179">
        <v>126.9</v>
      </c>
      <c r="N490" s="1179">
        <v>123.8</v>
      </c>
      <c r="O490" s="1163">
        <v>7</v>
      </c>
    </row>
    <row r="491" spans="1:15" x14ac:dyDescent="0.2">
      <c r="A491" s="1169">
        <v>2006</v>
      </c>
      <c r="B491" s="1179">
        <v>125.6</v>
      </c>
      <c r="C491" s="1180">
        <v>125.6</v>
      </c>
      <c r="D491" s="1181">
        <v>125.7</v>
      </c>
      <c r="E491" s="1181">
        <v>126.1</v>
      </c>
      <c r="F491" s="1181">
        <v>127.6</v>
      </c>
      <c r="G491" s="1181">
        <v>128</v>
      </c>
      <c r="H491" s="1181">
        <v>128.1</v>
      </c>
      <c r="I491" s="1182">
        <v>128.80000000000001</v>
      </c>
      <c r="J491" s="1182">
        <v>129.1</v>
      </c>
      <c r="K491" s="1182">
        <v>128.6</v>
      </c>
      <c r="L491" s="1182">
        <v>128</v>
      </c>
      <c r="M491" s="1182">
        <v>127.8</v>
      </c>
      <c r="N491" s="1182">
        <v>127.4</v>
      </c>
      <c r="O491" s="1163">
        <v>8</v>
      </c>
    </row>
    <row r="492" spans="1:15" x14ac:dyDescent="0.2">
      <c r="A492" s="1169">
        <v>2007</v>
      </c>
      <c r="B492" s="1176">
        <v>128.5</v>
      </c>
      <c r="C492" s="1176">
        <v>128</v>
      </c>
      <c r="D492" s="1181">
        <v>127.7</v>
      </c>
      <c r="E492" s="1181">
        <v>128.30000000000001</v>
      </c>
      <c r="F492" s="1181">
        <v>128.5</v>
      </c>
      <c r="G492" s="1181">
        <v>128.19999999999999</v>
      </c>
      <c r="H492" s="1181">
        <v>128.30000000000001</v>
      </c>
      <c r="I492" s="1182">
        <v>128.69999999999999</v>
      </c>
      <c r="J492" s="1182">
        <v>129</v>
      </c>
      <c r="K492" s="1182">
        <v>129.30000000000001</v>
      </c>
      <c r="L492" s="1182">
        <v>130.4</v>
      </c>
      <c r="M492" s="1182">
        <v>131.30000000000001</v>
      </c>
      <c r="N492" s="1182">
        <v>128.9</v>
      </c>
      <c r="O492" s="1163">
        <v>9</v>
      </c>
    </row>
    <row r="493" spans="1:15" x14ac:dyDescent="0.2">
      <c r="A493" s="1169">
        <v>2008</v>
      </c>
      <c r="B493" s="1183">
        <v>131.4</v>
      </c>
      <c r="C493" s="1193">
        <v>131.30000000000001</v>
      </c>
      <c r="D493" s="1194">
        <v>132</v>
      </c>
      <c r="E493" s="1194">
        <v>133.30000000000001</v>
      </c>
      <c r="F493" s="1194">
        <v>136.4</v>
      </c>
      <c r="G493" s="1194">
        <v>139</v>
      </c>
      <c r="H493" s="1195">
        <v>139.9</v>
      </c>
      <c r="I493" s="1195">
        <v>140.19999999999999</v>
      </c>
      <c r="J493" s="1195">
        <v>137.6</v>
      </c>
      <c r="K493" s="1195">
        <v>137.4</v>
      </c>
      <c r="L493" s="1195">
        <v>133.80000000000001</v>
      </c>
      <c r="M493" s="1195">
        <v>130.4</v>
      </c>
      <c r="N493" s="1195">
        <v>135.19999999999999</v>
      </c>
      <c r="O493" s="1163">
        <v>10</v>
      </c>
    </row>
    <row r="494" spans="1:15" x14ac:dyDescent="0.2">
      <c r="A494" s="1169">
        <v>2009</v>
      </c>
      <c r="B494" s="1156">
        <v>128.30000000000001</v>
      </c>
      <c r="C494" s="1156">
        <v>127.1</v>
      </c>
      <c r="D494" s="1156">
        <v>125.1</v>
      </c>
      <c r="E494" s="1156">
        <v>124.2</v>
      </c>
      <c r="F494" s="1156">
        <v>124.2</v>
      </c>
      <c r="G494" s="1156">
        <v>124.6</v>
      </c>
      <c r="H494" s="1156">
        <v>126.1</v>
      </c>
      <c r="I494" s="1156">
        <v>125.6</v>
      </c>
      <c r="J494" s="1197">
        <v>126.4</v>
      </c>
      <c r="K494" s="1197">
        <v>125.4</v>
      </c>
      <c r="L494" s="1197">
        <v>126.1</v>
      </c>
      <c r="M494" s="1197">
        <v>125.5</v>
      </c>
      <c r="N494" s="1197">
        <v>125.7</v>
      </c>
      <c r="O494" s="1163">
        <v>11</v>
      </c>
    </row>
    <row r="495" spans="1:15" x14ac:dyDescent="0.2">
      <c r="A495" s="1169">
        <v>2010</v>
      </c>
      <c r="B495" s="1156">
        <v>125.3</v>
      </c>
      <c r="C495" s="1156">
        <v>125.6</v>
      </c>
      <c r="D495" s="1156">
        <v>126.7</v>
      </c>
      <c r="E495" s="1156">
        <v>127</v>
      </c>
      <c r="F495" s="1156">
        <v>128.1</v>
      </c>
      <c r="G495" s="1156">
        <v>128.6</v>
      </c>
      <c r="H495" s="1156">
        <v>128.30000000000001</v>
      </c>
      <c r="I495" s="1219">
        <v>128.69999999999999</v>
      </c>
      <c r="J495" s="199">
        <v>128.80000000000001</v>
      </c>
      <c r="K495" s="1220">
        <v>129.4</v>
      </c>
      <c r="L495" s="1220">
        <v>131</v>
      </c>
      <c r="M495" s="1220">
        <v>131.5</v>
      </c>
      <c r="N495" s="1220">
        <v>128.19999999999999</v>
      </c>
      <c r="O495" s="1163">
        <v>12</v>
      </c>
    </row>
    <row r="496" spans="1:15" x14ac:dyDescent="0.2">
      <c r="A496" s="1169">
        <v>2011</v>
      </c>
      <c r="B496" s="1153">
        <v>132</v>
      </c>
      <c r="C496" s="1219">
        <v>133</v>
      </c>
      <c r="D496" s="1195">
        <v>135.1</v>
      </c>
      <c r="E496" s="1220">
        <v>137.1</v>
      </c>
      <c r="F496" s="1220">
        <v>137.9</v>
      </c>
      <c r="G496" s="1220">
        <v>137.6</v>
      </c>
      <c r="H496" s="1228">
        <v>137.4</v>
      </c>
      <c r="I496" s="1226">
        <v>137.30000000000001</v>
      </c>
      <c r="J496" s="1226">
        <v>138.19999999999999</v>
      </c>
      <c r="K496" s="1226">
        <v>138.19999999999999</v>
      </c>
      <c r="L496" s="1226">
        <v>139.69999999999999</v>
      </c>
      <c r="M496" s="1226">
        <v>139.69999999999999</v>
      </c>
      <c r="N496" s="1226">
        <v>136.9</v>
      </c>
      <c r="O496" s="1163">
        <v>13</v>
      </c>
    </row>
    <row r="497" spans="1:15" s="1153" customFormat="1" x14ac:dyDescent="0.2">
      <c r="A497" s="1218">
        <v>2012</v>
      </c>
      <c r="B497" s="1226">
        <v>140.69999999999999</v>
      </c>
      <c r="C497" s="1226">
        <v>141.5</v>
      </c>
      <c r="D497" s="1196">
        <v>143.80000000000001</v>
      </c>
      <c r="E497" s="1196">
        <v>144.4</v>
      </c>
      <c r="F497" s="1196">
        <v>144.4</v>
      </c>
      <c r="G497" s="1196">
        <v>142.9</v>
      </c>
      <c r="H497" s="1226" t="s">
        <v>1471</v>
      </c>
      <c r="I497" s="1226" t="s">
        <v>1471</v>
      </c>
      <c r="J497" s="1226" t="s">
        <v>1471</v>
      </c>
      <c r="K497" s="1226" t="s">
        <v>1471</v>
      </c>
      <c r="L497" s="1226" t="s">
        <v>1471</v>
      </c>
      <c r="M497" s="1226" t="s">
        <v>1471</v>
      </c>
      <c r="N497" s="1226" t="s">
        <v>1471</v>
      </c>
      <c r="O497" s="1163">
        <v>14</v>
      </c>
    </row>
    <row r="498" spans="1:15" s="1153" customFormat="1" x14ac:dyDescent="0.2">
      <c r="A498" s="1218">
        <v>2013</v>
      </c>
      <c r="B498" s="1226" t="s">
        <v>1471</v>
      </c>
      <c r="C498" s="1226" t="s">
        <v>1471</v>
      </c>
      <c r="D498" s="1226" t="s">
        <v>1471</v>
      </c>
      <c r="E498" s="1226" t="s">
        <v>1471</v>
      </c>
      <c r="F498" s="1226" t="s">
        <v>1471</v>
      </c>
      <c r="G498" s="1226" t="s">
        <v>1471</v>
      </c>
      <c r="H498" s="1226" t="s">
        <v>1471</v>
      </c>
      <c r="I498" s="1226" t="s">
        <v>1471</v>
      </c>
      <c r="J498" s="1226" t="s">
        <v>1471</v>
      </c>
      <c r="K498" s="1226" t="s">
        <v>1471</v>
      </c>
      <c r="L498" s="1226" t="s">
        <v>1471</v>
      </c>
      <c r="M498" s="1226" t="s">
        <v>1471</v>
      </c>
      <c r="N498" s="1226" t="s">
        <v>1471</v>
      </c>
      <c r="O498" s="1163">
        <v>15</v>
      </c>
    </row>
    <row r="499" spans="1:15" s="1153" customFormat="1" x14ac:dyDescent="0.2">
      <c r="A499" s="1218">
        <v>2014</v>
      </c>
      <c r="B499" s="1226" t="s">
        <v>1471</v>
      </c>
      <c r="C499" s="1226" t="s">
        <v>1471</v>
      </c>
      <c r="D499" s="1226" t="s">
        <v>1471</v>
      </c>
      <c r="E499" s="1226" t="s">
        <v>1471</v>
      </c>
      <c r="F499" s="1226" t="s">
        <v>1471</v>
      </c>
      <c r="G499" s="1226" t="s">
        <v>1471</v>
      </c>
      <c r="H499" s="1226" t="s">
        <v>1471</v>
      </c>
      <c r="I499" s="1226" t="s">
        <v>1471</v>
      </c>
      <c r="J499" s="1226" t="s">
        <v>1471</v>
      </c>
      <c r="K499" s="1226" t="s">
        <v>1471</v>
      </c>
      <c r="L499" s="1226" t="s">
        <v>1471</v>
      </c>
      <c r="M499" s="1226" t="s">
        <v>1471</v>
      </c>
      <c r="N499" s="1226" t="s">
        <v>1471</v>
      </c>
      <c r="O499" s="1163">
        <v>16</v>
      </c>
    </row>
    <row r="500" spans="1:15" s="1153" customFormat="1" x14ac:dyDescent="0.2">
      <c r="A500" s="1218">
        <v>2015</v>
      </c>
      <c r="B500" s="1226" t="s">
        <v>1471</v>
      </c>
      <c r="C500" s="1226" t="s">
        <v>1471</v>
      </c>
      <c r="D500" s="1226" t="s">
        <v>1471</v>
      </c>
      <c r="E500" s="1226" t="s">
        <v>1471</v>
      </c>
      <c r="F500" s="1226" t="s">
        <v>1471</v>
      </c>
      <c r="G500" s="1226" t="s">
        <v>1471</v>
      </c>
      <c r="H500" s="1226" t="s">
        <v>1471</v>
      </c>
      <c r="I500" s="1226" t="s">
        <v>1471</v>
      </c>
      <c r="J500" s="1226" t="s">
        <v>1471</v>
      </c>
      <c r="K500" s="1226" t="s">
        <v>1471</v>
      </c>
      <c r="L500" s="1226" t="s">
        <v>1471</v>
      </c>
      <c r="M500" s="1226" t="s">
        <v>1471</v>
      </c>
      <c r="N500" s="1226" t="s">
        <v>1471</v>
      </c>
      <c r="O500" s="1163">
        <v>17</v>
      </c>
    </row>
    <row r="501" spans="1:15" s="1153" customFormat="1" x14ac:dyDescent="0.2">
      <c r="A501" s="1218">
        <v>2016</v>
      </c>
      <c r="B501" s="1226" t="s">
        <v>1471</v>
      </c>
      <c r="C501" s="1226" t="s">
        <v>1471</v>
      </c>
      <c r="D501" s="1226" t="s">
        <v>1471</v>
      </c>
      <c r="E501" s="1226" t="s">
        <v>1471</v>
      </c>
      <c r="F501" s="1226" t="s">
        <v>1471</v>
      </c>
      <c r="G501" s="1226" t="s">
        <v>1471</v>
      </c>
      <c r="H501" s="1226" t="s">
        <v>1471</v>
      </c>
      <c r="I501" s="1226" t="s">
        <v>1471</v>
      </c>
      <c r="J501" s="1226" t="s">
        <v>1471</v>
      </c>
      <c r="K501" s="1226" t="s">
        <v>1471</v>
      </c>
      <c r="L501" s="1226" t="s">
        <v>1471</v>
      </c>
      <c r="M501" s="1226" t="s">
        <v>1471</v>
      </c>
      <c r="N501" s="1226" t="s">
        <v>1471</v>
      </c>
      <c r="O501" s="1163">
        <v>18</v>
      </c>
    </row>
    <row r="502" spans="1:15" s="1153" customFormat="1" x14ac:dyDescent="0.2">
      <c r="A502" s="1218">
        <v>2017</v>
      </c>
      <c r="B502" s="1226" t="s">
        <v>1471</v>
      </c>
      <c r="C502" s="1226" t="s">
        <v>1471</v>
      </c>
      <c r="D502" s="1226" t="s">
        <v>1471</v>
      </c>
      <c r="E502" s="1226" t="s">
        <v>1471</v>
      </c>
      <c r="F502" s="1226" t="s">
        <v>1471</v>
      </c>
      <c r="G502" s="1226" t="s">
        <v>1471</v>
      </c>
      <c r="H502" s="1226" t="s">
        <v>1471</v>
      </c>
      <c r="I502" s="1226" t="s">
        <v>1471</v>
      </c>
      <c r="J502" s="1226" t="s">
        <v>1471</v>
      </c>
      <c r="K502" s="1226" t="s">
        <v>1471</v>
      </c>
      <c r="L502" s="1226" t="s">
        <v>1471</v>
      </c>
      <c r="M502" s="1226" t="s">
        <v>1471</v>
      </c>
      <c r="N502" s="1226" t="s">
        <v>1471</v>
      </c>
      <c r="O502" s="1163">
        <v>19</v>
      </c>
    </row>
    <row r="503" spans="1:15" s="1153" customFormat="1" x14ac:dyDescent="0.2">
      <c r="A503" s="1218">
        <v>2018</v>
      </c>
      <c r="B503" s="1226" t="s">
        <v>1471</v>
      </c>
      <c r="C503" s="1226" t="s">
        <v>1471</v>
      </c>
      <c r="D503" s="1226" t="s">
        <v>1471</v>
      </c>
      <c r="E503" s="1226" t="s">
        <v>1471</v>
      </c>
      <c r="F503" s="1226" t="s">
        <v>1471</v>
      </c>
      <c r="G503" s="1226" t="s">
        <v>1471</v>
      </c>
      <c r="H503" s="1226" t="s">
        <v>1471</v>
      </c>
      <c r="I503" s="1226" t="s">
        <v>1471</v>
      </c>
      <c r="J503" s="1226" t="s">
        <v>1471</v>
      </c>
      <c r="K503" s="1226" t="s">
        <v>1471</v>
      </c>
      <c r="L503" s="1226" t="s">
        <v>1471</v>
      </c>
      <c r="M503" s="1226" t="s">
        <v>1471</v>
      </c>
      <c r="N503" s="1226" t="s">
        <v>1471</v>
      </c>
      <c r="O503" s="1163">
        <v>20</v>
      </c>
    </row>
    <row r="504" spans="1:15" s="1153" customFormat="1" x14ac:dyDescent="0.2">
      <c r="A504" s="1218">
        <v>2019</v>
      </c>
      <c r="B504" s="1226" t="s">
        <v>1471</v>
      </c>
      <c r="C504" s="1226" t="s">
        <v>1471</v>
      </c>
      <c r="D504" s="1226" t="s">
        <v>1471</v>
      </c>
      <c r="E504" s="1226" t="s">
        <v>1471</v>
      </c>
      <c r="F504" s="1226" t="s">
        <v>1471</v>
      </c>
      <c r="G504" s="1226" t="s">
        <v>1471</v>
      </c>
      <c r="H504" s="1226" t="s">
        <v>1471</v>
      </c>
      <c r="I504" s="1226" t="s">
        <v>1471</v>
      </c>
      <c r="J504" s="1226" t="s">
        <v>1471</v>
      </c>
      <c r="K504" s="1226" t="s">
        <v>1471</v>
      </c>
      <c r="L504" s="1226" t="s">
        <v>1471</v>
      </c>
      <c r="M504" s="1226" t="s">
        <v>1471</v>
      </c>
      <c r="N504" s="1226" t="s">
        <v>1471</v>
      </c>
      <c r="O504" s="1163">
        <v>21</v>
      </c>
    </row>
    <row r="505" spans="1:15" s="1153" customFormat="1" x14ac:dyDescent="0.2">
      <c r="A505" s="1218">
        <v>2020</v>
      </c>
      <c r="B505" s="1226" t="s">
        <v>1471</v>
      </c>
      <c r="C505" s="1226" t="s">
        <v>1471</v>
      </c>
      <c r="D505" s="1226" t="s">
        <v>1471</v>
      </c>
      <c r="E505" s="1226" t="s">
        <v>1471</v>
      </c>
      <c r="F505" s="1226" t="s">
        <v>1471</v>
      </c>
      <c r="G505" s="1226" t="s">
        <v>1471</v>
      </c>
      <c r="H505" s="1226" t="s">
        <v>1471</v>
      </c>
      <c r="I505" s="1226" t="s">
        <v>1471</v>
      </c>
      <c r="J505" s="1226" t="s">
        <v>1471</v>
      </c>
      <c r="K505" s="1226" t="s">
        <v>1471</v>
      </c>
      <c r="L505" s="1226" t="s">
        <v>1471</v>
      </c>
      <c r="M505" s="1226" t="s">
        <v>1471</v>
      </c>
      <c r="N505" s="1226" t="s">
        <v>1471</v>
      </c>
      <c r="O505" s="1163">
        <v>22</v>
      </c>
    </row>
    <row r="506" spans="1:15" x14ac:dyDescent="0.2">
      <c r="A506" s="1169"/>
      <c r="B506" s="1185"/>
      <c r="C506" s="1185"/>
      <c r="D506" s="1185"/>
      <c r="E506" s="1185"/>
      <c r="F506" s="1185"/>
      <c r="G506" s="1185"/>
      <c r="H506" s="1185"/>
      <c r="I506" s="1185"/>
      <c r="J506" s="1185"/>
      <c r="K506" s="1185"/>
      <c r="L506" s="1185"/>
      <c r="M506" s="1185"/>
      <c r="N506" s="1185"/>
      <c r="O506" s="1163">
        <v>23</v>
      </c>
    </row>
    <row r="507" spans="1:15" ht="15" x14ac:dyDescent="0.3">
      <c r="A507" s="1153"/>
      <c r="B507" s="1174" t="s">
        <v>681</v>
      </c>
      <c r="C507" s="1153"/>
      <c r="D507" s="1174">
        <v>199912</v>
      </c>
      <c r="E507" s="1153"/>
      <c r="F507" s="1153"/>
      <c r="G507" s="1153"/>
      <c r="H507" s="1153"/>
      <c r="I507" s="1153"/>
      <c r="J507" s="1153"/>
      <c r="K507" s="1153"/>
      <c r="L507" s="1153"/>
      <c r="M507" s="1153"/>
      <c r="N507" s="1153"/>
      <c r="O507" s="1153"/>
    </row>
    <row r="508" spans="1:15" x14ac:dyDescent="0.2">
      <c r="A508" s="1154" t="s">
        <v>286</v>
      </c>
      <c r="B508" s="1162">
        <v>332722489</v>
      </c>
      <c r="C508" s="1154" t="s">
        <v>372</v>
      </c>
      <c r="D508" s="1153"/>
      <c r="E508" s="1153"/>
      <c r="F508" s="1153"/>
      <c r="G508" s="1153"/>
      <c r="H508" s="1153"/>
      <c r="I508" s="1153"/>
      <c r="J508" s="1153"/>
      <c r="K508" s="1153"/>
      <c r="L508" s="1153"/>
      <c r="M508" s="1153"/>
      <c r="N508" s="1153"/>
      <c r="O508" s="1153" t="s">
        <v>306</v>
      </c>
    </row>
    <row r="509" spans="1:15" x14ac:dyDescent="0.2">
      <c r="A509" s="1154"/>
      <c r="B509" s="1157" t="s">
        <v>291</v>
      </c>
      <c r="C509" s="1168" t="s">
        <v>292</v>
      </c>
      <c r="D509" s="1167" t="s">
        <v>293</v>
      </c>
      <c r="E509" s="1167" t="s">
        <v>294</v>
      </c>
      <c r="F509" s="1167" t="s">
        <v>295</v>
      </c>
      <c r="G509" s="1167" t="s">
        <v>296</v>
      </c>
      <c r="H509" s="1167" t="s">
        <v>297</v>
      </c>
      <c r="I509" s="1167" t="s">
        <v>298</v>
      </c>
      <c r="J509" s="1167" t="s">
        <v>299</v>
      </c>
      <c r="K509" s="1167" t="s">
        <v>300</v>
      </c>
      <c r="L509" s="1167" t="s">
        <v>301</v>
      </c>
      <c r="M509" s="1167" t="s">
        <v>302</v>
      </c>
      <c r="N509" s="1167" t="s">
        <v>318</v>
      </c>
      <c r="O509" s="1153"/>
    </row>
    <row r="510" spans="1:15" x14ac:dyDescent="0.2">
      <c r="A510" s="1161" t="s">
        <v>319</v>
      </c>
      <c r="B510" s="1164">
        <v>1</v>
      </c>
      <c r="C510" s="1164">
        <v>2</v>
      </c>
      <c r="D510" s="1164">
        <v>3</v>
      </c>
      <c r="E510" s="1164">
        <v>4</v>
      </c>
      <c r="F510" s="1164">
        <v>5</v>
      </c>
      <c r="G510" s="1164">
        <v>6</v>
      </c>
      <c r="H510" s="1164">
        <v>7</v>
      </c>
      <c r="I510" s="1164">
        <v>8</v>
      </c>
      <c r="J510" s="1164">
        <v>9</v>
      </c>
      <c r="K510" s="1164">
        <v>10</v>
      </c>
      <c r="L510" s="1164">
        <v>11</v>
      </c>
      <c r="M510" s="1164">
        <v>12</v>
      </c>
      <c r="N510" s="1164">
        <v>13</v>
      </c>
      <c r="O510" s="1165">
        <v>1</v>
      </c>
    </row>
    <row r="511" spans="1:15" x14ac:dyDescent="0.2">
      <c r="A511" s="1169">
        <v>2000</v>
      </c>
      <c r="B511" s="1175">
        <v>100</v>
      </c>
      <c r="C511" s="1175">
        <v>100</v>
      </c>
      <c r="D511" s="1175">
        <v>100</v>
      </c>
      <c r="E511" s="1175">
        <v>100.1</v>
      </c>
      <c r="F511" s="1175">
        <v>100</v>
      </c>
      <c r="G511" s="1175">
        <v>100.5</v>
      </c>
      <c r="H511" s="1175">
        <v>100.8</v>
      </c>
      <c r="I511" s="1175">
        <v>100.8</v>
      </c>
      <c r="J511" s="1175">
        <v>100.8</v>
      </c>
      <c r="K511" s="1175">
        <v>101</v>
      </c>
      <c r="L511" s="1175">
        <v>101</v>
      </c>
      <c r="M511" s="1175">
        <v>101</v>
      </c>
      <c r="N511" s="1175">
        <v>100.5</v>
      </c>
      <c r="O511" s="1163">
        <v>2</v>
      </c>
    </row>
    <row r="512" spans="1:15" x14ac:dyDescent="0.2">
      <c r="A512" s="1169">
        <v>2001</v>
      </c>
      <c r="B512" s="1175">
        <v>98.7</v>
      </c>
      <c r="C512" s="1175">
        <v>98.7</v>
      </c>
      <c r="D512" s="1175">
        <v>98.6</v>
      </c>
      <c r="E512" s="1175">
        <v>100.1</v>
      </c>
      <c r="F512" s="1175">
        <v>100.2</v>
      </c>
      <c r="G512" s="1175">
        <v>100.2</v>
      </c>
      <c r="H512" s="1175">
        <v>100.2</v>
      </c>
      <c r="I512" s="1175">
        <v>100.2</v>
      </c>
      <c r="J512" s="1175">
        <v>99.4</v>
      </c>
      <c r="K512" s="1175">
        <v>99.5</v>
      </c>
      <c r="L512" s="1175">
        <v>99.5</v>
      </c>
      <c r="M512" s="1175">
        <v>99.5</v>
      </c>
      <c r="N512" s="1175">
        <v>99.6</v>
      </c>
      <c r="O512" s="1163">
        <v>3</v>
      </c>
    </row>
    <row r="513" spans="1:15" x14ac:dyDescent="0.2">
      <c r="A513" s="1169">
        <v>2002</v>
      </c>
      <c r="B513" s="1175">
        <v>99.7</v>
      </c>
      <c r="C513" s="1175">
        <v>99.3</v>
      </c>
      <c r="D513" s="1175">
        <v>99.5</v>
      </c>
      <c r="E513" s="1175">
        <v>99.6</v>
      </c>
      <c r="F513" s="1175">
        <v>98.9</v>
      </c>
      <c r="G513" s="1175">
        <v>98.9</v>
      </c>
      <c r="H513" s="1175">
        <v>98.6</v>
      </c>
      <c r="I513" s="1175">
        <v>98.6</v>
      </c>
      <c r="J513" s="1175">
        <v>98.6</v>
      </c>
      <c r="K513" s="1175">
        <v>98.6</v>
      </c>
      <c r="L513" s="1175">
        <v>98.4</v>
      </c>
      <c r="M513" s="1175">
        <v>98.4</v>
      </c>
      <c r="N513" s="1175">
        <v>98.9</v>
      </c>
      <c r="O513" s="1163">
        <v>4</v>
      </c>
    </row>
    <row r="514" spans="1:15" x14ac:dyDescent="0.2">
      <c r="A514" s="1169">
        <v>2003</v>
      </c>
      <c r="B514" s="1175">
        <v>98.4</v>
      </c>
      <c r="C514" s="1175">
        <v>98.4</v>
      </c>
      <c r="D514" s="1175">
        <v>98.4</v>
      </c>
      <c r="E514" s="1175">
        <v>98.4</v>
      </c>
      <c r="F514" s="1175">
        <v>98.5</v>
      </c>
      <c r="G514" s="1175">
        <v>98.6</v>
      </c>
      <c r="H514" s="1175">
        <v>98.6</v>
      </c>
      <c r="I514" s="1175">
        <v>98.6</v>
      </c>
      <c r="J514" s="1175">
        <v>98.6</v>
      </c>
      <c r="K514" s="1175">
        <v>98.6</v>
      </c>
      <c r="L514" s="1175">
        <v>98.6</v>
      </c>
      <c r="M514" s="1175">
        <v>98.6</v>
      </c>
      <c r="N514" s="1175">
        <v>98.5</v>
      </c>
      <c r="O514" s="1163">
        <v>5</v>
      </c>
    </row>
    <row r="515" spans="1:15" x14ac:dyDescent="0.2">
      <c r="A515" s="1169">
        <v>2004</v>
      </c>
      <c r="B515" s="1175">
        <v>98.8</v>
      </c>
      <c r="C515" s="1175">
        <v>98.8</v>
      </c>
      <c r="D515" s="1175">
        <v>101.6</v>
      </c>
      <c r="E515" s="1175">
        <v>101.6</v>
      </c>
      <c r="F515" s="1175">
        <v>101.7</v>
      </c>
      <c r="G515" s="1175">
        <v>102.8</v>
      </c>
      <c r="H515" s="1175">
        <v>102.8</v>
      </c>
      <c r="I515" s="1175">
        <v>103.5</v>
      </c>
      <c r="J515" s="1175">
        <v>104.4</v>
      </c>
      <c r="K515" s="1175">
        <v>104.6</v>
      </c>
      <c r="L515" s="1175">
        <v>104.7</v>
      </c>
      <c r="M515" s="1175">
        <v>104.7</v>
      </c>
      <c r="N515" s="1175">
        <v>102.5</v>
      </c>
      <c r="O515" s="1163">
        <v>6</v>
      </c>
    </row>
    <row r="516" spans="1:15" x14ac:dyDescent="0.2">
      <c r="A516" s="1169">
        <v>2005</v>
      </c>
      <c r="B516" s="1175">
        <v>104.7</v>
      </c>
      <c r="C516" s="1175">
        <v>104.8</v>
      </c>
      <c r="D516" s="1179">
        <v>104.8</v>
      </c>
      <c r="E516" s="1179">
        <v>105.1</v>
      </c>
      <c r="F516" s="1179">
        <v>105.1</v>
      </c>
      <c r="G516" s="1179">
        <v>105.1</v>
      </c>
      <c r="H516" s="1179">
        <v>105.6</v>
      </c>
      <c r="I516" s="1179">
        <v>105.6</v>
      </c>
      <c r="J516" s="1175">
        <v>105.8</v>
      </c>
      <c r="K516" s="1175">
        <v>105.7</v>
      </c>
      <c r="L516" s="1175">
        <v>105.7</v>
      </c>
      <c r="M516" s="1175">
        <v>105.8</v>
      </c>
      <c r="N516" s="1175">
        <v>105.3</v>
      </c>
      <c r="O516" s="1163">
        <v>7</v>
      </c>
    </row>
    <row r="517" spans="1:15" x14ac:dyDescent="0.2">
      <c r="A517" s="1169">
        <v>2006</v>
      </c>
      <c r="B517" s="1179">
        <v>105.7</v>
      </c>
      <c r="C517" s="1180">
        <v>105.7</v>
      </c>
      <c r="D517" s="1176">
        <v>105.7</v>
      </c>
      <c r="E517" s="1176">
        <v>105.7</v>
      </c>
      <c r="F517" s="1176">
        <v>106.3</v>
      </c>
      <c r="G517" s="1176">
        <v>106.3</v>
      </c>
      <c r="H517" s="1176">
        <v>106.5</v>
      </c>
      <c r="I517" s="1182">
        <v>106.5</v>
      </c>
      <c r="J517" s="1182">
        <v>106.8</v>
      </c>
      <c r="K517" s="1182">
        <v>107.4</v>
      </c>
      <c r="L517" s="1182">
        <v>107.4</v>
      </c>
      <c r="M517" s="1182">
        <v>107.4</v>
      </c>
      <c r="N517" s="1182">
        <v>106.5</v>
      </c>
      <c r="O517" s="1163">
        <v>8</v>
      </c>
    </row>
    <row r="518" spans="1:15" x14ac:dyDescent="0.2">
      <c r="A518" s="1169">
        <v>2007</v>
      </c>
      <c r="B518" s="1176">
        <v>107.6</v>
      </c>
      <c r="C518" s="1176">
        <v>107.6</v>
      </c>
      <c r="D518" s="1176">
        <v>107.6</v>
      </c>
      <c r="E518" s="1176">
        <v>108.7</v>
      </c>
      <c r="F518" s="1176">
        <v>109</v>
      </c>
      <c r="G518" s="1176">
        <v>109</v>
      </c>
      <c r="H518" s="1176">
        <v>109.5</v>
      </c>
      <c r="I518" s="1182">
        <v>109.5</v>
      </c>
      <c r="J518" s="1182">
        <v>109.5</v>
      </c>
      <c r="K518" s="1182">
        <v>109.5</v>
      </c>
      <c r="L518" s="1182">
        <v>109.5</v>
      </c>
      <c r="M518" s="1182">
        <v>109.5</v>
      </c>
      <c r="N518" s="1182">
        <v>108.9</v>
      </c>
      <c r="O518" s="1163">
        <v>9</v>
      </c>
    </row>
    <row r="519" spans="1:15" x14ac:dyDescent="0.2">
      <c r="A519" s="1169">
        <v>2008</v>
      </c>
      <c r="B519" s="1183">
        <v>112.9</v>
      </c>
      <c r="C519" s="1193">
        <v>112.9</v>
      </c>
      <c r="D519" s="1194">
        <v>112.9</v>
      </c>
      <c r="E519" s="1194">
        <v>112.9</v>
      </c>
      <c r="F519" s="1194">
        <v>112.9</v>
      </c>
      <c r="G519" s="1194">
        <v>112.9</v>
      </c>
      <c r="H519" s="1195">
        <v>115.3</v>
      </c>
      <c r="I519" s="1195">
        <v>118.4</v>
      </c>
      <c r="J519" s="1195">
        <v>118.5</v>
      </c>
      <c r="K519" s="1195">
        <v>118.4</v>
      </c>
      <c r="L519" s="1195">
        <v>118.4</v>
      </c>
      <c r="M519" s="1195">
        <v>112.1</v>
      </c>
      <c r="N519" s="1195">
        <v>114.9</v>
      </c>
      <c r="O519" s="1163">
        <v>10</v>
      </c>
    </row>
    <row r="520" spans="1:15" x14ac:dyDescent="0.2">
      <c r="A520" s="1169">
        <v>2009</v>
      </c>
      <c r="B520" s="1156">
        <v>113.8</v>
      </c>
      <c r="C520" s="1156">
        <v>110.1</v>
      </c>
      <c r="D520" s="1156">
        <v>110.1</v>
      </c>
      <c r="E520" s="1156">
        <v>109.8</v>
      </c>
      <c r="F520" s="1156">
        <v>107.9</v>
      </c>
      <c r="G520" s="1156">
        <v>108.1</v>
      </c>
      <c r="H520" s="1156">
        <v>105.8</v>
      </c>
      <c r="I520" s="1156">
        <v>104.9</v>
      </c>
      <c r="J520" s="1197">
        <v>102</v>
      </c>
      <c r="K520" s="1197">
        <v>101.8</v>
      </c>
      <c r="L520" s="1197">
        <v>101.9</v>
      </c>
      <c r="M520" s="1197">
        <v>101.9</v>
      </c>
      <c r="N520" s="1197">
        <v>106.5</v>
      </c>
      <c r="O520" s="1163">
        <v>11</v>
      </c>
    </row>
    <row r="521" spans="1:15" x14ac:dyDescent="0.2">
      <c r="A521" s="1169">
        <v>2010</v>
      </c>
      <c r="B521" s="1156">
        <v>102.1</v>
      </c>
      <c r="C521" s="1156">
        <v>102.6</v>
      </c>
      <c r="D521" s="1156">
        <v>102.6</v>
      </c>
      <c r="E521" s="1156">
        <v>103.7</v>
      </c>
      <c r="F521" s="1156">
        <v>103.7</v>
      </c>
      <c r="G521" s="1156">
        <v>103.7</v>
      </c>
      <c r="H521" s="1156">
        <v>103.7</v>
      </c>
      <c r="I521" s="1156">
        <v>103.7</v>
      </c>
      <c r="J521" s="1155">
        <v>103.7</v>
      </c>
      <c r="K521" s="1192">
        <v>103.9</v>
      </c>
      <c r="L521" s="1192">
        <v>103.9</v>
      </c>
      <c r="M521" s="1192">
        <v>103.9</v>
      </c>
      <c r="N521" s="1192">
        <v>103.4</v>
      </c>
      <c r="O521" s="1163">
        <v>12</v>
      </c>
    </row>
    <row r="522" spans="1:15" x14ac:dyDescent="0.2">
      <c r="A522" s="1169">
        <v>2011</v>
      </c>
      <c r="B522" s="1153">
        <v>104.3</v>
      </c>
      <c r="C522" s="1156">
        <v>106.2</v>
      </c>
      <c r="D522" s="1182">
        <v>106.9</v>
      </c>
      <c r="E522" s="1192">
        <v>108.1</v>
      </c>
      <c r="F522" s="1192">
        <v>108.3</v>
      </c>
      <c r="G522" s="1192">
        <v>108.3</v>
      </c>
      <c r="H522" s="1192">
        <v>108.4</v>
      </c>
      <c r="I522" s="1226">
        <v>108.5</v>
      </c>
      <c r="J522" s="1226">
        <v>108.4</v>
      </c>
      <c r="K522" s="1226">
        <v>108.3</v>
      </c>
      <c r="L522" s="1226">
        <v>108.4</v>
      </c>
      <c r="M522" s="1226">
        <v>108.5</v>
      </c>
      <c r="N522" s="1226">
        <v>107.7</v>
      </c>
      <c r="O522" s="1163">
        <v>13</v>
      </c>
    </row>
    <row r="523" spans="1:15" s="1153" customFormat="1" x14ac:dyDescent="0.2">
      <c r="A523" s="1169">
        <v>2012</v>
      </c>
      <c r="B523" s="1226">
        <v>109</v>
      </c>
      <c r="C523" s="1226">
        <v>109.2</v>
      </c>
      <c r="D523" s="1196">
        <v>109.7</v>
      </c>
      <c r="E523" s="1196">
        <v>110</v>
      </c>
      <c r="F523" s="1196">
        <v>110.1</v>
      </c>
      <c r="G523" s="1196">
        <v>110.1</v>
      </c>
      <c r="H523" s="1226" t="s">
        <v>1471</v>
      </c>
      <c r="I523" s="1226" t="s">
        <v>1471</v>
      </c>
      <c r="J523" s="1226" t="s">
        <v>1471</v>
      </c>
      <c r="K523" s="1226" t="s">
        <v>1471</v>
      </c>
      <c r="L523" s="1226" t="s">
        <v>1471</v>
      </c>
      <c r="M523" s="1226" t="s">
        <v>1471</v>
      </c>
      <c r="N523" s="1226" t="s">
        <v>1471</v>
      </c>
      <c r="O523" s="1163">
        <v>14</v>
      </c>
    </row>
    <row r="524" spans="1:15" s="1153" customFormat="1" x14ac:dyDescent="0.2">
      <c r="A524" s="1169">
        <v>2013</v>
      </c>
      <c r="B524" s="1226" t="s">
        <v>1471</v>
      </c>
      <c r="C524" s="1226" t="s">
        <v>1471</v>
      </c>
      <c r="D524" s="1226" t="s">
        <v>1471</v>
      </c>
      <c r="E524" s="1226" t="s">
        <v>1471</v>
      </c>
      <c r="F524" s="1226" t="s">
        <v>1471</v>
      </c>
      <c r="G524" s="1226" t="s">
        <v>1471</v>
      </c>
      <c r="H524" s="1226" t="s">
        <v>1471</v>
      </c>
      <c r="I524" s="1226" t="s">
        <v>1471</v>
      </c>
      <c r="J524" s="1226" t="s">
        <v>1471</v>
      </c>
      <c r="K524" s="1226" t="s">
        <v>1471</v>
      </c>
      <c r="L524" s="1226" t="s">
        <v>1471</v>
      </c>
      <c r="M524" s="1226" t="s">
        <v>1471</v>
      </c>
      <c r="N524" s="1226" t="s">
        <v>1471</v>
      </c>
      <c r="O524" s="1163">
        <v>15</v>
      </c>
    </row>
    <row r="525" spans="1:15" s="1153" customFormat="1" x14ac:dyDescent="0.2">
      <c r="A525" s="1169">
        <v>2014</v>
      </c>
      <c r="B525" s="1226" t="s">
        <v>1471</v>
      </c>
      <c r="C525" s="1226" t="s">
        <v>1471</v>
      </c>
      <c r="D525" s="1226" t="s">
        <v>1471</v>
      </c>
      <c r="E525" s="1226" t="s">
        <v>1471</v>
      </c>
      <c r="F525" s="1226" t="s">
        <v>1471</v>
      </c>
      <c r="G525" s="1226" t="s">
        <v>1471</v>
      </c>
      <c r="H525" s="1226" t="s">
        <v>1471</v>
      </c>
      <c r="I525" s="1226" t="s">
        <v>1471</v>
      </c>
      <c r="J525" s="1226" t="s">
        <v>1471</v>
      </c>
      <c r="K525" s="1226" t="s">
        <v>1471</v>
      </c>
      <c r="L525" s="1226" t="s">
        <v>1471</v>
      </c>
      <c r="M525" s="1226" t="s">
        <v>1471</v>
      </c>
      <c r="N525" s="1226" t="s">
        <v>1471</v>
      </c>
      <c r="O525" s="1163">
        <v>16</v>
      </c>
    </row>
    <row r="526" spans="1:15" s="1153" customFormat="1" x14ac:dyDescent="0.2">
      <c r="A526" s="1169">
        <v>2015</v>
      </c>
      <c r="B526" s="1226" t="s">
        <v>1471</v>
      </c>
      <c r="C526" s="1226" t="s">
        <v>1471</v>
      </c>
      <c r="D526" s="1226" t="s">
        <v>1471</v>
      </c>
      <c r="E526" s="1226" t="s">
        <v>1471</v>
      </c>
      <c r="F526" s="1226" t="s">
        <v>1471</v>
      </c>
      <c r="G526" s="1226" t="s">
        <v>1471</v>
      </c>
      <c r="H526" s="1226" t="s">
        <v>1471</v>
      </c>
      <c r="I526" s="1226" t="s">
        <v>1471</v>
      </c>
      <c r="J526" s="1226" t="s">
        <v>1471</v>
      </c>
      <c r="K526" s="1226" t="s">
        <v>1471</v>
      </c>
      <c r="L526" s="1226" t="s">
        <v>1471</v>
      </c>
      <c r="M526" s="1226" t="s">
        <v>1471</v>
      </c>
      <c r="N526" s="1226" t="s">
        <v>1471</v>
      </c>
      <c r="O526" s="1163">
        <v>17</v>
      </c>
    </row>
    <row r="527" spans="1:15" s="1153" customFormat="1" x14ac:dyDescent="0.2">
      <c r="A527" s="1169">
        <v>2016</v>
      </c>
      <c r="B527" s="1226" t="s">
        <v>1471</v>
      </c>
      <c r="C527" s="1226" t="s">
        <v>1471</v>
      </c>
      <c r="D527" s="1226" t="s">
        <v>1471</v>
      </c>
      <c r="E527" s="1226" t="s">
        <v>1471</v>
      </c>
      <c r="F527" s="1226" t="s">
        <v>1471</v>
      </c>
      <c r="G527" s="1226" t="s">
        <v>1471</v>
      </c>
      <c r="H527" s="1226" t="s">
        <v>1471</v>
      </c>
      <c r="I527" s="1226" t="s">
        <v>1471</v>
      </c>
      <c r="J527" s="1226" t="s">
        <v>1471</v>
      </c>
      <c r="K527" s="1226" t="s">
        <v>1471</v>
      </c>
      <c r="L527" s="1226" t="s">
        <v>1471</v>
      </c>
      <c r="M527" s="1226" t="s">
        <v>1471</v>
      </c>
      <c r="N527" s="1226" t="s">
        <v>1471</v>
      </c>
      <c r="O527" s="1163">
        <v>18</v>
      </c>
    </row>
    <row r="528" spans="1:15" s="1153" customFormat="1" x14ac:dyDescent="0.2">
      <c r="A528" s="1169">
        <v>2017</v>
      </c>
      <c r="B528" s="1226" t="s">
        <v>1471</v>
      </c>
      <c r="C528" s="1226" t="s">
        <v>1471</v>
      </c>
      <c r="D528" s="1226" t="s">
        <v>1471</v>
      </c>
      <c r="E528" s="1226" t="s">
        <v>1471</v>
      </c>
      <c r="F528" s="1226" t="s">
        <v>1471</v>
      </c>
      <c r="G528" s="1226" t="s">
        <v>1471</v>
      </c>
      <c r="H528" s="1226" t="s">
        <v>1471</v>
      </c>
      <c r="I528" s="1226" t="s">
        <v>1471</v>
      </c>
      <c r="J528" s="1226" t="s">
        <v>1471</v>
      </c>
      <c r="K528" s="1226" t="s">
        <v>1471</v>
      </c>
      <c r="L528" s="1226" t="s">
        <v>1471</v>
      </c>
      <c r="M528" s="1226" t="s">
        <v>1471</v>
      </c>
      <c r="N528" s="1226" t="s">
        <v>1471</v>
      </c>
      <c r="O528" s="1163">
        <v>19</v>
      </c>
    </row>
    <row r="529" spans="1:15" s="1153" customFormat="1" x14ac:dyDescent="0.2">
      <c r="A529" s="1169">
        <v>2018</v>
      </c>
      <c r="B529" s="1226" t="s">
        <v>1471</v>
      </c>
      <c r="C529" s="1226" t="s">
        <v>1471</v>
      </c>
      <c r="D529" s="1226" t="s">
        <v>1471</v>
      </c>
      <c r="E529" s="1226" t="s">
        <v>1471</v>
      </c>
      <c r="F529" s="1226" t="s">
        <v>1471</v>
      </c>
      <c r="G529" s="1226" t="s">
        <v>1471</v>
      </c>
      <c r="H529" s="1226" t="s">
        <v>1471</v>
      </c>
      <c r="I529" s="1226" t="s">
        <v>1471</v>
      </c>
      <c r="J529" s="1226" t="s">
        <v>1471</v>
      </c>
      <c r="K529" s="1226" t="s">
        <v>1471</v>
      </c>
      <c r="L529" s="1226" t="s">
        <v>1471</v>
      </c>
      <c r="M529" s="1226" t="s">
        <v>1471</v>
      </c>
      <c r="N529" s="1226" t="s">
        <v>1471</v>
      </c>
      <c r="O529" s="1163">
        <v>20</v>
      </c>
    </row>
    <row r="530" spans="1:15" s="1153" customFormat="1" x14ac:dyDescent="0.2">
      <c r="A530" s="1169">
        <v>2019</v>
      </c>
      <c r="B530" s="1226" t="s">
        <v>1471</v>
      </c>
      <c r="C530" s="1226" t="s">
        <v>1471</v>
      </c>
      <c r="D530" s="1226" t="s">
        <v>1471</v>
      </c>
      <c r="E530" s="1226" t="s">
        <v>1471</v>
      </c>
      <c r="F530" s="1226" t="s">
        <v>1471</v>
      </c>
      <c r="G530" s="1226" t="s">
        <v>1471</v>
      </c>
      <c r="H530" s="1226" t="s">
        <v>1471</v>
      </c>
      <c r="I530" s="1226" t="s">
        <v>1471</v>
      </c>
      <c r="J530" s="1226" t="s">
        <v>1471</v>
      </c>
      <c r="K530" s="1226" t="s">
        <v>1471</v>
      </c>
      <c r="L530" s="1226" t="s">
        <v>1471</v>
      </c>
      <c r="M530" s="1226" t="s">
        <v>1471</v>
      </c>
      <c r="N530" s="1226" t="s">
        <v>1471</v>
      </c>
      <c r="O530" s="1163">
        <v>21</v>
      </c>
    </row>
    <row r="531" spans="1:15" s="1153" customFormat="1" x14ac:dyDescent="0.2">
      <c r="A531" s="1169">
        <v>2020</v>
      </c>
      <c r="B531" s="1226" t="s">
        <v>1471</v>
      </c>
      <c r="C531" s="1226" t="s">
        <v>1471</v>
      </c>
      <c r="D531" s="1226" t="s">
        <v>1471</v>
      </c>
      <c r="E531" s="1226" t="s">
        <v>1471</v>
      </c>
      <c r="F531" s="1226" t="s">
        <v>1471</v>
      </c>
      <c r="G531" s="1226" t="s">
        <v>1471</v>
      </c>
      <c r="H531" s="1226" t="s">
        <v>1471</v>
      </c>
      <c r="I531" s="1226" t="s">
        <v>1471</v>
      </c>
      <c r="J531" s="1226" t="s">
        <v>1471</v>
      </c>
      <c r="K531" s="1226" t="s">
        <v>1471</v>
      </c>
      <c r="L531" s="1226" t="s">
        <v>1471</v>
      </c>
      <c r="M531" s="1226" t="s">
        <v>1471</v>
      </c>
      <c r="N531" s="1226" t="s">
        <v>1471</v>
      </c>
      <c r="O531" s="1163">
        <v>22</v>
      </c>
    </row>
    <row r="532" spans="1:15" x14ac:dyDescent="0.2">
      <c r="A532" s="1169"/>
      <c r="B532" s="1159"/>
      <c r="C532" s="1159"/>
      <c r="D532" s="1159"/>
      <c r="E532" s="1159"/>
      <c r="F532" s="1159"/>
      <c r="G532" s="1159"/>
      <c r="H532" s="1159"/>
      <c r="I532" s="1159"/>
      <c r="J532" s="1159"/>
      <c r="K532" s="1159"/>
      <c r="L532" s="1159"/>
      <c r="M532" s="1159"/>
      <c r="N532" s="1159"/>
      <c r="O532" s="1163">
        <v>23</v>
      </c>
    </row>
    <row r="533" spans="1:15" ht="15" x14ac:dyDescent="0.3">
      <c r="A533" s="1153"/>
      <c r="B533" s="1174" t="s">
        <v>682</v>
      </c>
      <c r="C533" s="1153"/>
      <c r="D533" s="1174">
        <v>200312</v>
      </c>
      <c r="E533" s="1153"/>
      <c r="F533" s="1153"/>
      <c r="G533" s="1153"/>
      <c r="H533" s="1153"/>
      <c r="I533" s="1153"/>
      <c r="J533" s="1153"/>
      <c r="K533" s="1153"/>
      <c r="L533" s="1153"/>
      <c r="M533" s="1153"/>
      <c r="N533" s="1153"/>
      <c r="O533" s="1153"/>
    </row>
    <row r="534" spans="1:15" x14ac:dyDescent="0.2">
      <c r="A534" s="1154" t="s">
        <v>286</v>
      </c>
      <c r="B534" s="1162" t="s">
        <v>513</v>
      </c>
      <c r="C534" s="1154" t="s">
        <v>514</v>
      </c>
      <c r="D534" s="1153"/>
      <c r="E534" s="1153"/>
      <c r="F534" s="1153"/>
      <c r="G534" s="1153"/>
      <c r="H534" s="1153"/>
      <c r="I534" s="1153"/>
      <c r="J534" s="1153"/>
      <c r="K534" s="1153"/>
      <c r="L534" s="1153"/>
      <c r="M534" s="1153"/>
      <c r="N534" s="1153"/>
      <c r="O534" s="1153" t="s">
        <v>306</v>
      </c>
    </row>
    <row r="535" spans="1:15" x14ac:dyDescent="0.2">
      <c r="A535" s="1154"/>
      <c r="B535" s="1157" t="s">
        <v>291</v>
      </c>
      <c r="C535" s="1168" t="s">
        <v>292</v>
      </c>
      <c r="D535" s="1167" t="s">
        <v>293</v>
      </c>
      <c r="E535" s="1167" t="s">
        <v>294</v>
      </c>
      <c r="F535" s="1167" t="s">
        <v>295</v>
      </c>
      <c r="G535" s="1167" t="s">
        <v>296</v>
      </c>
      <c r="H535" s="1167" t="s">
        <v>297</v>
      </c>
      <c r="I535" s="1167" t="s">
        <v>298</v>
      </c>
      <c r="J535" s="1167" t="s">
        <v>299</v>
      </c>
      <c r="K535" s="1167" t="s">
        <v>300</v>
      </c>
      <c r="L535" s="1167" t="s">
        <v>301</v>
      </c>
      <c r="M535" s="1167" t="s">
        <v>302</v>
      </c>
      <c r="N535" s="1167" t="s">
        <v>318</v>
      </c>
      <c r="O535" s="1153"/>
    </row>
    <row r="536" spans="1:15" x14ac:dyDescent="0.2">
      <c r="A536" s="1161" t="s">
        <v>319</v>
      </c>
      <c r="B536" s="1164">
        <v>1</v>
      </c>
      <c r="C536" s="1164">
        <v>2</v>
      </c>
      <c r="D536" s="1164">
        <v>3</v>
      </c>
      <c r="E536" s="1164">
        <v>4</v>
      </c>
      <c r="F536" s="1164">
        <v>5</v>
      </c>
      <c r="G536" s="1164">
        <v>6</v>
      </c>
      <c r="H536" s="1164">
        <v>7</v>
      </c>
      <c r="I536" s="1164">
        <v>8</v>
      </c>
      <c r="J536" s="1164">
        <v>9</v>
      </c>
      <c r="K536" s="1164">
        <v>10</v>
      </c>
      <c r="L536" s="1164">
        <v>11</v>
      </c>
      <c r="M536" s="1164">
        <v>12</v>
      </c>
      <c r="N536" s="1164">
        <v>13</v>
      </c>
      <c r="O536" s="1165">
        <v>1</v>
      </c>
    </row>
    <row r="537" spans="1:15" x14ac:dyDescent="0.2">
      <c r="A537" s="1169">
        <v>2000</v>
      </c>
      <c r="B537" s="1184">
        <v>93.5</v>
      </c>
      <c r="C537" s="1184">
        <v>93.5</v>
      </c>
      <c r="D537" s="1184">
        <v>93.5</v>
      </c>
      <c r="E537" s="1184">
        <v>93.5</v>
      </c>
      <c r="F537" s="1184">
        <v>93.5</v>
      </c>
      <c r="G537" s="1184">
        <v>93.5</v>
      </c>
      <c r="H537" s="1184">
        <v>93.5</v>
      </c>
      <c r="I537" s="1184">
        <v>93.5</v>
      </c>
      <c r="J537" s="1184">
        <v>93.5</v>
      </c>
      <c r="K537" s="1184">
        <v>93.5</v>
      </c>
      <c r="L537" s="1184">
        <v>93.5</v>
      </c>
      <c r="M537" s="1184">
        <v>93.5</v>
      </c>
      <c r="N537" s="1184">
        <v>93.5</v>
      </c>
      <c r="O537" s="1163">
        <v>2</v>
      </c>
    </row>
    <row r="538" spans="1:15" x14ac:dyDescent="0.2">
      <c r="A538" s="1169">
        <v>2001</v>
      </c>
      <c r="B538" s="1184">
        <v>96.2</v>
      </c>
      <c r="C538" s="1184">
        <v>96.2</v>
      </c>
      <c r="D538" s="1184">
        <v>96.2</v>
      </c>
      <c r="E538" s="1184">
        <v>96.2</v>
      </c>
      <c r="F538" s="1184">
        <v>96.2</v>
      </c>
      <c r="G538" s="1184">
        <v>96.2</v>
      </c>
      <c r="H538" s="1184">
        <v>96.2</v>
      </c>
      <c r="I538" s="1184">
        <v>96.2</v>
      </c>
      <c r="J538" s="1184">
        <v>96.2</v>
      </c>
      <c r="K538" s="1184">
        <v>96.2</v>
      </c>
      <c r="L538" s="1184">
        <v>96.2</v>
      </c>
      <c r="M538" s="1184">
        <v>96.2</v>
      </c>
      <c r="N538" s="1184">
        <v>96.2</v>
      </c>
      <c r="O538" s="1163">
        <v>3</v>
      </c>
    </row>
    <row r="539" spans="1:15" x14ac:dyDescent="0.2">
      <c r="A539" s="1169">
        <v>2002</v>
      </c>
      <c r="B539" s="1184">
        <v>98</v>
      </c>
      <c r="C539" s="1184">
        <v>98</v>
      </c>
      <c r="D539" s="1184">
        <v>98</v>
      </c>
      <c r="E539" s="1184">
        <v>98</v>
      </c>
      <c r="F539" s="1184">
        <v>98</v>
      </c>
      <c r="G539" s="1184">
        <v>98</v>
      </c>
      <c r="H539" s="1184">
        <v>98</v>
      </c>
      <c r="I539" s="1184">
        <v>98</v>
      </c>
      <c r="J539" s="1184">
        <v>98</v>
      </c>
      <c r="K539" s="1184">
        <v>98</v>
      </c>
      <c r="L539" s="1184">
        <v>98</v>
      </c>
      <c r="M539" s="1184">
        <v>98</v>
      </c>
      <c r="N539" s="1184">
        <v>98</v>
      </c>
      <c r="O539" s="1163">
        <v>4</v>
      </c>
    </row>
    <row r="540" spans="1:15" x14ac:dyDescent="0.2">
      <c r="A540" s="1169">
        <v>2003</v>
      </c>
      <c r="B540" s="1190">
        <v>100</v>
      </c>
      <c r="C540" s="1190">
        <v>100</v>
      </c>
      <c r="D540" s="1190">
        <v>100</v>
      </c>
      <c r="E540" s="1190">
        <v>100</v>
      </c>
      <c r="F540" s="1190">
        <v>100</v>
      </c>
      <c r="G540" s="1190">
        <v>100</v>
      </c>
      <c r="H540" s="1190">
        <v>100</v>
      </c>
      <c r="I540" s="1190">
        <v>100</v>
      </c>
      <c r="J540" s="1190">
        <v>100</v>
      </c>
      <c r="K540" s="1190">
        <v>100</v>
      </c>
      <c r="L540" s="1190">
        <v>100</v>
      </c>
      <c r="M540" s="1175">
        <v>100</v>
      </c>
      <c r="N540" s="1191">
        <v>100</v>
      </c>
      <c r="O540" s="1163">
        <v>5</v>
      </c>
    </row>
    <row r="541" spans="1:15" x14ac:dyDescent="0.2">
      <c r="A541" s="1169">
        <v>2004</v>
      </c>
      <c r="B541" s="1175">
        <v>99.3</v>
      </c>
      <c r="C541" s="1175">
        <v>99.2</v>
      </c>
      <c r="D541" s="1175">
        <v>98.8</v>
      </c>
      <c r="E541" s="1175">
        <v>99.1</v>
      </c>
      <c r="F541" s="1175">
        <v>99.2</v>
      </c>
      <c r="G541" s="1175">
        <v>98.5</v>
      </c>
      <c r="H541" s="1175">
        <v>98.7</v>
      </c>
      <c r="I541" s="1175">
        <v>99.2</v>
      </c>
      <c r="J541" s="1175">
        <v>99.9</v>
      </c>
      <c r="K541" s="1175">
        <v>100.1</v>
      </c>
      <c r="L541" s="1175">
        <v>99.7</v>
      </c>
      <c r="M541" s="1175">
        <v>99.7</v>
      </c>
      <c r="N541" s="1175">
        <v>99.3</v>
      </c>
      <c r="O541" s="1163">
        <v>6</v>
      </c>
    </row>
    <row r="542" spans="1:15" x14ac:dyDescent="0.2">
      <c r="A542" s="1169">
        <v>2005</v>
      </c>
      <c r="B542" s="1175">
        <v>100.7</v>
      </c>
      <c r="C542" s="1175">
        <v>100.9</v>
      </c>
      <c r="D542" s="1175">
        <v>102.5</v>
      </c>
      <c r="E542" s="1175">
        <v>102.8</v>
      </c>
      <c r="F542" s="1175">
        <v>104</v>
      </c>
      <c r="G542" s="1175">
        <v>104</v>
      </c>
      <c r="H542" s="1175">
        <v>104.5</v>
      </c>
      <c r="I542" s="1179">
        <v>104.2</v>
      </c>
      <c r="J542" s="1179">
        <v>105.2</v>
      </c>
      <c r="K542" s="1179">
        <v>108.3</v>
      </c>
      <c r="L542" s="1179">
        <v>140.80000000000001</v>
      </c>
      <c r="M542" s="1179">
        <v>132.69999999999999</v>
      </c>
      <c r="N542" s="1179">
        <v>109.4</v>
      </c>
      <c r="O542" s="1163">
        <v>7</v>
      </c>
    </row>
    <row r="543" spans="1:15" x14ac:dyDescent="0.2">
      <c r="A543" s="1169">
        <v>2006</v>
      </c>
      <c r="B543" s="1179">
        <v>132.5</v>
      </c>
      <c r="C543" s="1179">
        <v>132.19999999999999</v>
      </c>
      <c r="D543" s="1179">
        <v>132.1</v>
      </c>
      <c r="E543" s="1179">
        <v>132.6</v>
      </c>
      <c r="F543" s="1179">
        <v>133.9</v>
      </c>
      <c r="G543" s="1179">
        <v>136.4</v>
      </c>
      <c r="H543" s="1180">
        <v>137.4</v>
      </c>
      <c r="I543" s="1176">
        <v>139.6</v>
      </c>
      <c r="J543" s="1188">
        <v>139.9</v>
      </c>
      <c r="K543" s="1188">
        <v>141.30000000000001</v>
      </c>
      <c r="L543" s="1188">
        <v>140.69999999999999</v>
      </c>
      <c r="M543" s="1188">
        <v>139.1</v>
      </c>
      <c r="N543" s="1188">
        <v>136.5</v>
      </c>
      <c r="O543" s="1163">
        <v>8</v>
      </c>
    </row>
    <row r="544" spans="1:15" x14ac:dyDescent="0.2">
      <c r="A544" s="1169">
        <v>2007</v>
      </c>
      <c r="B544" s="1176">
        <v>136.9</v>
      </c>
      <c r="C544" s="1176">
        <v>135.9</v>
      </c>
      <c r="D544" s="1176">
        <v>134.5</v>
      </c>
      <c r="E544" s="1176">
        <v>131.69999999999999</v>
      </c>
      <c r="F544" s="1176">
        <v>130.30000000000001</v>
      </c>
      <c r="G544" s="1176">
        <v>130.19999999999999</v>
      </c>
      <c r="H544" s="1176">
        <v>129.9</v>
      </c>
      <c r="I544" s="1176">
        <v>130</v>
      </c>
      <c r="J544" s="1188">
        <v>129.9</v>
      </c>
      <c r="K544" s="1188">
        <v>130.1</v>
      </c>
      <c r="L544" s="1188">
        <v>130</v>
      </c>
      <c r="M544" s="1188">
        <v>130.5</v>
      </c>
      <c r="N544" s="1188">
        <v>131.69999999999999</v>
      </c>
      <c r="O544" s="1163">
        <v>9</v>
      </c>
    </row>
    <row r="545" spans="1:15" x14ac:dyDescent="0.2">
      <c r="A545" s="1169">
        <v>2008</v>
      </c>
      <c r="B545" s="1183">
        <v>131</v>
      </c>
      <c r="C545" s="1176">
        <v>132.30000000000001</v>
      </c>
      <c r="D545" s="1181">
        <v>132.30000000000001</v>
      </c>
      <c r="E545" s="1181">
        <v>131.6</v>
      </c>
      <c r="F545" s="1181">
        <v>131.5</v>
      </c>
      <c r="G545" s="1181">
        <v>133.9</v>
      </c>
      <c r="H545" s="1182">
        <v>139.4</v>
      </c>
      <c r="I545" s="1182">
        <v>144.6</v>
      </c>
      <c r="J545" s="1182">
        <v>146.9</v>
      </c>
      <c r="K545" s="1182">
        <v>149.9</v>
      </c>
      <c r="L545" s="1182">
        <v>149.6</v>
      </c>
      <c r="M545" s="1182">
        <v>144.80000000000001</v>
      </c>
      <c r="N545" s="1182">
        <v>139</v>
      </c>
      <c r="O545" s="1163">
        <v>10</v>
      </c>
    </row>
    <row r="546" spans="1:15" x14ac:dyDescent="0.2">
      <c r="A546" s="1169">
        <v>2009</v>
      </c>
      <c r="B546" s="1156">
        <v>141.9</v>
      </c>
      <c r="C546" s="1156">
        <v>141.30000000000001</v>
      </c>
      <c r="D546" s="1156">
        <v>141.30000000000001</v>
      </c>
      <c r="E546" s="1156">
        <v>137.30000000000001</v>
      </c>
      <c r="F546" s="1156">
        <v>138.6</v>
      </c>
      <c r="G546" s="1156">
        <v>140.4</v>
      </c>
      <c r="H546" s="1156">
        <v>142.5</v>
      </c>
      <c r="I546" s="1156">
        <v>142.5</v>
      </c>
      <c r="J546" s="1197">
        <v>142.9</v>
      </c>
      <c r="K546" s="1197">
        <v>142.4</v>
      </c>
      <c r="L546" s="1197">
        <v>141.69999999999999</v>
      </c>
      <c r="M546" s="1197">
        <v>140.69999999999999</v>
      </c>
      <c r="N546" s="1197">
        <v>141.1</v>
      </c>
      <c r="O546" s="1163">
        <v>11</v>
      </c>
    </row>
    <row r="547" spans="1:15" x14ac:dyDescent="0.2">
      <c r="A547" s="1169">
        <v>2010</v>
      </c>
      <c r="B547" s="1156">
        <v>140.30000000000001</v>
      </c>
      <c r="C547" s="1156">
        <v>137.5</v>
      </c>
      <c r="D547" s="1156">
        <v>137.5</v>
      </c>
      <c r="E547" s="1156">
        <v>137.5</v>
      </c>
      <c r="F547" s="1156">
        <v>136.30000000000001</v>
      </c>
      <c r="G547" s="1156">
        <v>138.5</v>
      </c>
      <c r="H547" s="1156">
        <v>138.9</v>
      </c>
      <c r="I547" s="1156">
        <v>140.6</v>
      </c>
      <c r="J547" s="1155">
        <v>139.9</v>
      </c>
      <c r="K547" s="1192">
        <v>138.69999999999999</v>
      </c>
      <c r="L547" s="1192">
        <v>136.9</v>
      </c>
      <c r="M547" s="1192">
        <v>136</v>
      </c>
      <c r="N547" s="1192">
        <v>138.19999999999999</v>
      </c>
      <c r="O547" s="1163">
        <v>12</v>
      </c>
    </row>
    <row r="548" spans="1:15" x14ac:dyDescent="0.2">
      <c r="A548" s="1169">
        <v>2011</v>
      </c>
      <c r="B548" s="1153">
        <v>135.69999999999999</v>
      </c>
      <c r="C548" s="1156">
        <v>135.9</v>
      </c>
      <c r="D548" s="1182">
        <v>135.80000000000001</v>
      </c>
      <c r="E548" s="1192">
        <v>136.5</v>
      </c>
      <c r="F548" s="1192">
        <v>136.5</v>
      </c>
      <c r="G548" s="1192">
        <v>142.1</v>
      </c>
      <c r="H548" s="1192">
        <v>142.19999999999999</v>
      </c>
      <c r="I548" s="1226">
        <v>141.4</v>
      </c>
      <c r="J548" s="1226">
        <v>141.5</v>
      </c>
      <c r="K548" s="1226">
        <v>141.5</v>
      </c>
      <c r="L548" s="1226">
        <v>141.5</v>
      </c>
      <c r="M548" s="1226">
        <v>141.9</v>
      </c>
      <c r="N548" s="1226">
        <v>139.4</v>
      </c>
      <c r="O548" s="1163">
        <v>13</v>
      </c>
    </row>
    <row r="549" spans="1:15" s="1153" customFormat="1" x14ac:dyDescent="0.2">
      <c r="A549" s="1169">
        <v>2012</v>
      </c>
      <c r="B549" s="1226">
        <v>141.4</v>
      </c>
      <c r="C549" s="1226">
        <v>141.80000000000001</v>
      </c>
      <c r="D549" s="1196">
        <v>141.5</v>
      </c>
      <c r="E549" s="1196">
        <v>146.5</v>
      </c>
      <c r="F549" s="1196">
        <v>147.4</v>
      </c>
      <c r="G549" s="1196">
        <v>146.19999999999999</v>
      </c>
      <c r="H549" s="1226" t="s">
        <v>1471</v>
      </c>
      <c r="I549" s="1226" t="s">
        <v>1471</v>
      </c>
      <c r="J549" s="1226" t="s">
        <v>1471</v>
      </c>
      <c r="K549" s="1226" t="s">
        <v>1471</v>
      </c>
      <c r="L549" s="1226" t="s">
        <v>1471</v>
      </c>
      <c r="M549" s="1226" t="s">
        <v>1471</v>
      </c>
      <c r="N549" s="1226" t="s">
        <v>1471</v>
      </c>
      <c r="O549" s="1163">
        <v>14</v>
      </c>
    </row>
    <row r="550" spans="1:15" s="1153" customFormat="1" x14ac:dyDescent="0.2">
      <c r="A550" s="1169">
        <v>2013</v>
      </c>
      <c r="B550" s="1226" t="s">
        <v>1471</v>
      </c>
      <c r="C550" s="1226" t="s">
        <v>1471</v>
      </c>
      <c r="D550" s="1226" t="s">
        <v>1471</v>
      </c>
      <c r="E550" s="1226" t="s">
        <v>1471</v>
      </c>
      <c r="F550" s="1226" t="s">
        <v>1471</v>
      </c>
      <c r="G550" s="1226" t="s">
        <v>1471</v>
      </c>
      <c r="H550" s="1226" t="s">
        <v>1471</v>
      </c>
      <c r="I550" s="1226" t="s">
        <v>1471</v>
      </c>
      <c r="J550" s="1226" t="s">
        <v>1471</v>
      </c>
      <c r="K550" s="1226" t="s">
        <v>1471</v>
      </c>
      <c r="L550" s="1226" t="s">
        <v>1471</v>
      </c>
      <c r="M550" s="1226" t="s">
        <v>1471</v>
      </c>
      <c r="N550" s="1226" t="s">
        <v>1471</v>
      </c>
      <c r="O550" s="1163">
        <v>15</v>
      </c>
    </row>
    <row r="551" spans="1:15" s="1153" customFormat="1" x14ac:dyDescent="0.2">
      <c r="A551" s="1169">
        <v>2014</v>
      </c>
      <c r="B551" s="1226" t="s">
        <v>1471</v>
      </c>
      <c r="C551" s="1226" t="s">
        <v>1471</v>
      </c>
      <c r="D551" s="1226" t="s">
        <v>1471</v>
      </c>
      <c r="E551" s="1226" t="s">
        <v>1471</v>
      </c>
      <c r="F551" s="1226" t="s">
        <v>1471</v>
      </c>
      <c r="G551" s="1226" t="s">
        <v>1471</v>
      </c>
      <c r="H551" s="1226" t="s">
        <v>1471</v>
      </c>
      <c r="I551" s="1226" t="s">
        <v>1471</v>
      </c>
      <c r="J551" s="1226" t="s">
        <v>1471</v>
      </c>
      <c r="K551" s="1226" t="s">
        <v>1471</v>
      </c>
      <c r="L551" s="1226" t="s">
        <v>1471</v>
      </c>
      <c r="M551" s="1226" t="s">
        <v>1471</v>
      </c>
      <c r="N551" s="1226" t="s">
        <v>1471</v>
      </c>
      <c r="O551" s="1163">
        <v>16</v>
      </c>
    </row>
    <row r="552" spans="1:15" s="1153" customFormat="1" x14ac:dyDescent="0.2">
      <c r="A552" s="1169">
        <v>2015</v>
      </c>
      <c r="B552" s="1226" t="s">
        <v>1471</v>
      </c>
      <c r="C552" s="1226" t="s">
        <v>1471</v>
      </c>
      <c r="D552" s="1226" t="s">
        <v>1471</v>
      </c>
      <c r="E552" s="1226" t="s">
        <v>1471</v>
      </c>
      <c r="F552" s="1226" t="s">
        <v>1471</v>
      </c>
      <c r="G552" s="1226" t="s">
        <v>1471</v>
      </c>
      <c r="H552" s="1226" t="s">
        <v>1471</v>
      </c>
      <c r="I552" s="1226" t="s">
        <v>1471</v>
      </c>
      <c r="J552" s="1226" t="s">
        <v>1471</v>
      </c>
      <c r="K552" s="1226" t="s">
        <v>1471</v>
      </c>
      <c r="L552" s="1226" t="s">
        <v>1471</v>
      </c>
      <c r="M552" s="1226" t="s">
        <v>1471</v>
      </c>
      <c r="N552" s="1226" t="s">
        <v>1471</v>
      </c>
      <c r="O552" s="1163">
        <v>17</v>
      </c>
    </row>
    <row r="553" spans="1:15" s="1153" customFormat="1" x14ac:dyDescent="0.2">
      <c r="A553" s="1169">
        <v>2016</v>
      </c>
      <c r="B553" s="1226" t="s">
        <v>1471</v>
      </c>
      <c r="C553" s="1226" t="s">
        <v>1471</v>
      </c>
      <c r="D553" s="1226" t="s">
        <v>1471</v>
      </c>
      <c r="E553" s="1226" t="s">
        <v>1471</v>
      </c>
      <c r="F553" s="1226" t="s">
        <v>1471</v>
      </c>
      <c r="G553" s="1226" t="s">
        <v>1471</v>
      </c>
      <c r="H553" s="1226" t="s">
        <v>1471</v>
      </c>
      <c r="I553" s="1226" t="s">
        <v>1471</v>
      </c>
      <c r="J553" s="1226" t="s">
        <v>1471</v>
      </c>
      <c r="K553" s="1226" t="s">
        <v>1471</v>
      </c>
      <c r="L553" s="1226" t="s">
        <v>1471</v>
      </c>
      <c r="M553" s="1226" t="s">
        <v>1471</v>
      </c>
      <c r="N553" s="1226" t="s">
        <v>1471</v>
      </c>
      <c r="O553" s="1163">
        <v>18</v>
      </c>
    </row>
    <row r="554" spans="1:15" s="1153" customFormat="1" x14ac:dyDescent="0.2">
      <c r="A554" s="1169">
        <v>2017</v>
      </c>
      <c r="B554" s="1226" t="s">
        <v>1471</v>
      </c>
      <c r="C554" s="1226" t="s">
        <v>1471</v>
      </c>
      <c r="D554" s="1226" t="s">
        <v>1471</v>
      </c>
      <c r="E554" s="1226" t="s">
        <v>1471</v>
      </c>
      <c r="F554" s="1226" t="s">
        <v>1471</v>
      </c>
      <c r="G554" s="1226" t="s">
        <v>1471</v>
      </c>
      <c r="H554" s="1226" t="s">
        <v>1471</v>
      </c>
      <c r="I554" s="1226" t="s">
        <v>1471</v>
      </c>
      <c r="J554" s="1226" t="s">
        <v>1471</v>
      </c>
      <c r="K554" s="1226" t="s">
        <v>1471</v>
      </c>
      <c r="L554" s="1226" t="s">
        <v>1471</v>
      </c>
      <c r="M554" s="1226" t="s">
        <v>1471</v>
      </c>
      <c r="N554" s="1226" t="s">
        <v>1471</v>
      </c>
      <c r="O554" s="1163">
        <v>19</v>
      </c>
    </row>
    <row r="555" spans="1:15" s="1153" customFormat="1" x14ac:dyDescent="0.2">
      <c r="A555" s="1169">
        <v>2018</v>
      </c>
      <c r="B555" s="1226" t="s">
        <v>1471</v>
      </c>
      <c r="C555" s="1226" t="s">
        <v>1471</v>
      </c>
      <c r="D555" s="1226" t="s">
        <v>1471</v>
      </c>
      <c r="E555" s="1226" t="s">
        <v>1471</v>
      </c>
      <c r="F555" s="1226" t="s">
        <v>1471</v>
      </c>
      <c r="G555" s="1226" t="s">
        <v>1471</v>
      </c>
      <c r="H555" s="1226" t="s">
        <v>1471</v>
      </c>
      <c r="I555" s="1226" t="s">
        <v>1471</v>
      </c>
      <c r="J555" s="1226" t="s">
        <v>1471</v>
      </c>
      <c r="K555" s="1226" t="s">
        <v>1471</v>
      </c>
      <c r="L555" s="1226" t="s">
        <v>1471</v>
      </c>
      <c r="M555" s="1226" t="s">
        <v>1471</v>
      </c>
      <c r="N555" s="1226" t="s">
        <v>1471</v>
      </c>
      <c r="O555" s="1163">
        <v>20</v>
      </c>
    </row>
    <row r="556" spans="1:15" s="1153" customFormat="1" x14ac:dyDescent="0.2">
      <c r="A556" s="1169">
        <v>2019</v>
      </c>
      <c r="B556" s="1226" t="s">
        <v>1471</v>
      </c>
      <c r="C556" s="1226" t="s">
        <v>1471</v>
      </c>
      <c r="D556" s="1226" t="s">
        <v>1471</v>
      </c>
      <c r="E556" s="1226" t="s">
        <v>1471</v>
      </c>
      <c r="F556" s="1226" t="s">
        <v>1471</v>
      </c>
      <c r="G556" s="1226" t="s">
        <v>1471</v>
      </c>
      <c r="H556" s="1226" t="s">
        <v>1471</v>
      </c>
      <c r="I556" s="1226" t="s">
        <v>1471</v>
      </c>
      <c r="J556" s="1226" t="s">
        <v>1471</v>
      </c>
      <c r="K556" s="1226" t="s">
        <v>1471</v>
      </c>
      <c r="L556" s="1226" t="s">
        <v>1471</v>
      </c>
      <c r="M556" s="1226" t="s">
        <v>1471</v>
      </c>
      <c r="N556" s="1226" t="s">
        <v>1471</v>
      </c>
      <c r="O556" s="1163">
        <v>21</v>
      </c>
    </row>
    <row r="557" spans="1:15" s="1153" customFormat="1" x14ac:dyDescent="0.2">
      <c r="A557" s="1169">
        <v>2020</v>
      </c>
      <c r="B557" s="1226" t="s">
        <v>1471</v>
      </c>
      <c r="C557" s="1226" t="s">
        <v>1471</v>
      </c>
      <c r="D557" s="1226" t="s">
        <v>1471</v>
      </c>
      <c r="E557" s="1226" t="s">
        <v>1471</v>
      </c>
      <c r="F557" s="1226" t="s">
        <v>1471</v>
      </c>
      <c r="G557" s="1226" t="s">
        <v>1471</v>
      </c>
      <c r="H557" s="1226" t="s">
        <v>1471</v>
      </c>
      <c r="I557" s="1226" t="s">
        <v>1471</v>
      </c>
      <c r="J557" s="1226" t="s">
        <v>1471</v>
      </c>
      <c r="K557" s="1226" t="s">
        <v>1471</v>
      </c>
      <c r="L557" s="1226" t="s">
        <v>1471</v>
      </c>
      <c r="M557" s="1226" t="s">
        <v>1471</v>
      </c>
      <c r="N557" s="1226" t="s">
        <v>1471</v>
      </c>
      <c r="O557" s="1163">
        <v>22</v>
      </c>
    </row>
    <row r="558" spans="1:15" x14ac:dyDescent="0.2">
      <c r="A558" s="1169"/>
      <c r="B558" s="1159"/>
      <c r="C558" s="1159"/>
      <c r="D558" s="1159"/>
      <c r="E558" s="1159"/>
      <c r="F558" s="1159"/>
      <c r="G558" s="1159"/>
      <c r="H558" s="1159"/>
      <c r="I558" s="1159"/>
      <c r="J558" s="1159"/>
      <c r="K558" s="1159"/>
      <c r="L558" s="1159"/>
      <c r="M558" s="1159"/>
      <c r="N558" s="1159"/>
      <c r="O558" s="1163">
        <v>23</v>
      </c>
    </row>
    <row r="559" spans="1:15" x14ac:dyDescent="0.2">
      <c r="A559" s="1170" t="s">
        <v>515</v>
      </c>
      <c r="B559" s="1170"/>
      <c r="C559" s="1170"/>
      <c r="D559" s="1170"/>
      <c r="E559" s="1170"/>
      <c r="F559" s="1170"/>
      <c r="G559" s="1170"/>
      <c r="H559" s="1170"/>
      <c r="I559" s="1170"/>
      <c r="J559" s="1170"/>
      <c r="K559" s="1170"/>
      <c r="L559" s="1170"/>
      <c r="M559" s="1170"/>
      <c r="N559" s="1170"/>
      <c r="O559" s="1163"/>
    </row>
  </sheetData>
  <mergeCells count="1">
    <mergeCell ref="B10:D10"/>
  </mergeCells>
  <phoneticPr fontId="3" type="noConversion"/>
  <pageMargins left="0.75" right="0.75" top="1" bottom="1" header="0.5" footer="0.5"/>
  <pageSetup scale="85" orientation="landscape" horizontalDpi="300" verticalDpi="300"/>
  <headerFooter alignWithMargins="0"/>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25"/>
  </sheetPr>
  <dimension ref="A1:AU118"/>
  <sheetViews>
    <sheetView topLeftCell="AE19" workbookViewId="0">
      <selection activeCell="P115" sqref="P115:U118"/>
    </sheetView>
  </sheetViews>
  <sheetFormatPr defaultColWidth="8.85546875" defaultRowHeight="12.75" x14ac:dyDescent="0.2"/>
  <cols>
    <col min="1" max="1" width="24.42578125" customWidth="1"/>
    <col min="2" max="2" width="10.28515625" customWidth="1"/>
    <col min="7" max="7" width="9.7109375" customWidth="1"/>
    <col min="8" max="8" width="11" customWidth="1"/>
    <col min="9" max="9" width="9.85546875" customWidth="1"/>
    <col min="14" max="14" width="3.28515625" style="509" customWidth="1"/>
    <col min="15" max="15" width="27" customWidth="1"/>
    <col min="16" max="16" width="10.42578125" bestFit="1" customWidth="1"/>
    <col min="21" max="21" width="11" customWidth="1"/>
    <col min="46" max="46" width="8.85546875" customWidth="1"/>
  </cols>
  <sheetData>
    <row r="1" spans="1:14" x14ac:dyDescent="0.2">
      <c r="A1" s="1" t="str">
        <f>'Input &amp; Summary'!A1</f>
        <v>Based on Combined Land Based-Offshore Turbine Cost Model. V2.01.12</v>
      </c>
      <c r="B1" s="1"/>
      <c r="C1" s="1"/>
      <c r="D1" s="139"/>
    </row>
    <row r="2" spans="1:14" ht="51" x14ac:dyDescent="0.2">
      <c r="A2" s="555" t="str">
        <f>'Input &amp; Summary'!A2</f>
        <v>Note:  This Model Contains Proprietary or Wind Technology Protected Data, and Should Not Be Released Outside of the DOE/NREL/SNL, until Further Notice.</v>
      </c>
      <c r="B2" s="555"/>
      <c r="C2" s="555"/>
      <c r="D2" s="139"/>
    </row>
    <row r="4" spans="1:14" x14ac:dyDescent="0.2">
      <c r="A4" s="356" t="s">
        <v>615</v>
      </c>
      <c r="B4" s="1"/>
      <c r="C4" s="1"/>
      <c r="D4" s="1"/>
      <c r="E4" s="1"/>
      <c r="F4" s="1"/>
      <c r="G4" s="356"/>
      <c r="H4" s="1"/>
      <c r="I4" s="1"/>
      <c r="J4" s="1"/>
      <c r="K4" s="1"/>
      <c r="L4" s="1"/>
      <c r="M4" s="1"/>
      <c r="N4" s="508"/>
    </row>
    <row r="5" spans="1:14" ht="13.5" thickBot="1" x14ac:dyDescent="0.25"/>
    <row r="6" spans="1:14" ht="39" thickBot="1" x14ac:dyDescent="0.25">
      <c r="C6" s="220" t="s">
        <v>602</v>
      </c>
    </row>
    <row r="7" spans="1:14" ht="13.5" thickBot="1" x14ac:dyDescent="0.25">
      <c r="A7" s="473" t="s">
        <v>89</v>
      </c>
      <c r="B7" s="511"/>
      <c r="C7" s="466">
        <f>'Input &amp; Summary'!B8</f>
        <v>96.9</v>
      </c>
      <c r="F7" s="21" t="s">
        <v>623</v>
      </c>
    </row>
    <row r="8" spans="1:14" ht="14.25" thickTop="1" thickBot="1" x14ac:dyDescent="0.25">
      <c r="A8" s="473" t="s">
        <v>612</v>
      </c>
      <c r="B8" s="511"/>
      <c r="C8" s="513">
        <f>'Cost Summary'!C16</f>
        <v>27248.601187263586</v>
      </c>
      <c r="F8" s="75" t="s">
        <v>12</v>
      </c>
      <c r="G8" s="40" t="s">
        <v>108</v>
      </c>
      <c r="H8" s="40" t="s">
        <v>622</v>
      </c>
      <c r="I8" s="40" t="s">
        <v>620</v>
      </c>
      <c r="J8" s="76" t="s">
        <v>621</v>
      </c>
    </row>
    <row r="9" spans="1:14" ht="14.25" thickTop="1" thickBot="1" x14ac:dyDescent="0.25">
      <c r="A9" s="21"/>
      <c r="B9" s="21"/>
      <c r="C9" s="512"/>
      <c r="F9" s="104">
        <f>$C$7</f>
        <v>96.9</v>
      </c>
      <c r="G9" s="145">
        <f>$C$13</f>
        <v>84903.251991555371</v>
      </c>
      <c r="H9" s="40">
        <f>$C$8/3</f>
        <v>9082.8670624211954</v>
      </c>
      <c r="I9" s="507">
        <f>$C$11</f>
        <v>14345.55787151434</v>
      </c>
      <c r="J9" s="146">
        <f>'Cost Summary'!C15/1000</f>
        <v>48.759874176558768</v>
      </c>
    </row>
    <row r="10" spans="1:14" ht="14.25" thickTop="1" thickBot="1" x14ac:dyDescent="0.25">
      <c r="A10" s="21"/>
      <c r="B10" s="21"/>
      <c r="C10" s="517" t="s">
        <v>100</v>
      </c>
    </row>
    <row r="11" spans="1:14" ht="13.5" thickBot="1" x14ac:dyDescent="0.25">
      <c r="A11" s="474" t="s">
        <v>90</v>
      </c>
      <c r="B11" s="514"/>
      <c r="C11" s="477">
        <f>$B$31*$C$8/3+$B$32</f>
        <v>14345.55787151434</v>
      </c>
      <c r="D11" s="22"/>
    </row>
    <row r="12" spans="1:14" ht="13.5" thickBot="1" x14ac:dyDescent="0.25">
      <c r="A12" s="474" t="s">
        <v>502</v>
      </c>
      <c r="B12" s="514"/>
      <c r="C12" s="478">
        <v>4.25</v>
      </c>
      <c r="D12" s="470">
        <f>'PPI Calculation'!D37</f>
        <v>1.3925729442970822</v>
      </c>
      <c r="E12" s="22" t="s">
        <v>590</v>
      </c>
    </row>
    <row r="13" spans="1:14" ht="13.5" thickBot="1" x14ac:dyDescent="0.25">
      <c r="A13" s="475" t="s">
        <v>651</v>
      </c>
      <c r="B13" s="515"/>
      <c r="C13" s="122">
        <f>C11*C12*D12</f>
        <v>84903.251991555371</v>
      </c>
      <c r="D13" s="550">
        <f>'Input &amp; Summary'!F7</f>
        <v>2010</v>
      </c>
      <c r="E13" s="567" t="s">
        <v>648</v>
      </c>
    </row>
    <row r="14" spans="1:14" ht="13.5" thickBot="1" x14ac:dyDescent="0.25"/>
    <row r="15" spans="1:14" ht="13.5" thickBot="1" x14ac:dyDescent="0.25">
      <c r="A15" s="357" t="s">
        <v>537</v>
      </c>
      <c r="B15" s="358"/>
      <c r="C15" s="359"/>
      <c r="D15" s="341"/>
      <c r="E15" s="360"/>
    </row>
    <row r="16" spans="1:14" ht="102" thickBot="1" x14ac:dyDescent="0.25">
      <c r="A16" s="502" t="s">
        <v>88</v>
      </c>
      <c r="B16" s="503" t="s">
        <v>605</v>
      </c>
      <c r="C16" s="503" t="s">
        <v>606</v>
      </c>
      <c r="D16" s="503" t="s">
        <v>607</v>
      </c>
      <c r="E16" s="504" t="s">
        <v>608</v>
      </c>
      <c r="J16" s="635" t="s">
        <v>896</v>
      </c>
    </row>
    <row r="17" spans="1:26" ht="13.5" thickTop="1" x14ac:dyDescent="0.2">
      <c r="A17" s="489">
        <v>46</v>
      </c>
      <c r="B17" s="490">
        <f>C17/3</f>
        <v>3133.3333333333335</v>
      </c>
      <c r="C17" s="491">
        <v>9400</v>
      </c>
      <c r="D17" s="491"/>
      <c r="E17" s="492">
        <v>2000</v>
      </c>
      <c r="F17" t="s">
        <v>611</v>
      </c>
    </row>
    <row r="18" spans="1:26" x14ac:dyDescent="0.2">
      <c r="A18" s="482">
        <v>70.5</v>
      </c>
      <c r="B18" s="483">
        <f t="shared" ref="B18:B28" si="0">C18/3</f>
        <v>4648.666666666667</v>
      </c>
      <c r="C18" s="484">
        <v>13946</v>
      </c>
      <c r="D18" s="484"/>
      <c r="E18" s="493">
        <v>15000</v>
      </c>
    </row>
    <row r="19" spans="1:26" x14ac:dyDescent="0.2">
      <c r="A19" s="482">
        <v>77</v>
      </c>
      <c r="B19" s="483">
        <f>C19/3</f>
        <v>6066.666666666667</v>
      </c>
      <c r="C19" s="484">
        <v>18200</v>
      </c>
      <c r="D19" s="484"/>
      <c r="E19" s="493">
        <v>15000</v>
      </c>
    </row>
    <row r="20" spans="1:26" x14ac:dyDescent="0.2">
      <c r="A20" s="485">
        <v>93</v>
      </c>
      <c r="B20" s="483">
        <f t="shared" si="0"/>
        <v>10000</v>
      </c>
      <c r="C20" s="486">
        <v>30000</v>
      </c>
      <c r="D20" s="486"/>
      <c r="E20" s="500">
        <v>15625</v>
      </c>
    </row>
    <row r="21" spans="1:26" ht="13.5" thickBot="1" x14ac:dyDescent="0.25">
      <c r="A21" s="494">
        <v>99</v>
      </c>
      <c r="B21" s="495">
        <f>C21/3</f>
        <v>12679.333333333334</v>
      </c>
      <c r="C21" s="505">
        <v>38038</v>
      </c>
      <c r="D21" s="505"/>
      <c r="E21" s="506">
        <v>15625</v>
      </c>
    </row>
    <row r="22" spans="1:26" ht="13.5" thickTop="1" x14ac:dyDescent="0.2">
      <c r="A22" s="489">
        <v>50</v>
      </c>
      <c r="B22" s="490">
        <f t="shared" si="0"/>
        <v>868</v>
      </c>
      <c r="C22" s="491">
        <f>868*3</f>
        <v>2604</v>
      </c>
      <c r="D22" s="491">
        <v>2464</v>
      </c>
      <c r="E22" s="492"/>
      <c r="F22" t="s">
        <v>609</v>
      </c>
    </row>
    <row r="23" spans="1:26" x14ac:dyDescent="0.2">
      <c r="A23" s="482">
        <v>70</v>
      </c>
      <c r="B23" s="483">
        <f t="shared" si="0"/>
        <v>2281</v>
      </c>
      <c r="C23" s="484">
        <f>2281*3</f>
        <v>6843</v>
      </c>
      <c r="D23" s="484">
        <v>8063</v>
      </c>
      <c r="E23" s="493"/>
    </row>
    <row r="24" spans="1:26" ht="13.5" thickBot="1" x14ac:dyDescent="0.25">
      <c r="A24" s="494">
        <v>99</v>
      </c>
      <c r="B24" s="495">
        <f t="shared" si="0"/>
        <v>5463</v>
      </c>
      <c r="C24" s="496">
        <f>5463*3</f>
        <v>16389</v>
      </c>
      <c r="D24" s="496">
        <v>21270</v>
      </c>
      <c r="E24" s="497"/>
    </row>
    <row r="25" spans="1:26" ht="13.5" thickTop="1" x14ac:dyDescent="0.2">
      <c r="A25" s="489">
        <v>50</v>
      </c>
      <c r="B25" s="490">
        <f t="shared" si="0"/>
        <v>1818</v>
      </c>
      <c r="C25" s="498">
        <f>1818*3</f>
        <v>5454</v>
      </c>
      <c r="D25" s="498">
        <v>5086</v>
      </c>
      <c r="E25" s="499"/>
      <c r="F25" t="s">
        <v>610</v>
      </c>
    </row>
    <row r="26" spans="1:26" ht="13.5" thickBot="1" x14ac:dyDescent="0.25">
      <c r="A26" s="485">
        <v>70</v>
      </c>
      <c r="B26" s="483">
        <f t="shared" si="0"/>
        <v>4230</v>
      </c>
      <c r="C26" s="486">
        <f>4230*3</f>
        <v>12690</v>
      </c>
      <c r="D26" s="486">
        <v>15104</v>
      </c>
      <c r="E26" s="500"/>
    </row>
    <row r="27" spans="1:26" ht="26.25" thickBot="1" x14ac:dyDescent="0.25">
      <c r="A27" s="485">
        <v>99</v>
      </c>
      <c r="B27" s="483">
        <f t="shared" si="0"/>
        <v>12936</v>
      </c>
      <c r="C27" s="486">
        <f>12936*3</f>
        <v>38808</v>
      </c>
      <c r="D27" s="486">
        <v>50124</v>
      </c>
      <c r="E27" s="500"/>
      <c r="O27" s="944" t="s">
        <v>617</v>
      </c>
      <c r="P27" s="945" t="s">
        <v>579</v>
      </c>
      <c r="Q27" s="945" t="s">
        <v>580</v>
      </c>
      <c r="R27" s="945" t="s">
        <v>579</v>
      </c>
      <c r="S27" s="946" t="s">
        <v>580</v>
      </c>
      <c r="T27" s="19"/>
      <c r="U27" s="7" t="s">
        <v>618</v>
      </c>
      <c r="V27" s="19"/>
    </row>
    <row r="28" spans="1:26" ht="13.5" thickBot="1" x14ac:dyDescent="0.25">
      <c r="A28" s="487">
        <v>128</v>
      </c>
      <c r="B28" s="495">
        <f t="shared" si="0"/>
        <v>27239</v>
      </c>
      <c r="C28" s="488">
        <f>27239*3</f>
        <v>81717</v>
      </c>
      <c r="D28" s="488">
        <v>101014</v>
      </c>
      <c r="E28" s="501"/>
      <c r="O28" s="939" t="s">
        <v>12</v>
      </c>
      <c r="P28" s="205" t="s">
        <v>616</v>
      </c>
      <c r="Q28" s="205" t="s">
        <v>616</v>
      </c>
      <c r="R28" s="205" t="s">
        <v>1201</v>
      </c>
      <c r="S28" s="941" t="s">
        <v>1201</v>
      </c>
      <c r="T28" t="s">
        <v>896</v>
      </c>
      <c r="U28" t="s">
        <v>12</v>
      </c>
      <c r="V28" t="s">
        <v>583</v>
      </c>
      <c r="W28" t="s">
        <v>526</v>
      </c>
      <c r="X28" t="s">
        <v>1201</v>
      </c>
      <c r="Y28" t="s">
        <v>1205</v>
      </c>
      <c r="Z28" t="s">
        <v>896</v>
      </c>
    </row>
    <row r="29" spans="1:26" ht="13.5" thickTop="1" x14ac:dyDescent="0.2">
      <c r="O29" s="238">
        <v>60</v>
      </c>
      <c r="P29" s="84">
        <v>20</v>
      </c>
      <c r="Q29" s="84"/>
      <c r="R29" s="84">
        <f>(P29/(PI()*(O29/2)^2))*1000</f>
        <v>7.0735530263064597</v>
      </c>
      <c r="S29" s="239"/>
      <c r="U29">
        <v>126</v>
      </c>
      <c r="V29">
        <v>110</v>
      </c>
      <c r="W29">
        <v>240</v>
      </c>
      <c r="X29" s="931">
        <f>(V29/(PI()*(U29/2)^2))*1000</f>
        <v>8.8218915294071483</v>
      </c>
      <c r="Y29" s="931">
        <f>(5/(PI()*(U29/2)^2))*1000^2</f>
        <v>400.9950695185068</v>
      </c>
    </row>
    <row r="30" spans="1:26" x14ac:dyDescent="0.2">
      <c r="O30" s="238">
        <v>80</v>
      </c>
      <c r="P30" s="84">
        <v>37.299999999999997</v>
      </c>
      <c r="Q30" s="84"/>
      <c r="R30" s="84">
        <f>(P30/(PI()*(O30/2)^2))*1000</f>
        <v>7.4205992216596197</v>
      </c>
      <c r="S30" s="239"/>
    </row>
    <row r="31" spans="1:26" x14ac:dyDescent="0.2">
      <c r="A31" s="138" t="s">
        <v>613</v>
      </c>
      <c r="B31" s="138">
        <f>SLOPE(E17:E21,B17:B21)</f>
        <v>0.95402537264402965</v>
      </c>
      <c r="O31" s="238">
        <v>100</v>
      </c>
      <c r="P31" s="84">
        <v>65.2</v>
      </c>
      <c r="Q31" s="84">
        <v>50.8</v>
      </c>
      <c r="R31" s="84">
        <f>(P31/(PI()*(O31/2)^2))*1000</f>
        <v>8.3015218316732611</v>
      </c>
      <c r="S31" s="937">
        <f>(Q31/(PI()*(O31/2)^2))*1000</f>
        <v>6.468056887254626</v>
      </c>
      <c r="U31" t="s">
        <v>619</v>
      </c>
    </row>
    <row r="32" spans="1:26" x14ac:dyDescent="0.2">
      <c r="A32" s="138" t="s">
        <v>614</v>
      </c>
      <c r="B32" s="138">
        <f>INTERCEPT(E17:E21,B17:B21)</f>
        <v>5680.2722376117763</v>
      </c>
      <c r="O32" s="238">
        <v>120</v>
      </c>
      <c r="P32" s="84">
        <v>106.2</v>
      </c>
      <c r="Q32" s="84">
        <v>76.599999999999994</v>
      </c>
      <c r="R32" s="84">
        <f>(P32/(PI()*(O32/2)^2))*1000</f>
        <v>9.3901416424218258</v>
      </c>
      <c r="S32" s="937">
        <f>(Q32/(PI()*(O32/2)^2))*1000</f>
        <v>6.7729270226884353</v>
      </c>
    </row>
    <row r="33" spans="15:47" ht="13.5" thickBot="1" x14ac:dyDescent="0.25">
      <c r="O33" s="242">
        <v>130</v>
      </c>
      <c r="P33" s="942">
        <v>132.30000000000001</v>
      </c>
      <c r="Q33" s="942">
        <v>92.3</v>
      </c>
      <c r="R33" s="942">
        <f>(P33/(PI()*(O33/2)^2))*1000</f>
        <v>9.9674314655894705</v>
      </c>
      <c r="S33" s="943">
        <f>(Q33/(PI()*(O33/2)^2))*1000</f>
        <v>6.9538467443228118</v>
      </c>
    </row>
    <row r="36" spans="15:47" ht="13.5" thickBot="1" x14ac:dyDescent="0.25">
      <c r="O36" t="s">
        <v>549</v>
      </c>
    </row>
    <row r="37" spans="15:47" ht="14.25" thickTop="1" thickBot="1" x14ac:dyDescent="0.25">
      <c r="O37" s="386" t="s">
        <v>578</v>
      </c>
      <c r="P37" s="272" t="s">
        <v>577</v>
      </c>
      <c r="Q37" s="272"/>
      <c r="R37" s="272"/>
      <c r="S37" s="272"/>
      <c r="T37" s="272" t="s">
        <v>550</v>
      </c>
      <c r="U37" s="272"/>
      <c r="V37" s="272"/>
      <c r="W37" s="272" t="s">
        <v>551</v>
      </c>
      <c r="X37" s="272"/>
      <c r="Y37" s="272" t="s">
        <v>552</v>
      </c>
      <c r="Z37" s="272"/>
      <c r="AA37" s="272"/>
      <c r="AB37" s="387"/>
    </row>
    <row r="38" spans="15:47" ht="13.5" thickTop="1" x14ac:dyDescent="0.2">
      <c r="O38" s="388" t="s">
        <v>553</v>
      </c>
      <c r="P38" s="36">
        <v>2.2999999999999998</v>
      </c>
      <c r="Q38" s="37"/>
      <c r="R38" s="37"/>
      <c r="S38" s="37"/>
      <c r="T38" s="37">
        <v>2.2999999999999998</v>
      </c>
      <c r="U38" s="37"/>
      <c r="V38" s="37"/>
      <c r="W38" s="37">
        <v>3.6</v>
      </c>
      <c r="X38" s="37"/>
      <c r="Y38" s="37">
        <v>1.3</v>
      </c>
      <c r="Z38" s="37"/>
      <c r="AA38" s="37"/>
      <c r="AB38" s="38"/>
    </row>
    <row r="39" spans="15:47" x14ac:dyDescent="0.2">
      <c r="O39" s="389" t="s">
        <v>88</v>
      </c>
      <c r="P39" s="30">
        <v>93</v>
      </c>
      <c r="Q39" s="31"/>
      <c r="R39" s="31"/>
      <c r="S39" s="31"/>
      <c r="T39" s="31">
        <v>82.4</v>
      </c>
      <c r="U39" s="31"/>
      <c r="V39" s="31"/>
      <c r="W39" s="31">
        <v>107</v>
      </c>
      <c r="X39" s="31"/>
      <c r="Y39" s="31">
        <v>62</v>
      </c>
      <c r="Z39" s="31"/>
      <c r="AA39" s="31"/>
      <c r="AB39" s="32"/>
    </row>
    <row r="40" spans="15:47" x14ac:dyDescent="0.2">
      <c r="O40" s="389" t="s">
        <v>52</v>
      </c>
      <c r="P40" s="30">
        <v>70</v>
      </c>
      <c r="Q40" s="31">
        <v>80</v>
      </c>
      <c r="R40" s="31">
        <v>60</v>
      </c>
      <c r="S40" s="31">
        <v>60</v>
      </c>
      <c r="T40" s="31">
        <v>80</v>
      </c>
      <c r="U40" s="31">
        <v>60</v>
      </c>
      <c r="V40" s="31">
        <v>60</v>
      </c>
      <c r="W40" s="31">
        <v>80</v>
      </c>
      <c r="X40" s="31">
        <v>100</v>
      </c>
      <c r="Y40" s="31">
        <v>45</v>
      </c>
      <c r="Z40" s="31">
        <v>49</v>
      </c>
      <c r="AA40" s="31">
        <v>60</v>
      </c>
      <c r="AB40" s="32">
        <v>68</v>
      </c>
    </row>
    <row r="41" spans="15:47" x14ac:dyDescent="0.2">
      <c r="O41" s="389" t="s">
        <v>554</v>
      </c>
      <c r="P41" s="30">
        <v>134</v>
      </c>
      <c r="Q41" s="31">
        <v>162</v>
      </c>
      <c r="R41" s="31">
        <v>81</v>
      </c>
      <c r="S41" s="31">
        <v>98</v>
      </c>
      <c r="T41" s="31">
        <v>158</v>
      </c>
      <c r="U41" s="31">
        <v>81</v>
      </c>
      <c r="V41" s="31">
        <v>98</v>
      </c>
      <c r="W41" s="31">
        <v>250</v>
      </c>
      <c r="X41" s="31">
        <v>350</v>
      </c>
      <c r="Y41" s="31">
        <v>48</v>
      </c>
      <c r="Z41" s="31">
        <v>54</v>
      </c>
      <c r="AA41" s="31">
        <v>75</v>
      </c>
      <c r="AB41" s="32">
        <v>94</v>
      </c>
    </row>
    <row r="42" spans="15:47" x14ac:dyDescent="0.2">
      <c r="O42" s="389" t="s">
        <v>555</v>
      </c>
      <c r="P42" s="30">
        <v>60</v>
      </c>
      <c r="Q42" s="31"/>
      <c r="R42" s="31"/>
      <c r="S42" s="31"/>
      <c r="T42" s="31">
        <v>54</v>
      </c>
      <c r="U42" s="31"/>
      <c r="V42" s="31"/>
      <c r="W42" s="31">
        <v>95</v>
      </c>
      <c r="X42" s="31"/>
      <c r="Y42" s="31">
        <v>30</v>
      </c>
      <c r="Z42" s="31"/>
      <c r="AA42" s="31"/>
      <c r="AB42" s="32"/>
    </row>
    <row r="43" spans="15:47" x14ac:dyDescent="0.2">
      <c r="O43" s="932" t="s">
        <v>1202</v>
      </c>
      <c r="P43" s="952">
        <f>(P42/(PI()*(P39/2)^2))*1000</f>
        <v>8.83274051151691</v>
      </c>
      <c r="Q43" s="199"/>
      <c r="R43" s="199"/>
      <c r="S43" s="199"/>
      <c r="T43" s="84">
        <f>(T42/(PI()*(T39/2)^2))*1000</f>
        <v>10.12626888368643</v>
      </c>
      <c r="U43" s="199"/>
      <c r="V43" s="199"/>
      <c r="W43" s="84">
        <f>(W42/(PI()*(W39/2)^2))*1000</f>
        <v>10.564918923036112</v>
      </c>
      <c r="X43" s="199"/>
      <c r="Y43" s="84">
        <f>(Y42/(PI()*(Y39/2)^2))*1000</f>
        <v>9.9368330754565246</v>
      </c>
      <c r="Z43" s="199"/>
      <c r="AA43" s="199"/>
      <c r="AB43" s="200"/>
    </row>
    <row r="44" spans="15:47" x14ac:dyDescent="0.2">
      <c r="O44" s="932" t="s">
        <v>1205</v>
      </c>
      <c r="P44" s="931">
        <f>(P38/(PI()*(P39/2)^2))*1000^2</f>
        <v>338.58838627481487</v>
      </c>
      <c r="Q44" s="199"/>
      <c r="R44" s="199"/>
      <c r="S44" s="199"/>
      <c r="T44" s="931">
        <f>(T38/(PI()*(T39/2)^2))*1000^2</f>
        <v>431.30404504590348</v>
      </c>
      <c r="U44" s="199"/>
      <c r="V44" s="199"/>
      <c r="W44" s="931">
        <f>(W38/(PI()*(W39/2)^2))*1000^2</f>
        <v>400.35482234663164</v>
      </c>
      <c r="X44" s="199"/>
      <c r="Y44" s="931">
        <f>(Y38/(PI()*(Y39/2)^2))*1000^2</f>
        <v>430.59609993644943</v>
      </c>
      <c r="Z44" s="199"/>
      <c r="AA44" s="199"/>
      <c r="AB44" s="200"/>
    </row>
    <row r="45" spans="15:47" ht="13.5" thickBot="1" x14ac:dyDescent="0.25">
      <c r="O45" s="390" t="s">
        <v>556</v>
      </c>
      <c r="P45" s="33">
        <v>60</v>
      </c>
      <c r="Q45" s="34"/>
      <c r="R45" s="34"/>
      <c r="S45" s="34"/>
      <c r="T45" s="34">
        <v>82</v>
      </c>
      <c r="U45" s="34"/>
      <c r="V45" s="34"/>
      <c r="W45" s="34">
        <v>125</v>
      </c>
      <c r="X45" s="34"/>
      <c r="Y45" s="34">
        <v>47</v>
      </c>
      <c r="Z45" s="34"/>
      <c r="AA45" s="34"/>
      <c r="AB45" s="35"/>
    </row>
    <row r="46" spans="15:47" ht="13.5" thickTop="1" x14ac:dyDescent="0.2"/>
    <row r="48" spans="15:47" ht="13.5" thickBot="1" x14ac:dyDescent="0.25">
      <c r="O48" s="39" t="s">
        <v>569</v>
      </c>
      <c r="AT48">
        <v>170</v>
      </c>
      <c r="AU48">
        <v>10</v>
      </c>
    </row>
    <row r="49" spans="15:46" ht="14.25" thickTop="1" thickBot="1" x14ac:dyDescent="0.25">
      <c r="O49" s="386" t="s">
        <v>558</v>
      </c>
      <c r="P49" s="272" t="s">
        <v>559</v>
      </c>
      <c r="Q49" s="272"/>
      <c r="R49" s="272"/>
      <c r="S49" s="272"/>
      <c r="T49" s="272" t="s">
        <v>560</v>
      </c>
      <c r="U49" s="272"/>
      <c r="V49" s="272"/>
      <c r="W49" s="272"/>
      <c r="X49" s="272" t="s">
        <v>561</v>
      </c>
      <c r="Y49" s="272" t="s">
        <v>561</v>
      </c>
      <c r="Z49" s="272"/>
      <c r="AA49" s="272"/>
      <c r="AB49" s="272"/>
      <c r="AC49" s="272" t="s">
        <v>562</v>
      </c>
      <c r="AD49" s="387" t="s">
        <v>563</v>
      </c>
      <c r="AT49" s="937">
        <f>(AU48/(PI()*(AT48/2)^2))*1000^2</f>
        <v>440.56731651735737</v>
      </c>
    </row>
    <row r="50" spans="15:46" ht="13.5" thickTop="1" x14ac:dyDescent="0.2">
      <c r="O50" s="829" t="s">
        <v>553</v>
      </c>
      <c r="P50" s="939">
        <v>2</v>
      </c>
      <c r="Q50" s="205"/>
      <c r="R50" s="205"/>
      <c r="S50" s="205"/>
      <c r="T50" s="205">
        <v>1.65</v>
      </c>
      <c r="U50" s="205"/>
      <c r="V50" s="205"/>
      <c r="W50" s="205"/>
      <c r="X50" s="205">
        <v>1.8</v>
      </c>
      <c r="Y50" s="205">
        <v>3</v>
      </c>
      <c r="Z50" s="205"/>
      <c r="AA50" s="205"/>
      <c r="AB50" s="205"/>
      <c r="AC50" s="205">
        <v>2.75</v>
      </c>
      <c r="AD50" s="941">
        <v>4.5</v>
      </c>
    </row>
    <row r="51" spans="15:46" x14ac:dyDescent="0.2">
      <c r="O51" s="830" t="s">
        <v>88</v>
      </c>
      <c r="P51" s="238">
        <v>80</v>
      </c>
      <c r="Q51" s="31"/>
      <c r="R51" s="31"/>
      <c r="S51" s="31"/>
      <c r="T51" s="31">
        <v>82</v>
      </c>
      <c r="U51" s="31"/>
      <c r="V51" s="31"/>
      <c r="W51" s="31"/>
      <c r="X51" s="31">
        <v>90</v>
      </c>
      <c r="Y51" s="31">
        <v>90</v>
      </c>
      <c r="Z51" s="31"/>
      <c r="AA51" s="31"/>
      <c r="AB51" s="31"/>
      <c r="AC51" s="31">
        <v>100</v>
      </c>
      <c r="AD51" s="239">
        <v>120</v>
      </c>
    </row>
    <row r="52" spans="15:46" x14ac:dyDescent="0.2">
      <c r="O52" s="830" t="s">
        <v>564</v>
      </c>
      <c r="P52" s="238">
        <v>60</v>
      </c>
      <c r="Q52" s="31">
        <v>67</v>
      </c>
      <c r="R52" s="31">
        <v>78</v>
      </c>
      <c r="S52" s="31">
        <v>100</v>
      </c>
      <c r="T52" s="31">
        <v>59</v>
      </c>
      <c r="U52" s="31">
        <v>68.5</v>
      </c>
      <c r="V52" s="31">
        <v>70</v>
      </c>
      <c r="W52" s="31">
        <v>78</v>
      </c>
      <c r="X52" s="31">
        <v>80</v>
      </c>
      <c r="Y52" s="31">
        <v>65</v>
      </c>
      <c r="Z52" s="31">
        <v>80</v>
      </c>
      <c r="AA52" s="31">
        <v>90</v>
      </c>
      <c r="AB52" s="31">
        <v>105</v>
      </c>
      <c r="AC52" s="31">
        <v>100</v>
      </c>
      <c r="AD52" s="239">
        <v>90</v>
      </c>
    </row>
    <row r="53" spans="15:46" x14ac:dyDescent="0.2">
      <c r="O53" s="830" t="s">
        <v>565</v>
      </c>
      <c r="P53" s="238">
        <v>125</v>
      </c>
      <c r="Q53" s="31">
        <v>145</v>
      </c>
      <c r="R53" s="31">
        <v>200</v>
      </c>
      <c r="S53" s="31">
        <v>225</v>
      </c>
      <c r="T53" s="31"/>
      <c r="U53" s="31"/>
      <c r="V53" s="31"/>
      <c r="W53" s="31"/>
      <c r="X53" s="31">
        <v>150</v>
      </c>
      <c r="Y53" s="31"/>
      <c r="Z53" s="31"/>
      <c r="AA53" s="31">
        <v>170</v>
      </c>
      <c r="AB53" s="31">
        <v>285</v>
      </c>
      <c r="AC53" s="31"/>
      <c r="AD53" s="239">
        <v>220</v>
      </c>
    </row>
    <row r="54" spans="15:46" x14ac:dyDescent="0.2">
      <c r="O54" s="830" t="s">
        <v>566</v>
      </c>
      <c r="P54" s="238">
        <v>130</v>
      </c>
      <c r="Q54" s="31">
        <v>160</v>
      </c>
      <c r="R54" s="31">
        <v>205</v>
      </c>
      <c r="S54" s="31"/>
      <c r="T54" s="31"/>
      <c r="U54" s="31"/>
      <c r="V54" s="31"/>
      <c r="W54" s="31"/>
      <c r="X54" s="31"/>
      <c r="Y54" s="31">
        <v>100</v>
      </c>
      <c r="Z54" s="31">
        <v>160</v>
      </c>
      <c r="AA54" s="31"/>
      <c r="AB54" s="31"/>
      <c r="AC54" s="31"/>
      <c r="AD54" s="239"/>
    </row>
    <row r="55" spans="15:46" x14ac:dyDescent="0.2">
      <c r="O55" s="830" t="s">
        <v>567</v>
      </c>
      <c r="P55" s="238"/>
      <c r="Q55" s="31"/>
      <c r="R55" s="31"/>
      <c r="S55" s="31"/>
      <c r="T55" s="31">
        <v>72</v>
      </c>
      <c r="U55" s="31">
        <v>103</v>
      </c>
      <c r="V55" s="31">
        <v>106</v>
      </c>
      <c r="W55" s="31">
        <v>127</v>
      </c>
      <c r="X55" s="31"/>
      <c r="Y55" s="31"/>
      <c r="Z55" s="31"/>
      <c r="AA55" s="31"/>
      <c r="AB55" s="31"/>
      <c r="AC55" s="31"/>
      <c r="AD55" s="239"/>
    </row>
    <row r="56" spans="15:46" x14ac:dyDescent="0.2">
      <c r="O56" s="830" t="s">
        <v>555</v>
      </c>
      <c r="P56" s="238">
        <v>37</v>
      </c>
      <c r="Q56" s="31"/>
      <c r="R56" s="31"/>
      <c r="S56" s="31"/>
      <c r="T56" s="31">
        <v>43</v>
      </c>
      <c r="U56" s="31"/>
      <c r="V56" s="31"/>
      <c r="W56" s="31"/>
      <c r="X56" s="31">
        <v>38</v>
      </c>
      <c r="Y56" s="31">
        <v>41</v>
      </c>
      <c r="Z56" s="31"/>
      <c r="AA56" s="31"/>
      <c r="AB56" s="31"/>
      <c r="AC56" s="31">
        <v>44</v>
      </c>
      <c r="AD56" s="239">
        <v>75</v>
      </c>
    </row>
    <row r="57" spans="15:46" x14ac:dyDescent="0.2">
      <c r="O57" s="938" t="s">
        <v>1202</v>
      </c>
      <c r="P57" s="936">
        <f>(P56/(PI()*(P51/2)^2))*1000</f>
        <v>7.3609161180001594</v>
      </c>
      <c r="Q57" s="31"/>
      <c r="R57" s="31"/>
      <c r="S57" s="31"/>
      <c r="T57" s="84">
        <f>(T56/(PI()*(T51/2)^2))*1000</f>
        <v>8.1423706757305183</v>
      </c>
      <c r="U57" s="31"/>
      <c r="V57" s="31"/>
      <c r="W57" s="31"/>
      <c r="X57" s="84">
        <f>(X56/(PI()*(X51/2)^2))*1000</f>
        <v>5.9732225555476779</v>
      </c>
      <c r="Y57" s="84">
        <f>(Y56/(PI()*(Y51/2)^2))*1000</f>
        <v>6.4447927573014416</v>
      </c>
      <c r="Z57" s="31"/>
      <c r="AA57" s="31"/>
      <c r="AB57" s="31"/>
      <c r="AC57" s="84">
        <f>(AC56/(PI()*(AC51/2)^2))*1000</f>
        <v>5.6022539968347163</v>
      </c>
      <c r="AD57" s="937">
        <f>(AD56/(PI()*(AD51/2)^2))*1000</f>
        <v>6.6314559621623062</v>
      </c>
    </row>
    <row r="58" spans="15:46" x14ac:dyDescent="0.2">
      <c r="O58" s="938" t="s">
        <v>1205</v>
      </c>
      <c r="P58" s="936">
        <f>(P50/(PI()*(P51/2)^2))*1000^2</f>
        <v>397.88735772973831</v>
      </c>
      <c r="Q58" s="31"/>
      <c r="R58" s="31"/>
      <c r="S58" s="31"/>
      <c r="T58" s="84">
        <f>(T50/(PI()*(T51/2)^2))*1000^2</f>
        <v>312.43980499896173</v>
      </c>
      <c r="U58" s="31"/>
      <c r="V58" s="31"/>
      <c r="W58" s="31"/>
      <c r="X58" s="84">
        <f>(X50/(PI()*(X51/2)^2))*1000^2</f>
        <v>282.94212105225841</v>
      </c>
      <c r="Y58" s="84">
        <f>(Y50/(PI()*(Y51/2)^2))*1000^2</f>
        <v>471.57020175376402</v>
      </c>
      <c r="Z58" s="31"/>
      <c r="AA58" s="31"/>
      <c r="AB58" s="31"/>
      <c r="AC58" s="84">
        <f>(AC50/(PI()*(AC51/2)^2))*1000^2</f>
        <v>350.14087480216978</v>
      </c>
      <c r="AD58" s="937">
        <f>(AD50/(PI()*(AD51/2)^2))*1000^2</f>
        <v>397.88735772973831</v>
      </c>
    </row>
    <row r="59" spans="15:46" ht="13.5" thickBot="1" x14ac:dyDescent="0.25">
      <c r="O59" s="831" t="s">
        <v>568</v>
      </c>
      <c r="P59" s="242">
        <v>67</v>
      </c>
      <c r="Q59" s="243"/>
      <c r="R59" s="243"/>
      <c r="S59" s="243"/>
      <c r="T59" s="243">
        <v>52</v>
      </c>
      <c r="U59" s="243"/>
      <c r="V59" s="243"/>
      <c r="W59" s="243"/>
      <c r="X59" s="243">
        <v>68</v>
      </c>
      <c r="Y59" s="243">
        <v>70</v>
      </c>
      <c r="Z59" s="243"/>
      <c r="AA59" s="243"/>
      <c r="AB59" s="243"/>
      <c r="AC59" s="243">
        <v>70</v>
      </c>
      <c r="AD59" s="244">
        <v>145</v>
      </c>
    </row>
    <row r="60" spans="15:46" ht="13.5" thickTop="1" x14ac:dyDescent="0.2"/>
    <row r="62" spans="15:46" ht="13.5" thickBot="1" x14ac:dyDescent="0.25">
      <c r="O62" s="394" t="s">
        <v>581</v>
      </c>
    </row>
    <row r="63" spans="15:46" ht="13.5" thickTop="1" x14ac:dyDescent="0.2">
      <c r="O63" s="391" t="s">
        <v>553</v>
      </c>
      <c r="P63" s="177">
        <v>2.5</v>
      </c>
      <c r="Q63" s="38"/>
    </row>
    <row r="64" spans="15:46" x14ac:dyDescent="0.2">
      <c r="O64" s="392" t="s">
        <v>88</v>
      </c>
      <c r="P64" s="154">
        <v>93</v>
      </c>
      <c r="Q64" s="32"/>
    </row>
    <row r="65" spans="15:22" x14ac:dyDescent="0.2">
      <c r="O65" s="392" t="s">
        <v>564</v>
      </c>
      <c r="P65" s="154">
        <v>80</v>
      </c>
      <c r="Q65" s="32">
        <v>73.5</v>
      </c>
    </row>
    <row r="66" spans="15:22" x14ac:dyDescent="0.2">
      <c r="O66" s="392" t="s">
        <v>582</v>
      </c>
      <c r="P66" s="154">
        <v>204</v>
      </c>
      <c r="Q66" s="32">
        <v>181.5</v>
      </c>
    </row>
    <row r="67" spans="15:22" x14ac:dyDescent="0.2">
      <c r="O67" s="392" t="s">
        <v>555</v>
      </c>
      <c r="P67" s="154">
        <v>53.593000000000004</v>
      </c>
      <c r="Q67" s="32"/>
    </row>
    <row r="68" spans="15:22" x14ac:dyDescent="0.2">
      <c r="O68" s="932" t="s">
        <v>1202</v>
      </c>
      <c r="P68" s="952">
        <f>(P67/(PI()*(P64/2)^2))*1000</f>
        <v>7.8895510372287632</v>
      </c>
      <c r="Q68" s="32"/>
    </row>
    <row r="69" spans="15:22" x14ac:dyDescent="0.2">
      <c r="O69" s="932" t="s">
        <v>1205</v>
      </c>
      <c r="P69" s="931">
        <f>(P63/(PI()*(P64/2)^2))*1000^2</f>
        <v>368.03085464653799</v>
      </c>
      <c r="Q69" s="200"/>
    </row>
    <row r="70" spans="15:22" ht="13.5" thickBot="1" x14ac:dyDescent="0.25">
      <c r="O70" s="393" t="s">
        <v>526</v>
      </c>
      <c r="P70" s="157">
        <v>70.555999999999997</v>
      </c>
      <c r="Q70" s="35"/>
    </row>
    <row r="71" spans="15:22" ht="13.5" thickTop="1" x14ac:dyDescent="0.2"/>
    <row r="72" spans="15:22" ht="13.5" thickBot="1" x14ac:dyDescent="0.25">
      <c r="O72" t="s">
        <v>130</v>
      </c>
    </row>
    <row r="73" spans="15:22" x14ac:dyDescent="0.2">
      <c r="O73" s="60" t="s">
        <v>603</v>
      </c>
      <c r="P73" s="933" t="s">
        <v>409</v>
      </c>
      <c r="Q73" s="934"/>
      <c r="R73" s="934"/>
      <c r="S73" s="935"/>
      <c r="T73" s="933" t="s">
        <v>604</v>
      </c>
      <c r="U73" s="934"/>
      <c r="V73" s="935"/>
    </row>
    <row r="74" spans="15:22" x14ac:dyDescent="0.2">
      <c r="O74" s="60" t="s">
        <v>553</v>
      </c>
      <c r="P74" s="238">
        <v>0.75</v>
      </c>
      <c r="Q74" s="31">
        <v>1.5</v>
      </c>
      <c r="R74" s="31">
        <v>3</v>
      </c>
      <c r="S74" s="239">
        <v>5</v>
      </c>
      <c r="T74" s="238">
        <v>0.75</v>
      </c>
      <c r="U74" s="31">
        <v>1.5</v>
      </c>
      <c r="V74" s="239">
        <v>3</v>
      </c>
    </row>
    <row r="75" spans="15:22" x14ac:dyDescent="0.2">
      <c r="O75" s="60" t="s">
        <v>88</v>
      </c>
      <c r="P75" s="238">
        <v>50</v>
      </c>
      <c r="Q75" s="31">
        <v>70</v>
      </c>
      <c r="R75" s="31">
        <v>99</v>
      </c>
      <c r="S75" s="239">
        <v>128</v>
      </c>
      <c r="T75" s="238">
        <v>50</v>
      </c>
      <c r="U75" s="31">
        <v>70</v>
      </c>
      <c r="V75" s="239">
        <v>99</v>
      </c>
    </row>
    <row r="76" spans="15:22" x14ac:dyDescent="0.2">
      <c r="O76" s="60" t="s">
        <v>564</v>
      </c>
      <c r="P76" s="238">
        <v>60</v>
      </c>
      <c r="Q76" s="31">
        <v>84</v>
      </c>
      <c r="R76" s="31">
        <v>119</v>
      </c>
      <c r="S76" s="239">
        <v>154</v>
      </c>
      <c r="T76" s="238">
        <v>60</v>
      </c>
      <c r="U76" s="31">
        <v>84</v>
      </c>
      <c r="V76" s="239">
        <v>119</v>
      </c>
    </row>
    <row r="77" spans="15:22" x14ac:dyDescent="0.2">
      <c r="O77" s="60" t="s">
        <v>554</v>
      </c>
      <c r="P77" s="238">
        <v>46.44</v>
      </c>
      <c r="Q77" s="31">
        <v>122.52200000000001</v>
      </c>
      <c r="R77" s="31">
        <v>367.61</v>
      </c>
      <c r="S77" s="239">
        <v>784.101</v>
      </c>
      <c r="T77" s="238">
        <v>29.053999999999998</v>
      </c>
      <c r="U77" s="31">
        <v>94.869</v>
      </c>
      <c r="V77" s="239">
        <v>246.99199999999999</v>
      </c>
    </row>
    <row r="78" spans="15:22" x14ac:dyDescent="0.2">
      <c r="O78" s="60" t="s">
        <v>555</v>
      </c>
      <c r="P78" s="238">
        <v>12.381</v>
      </c>
      <c r="Q78" s="31">
        <v>32.015999999999998</v>
      </c>
      <c r="R78" s="31">
        <v>101.319</v>
      </c>
      <c r="S78" s="239">
        <v>209.40700000000001</v>
      </c>
      <c r="T78" s="238">
        <v>6.0629999999999997</v>
      </c>
      <c r="U78" s="31">
        <v>17.882000000000001</v>
      </c>
      <c r="V78" s="239">
        <v>49.497999999999998</v>
      </c>
    </row>
    <row r="79" spans="15:22" x14ac:dyDescent="0.2">
      <c r="O79" s="60" t="s">
        <v>1202</v>
      </c>
      <c r="P79" s="936">
        <f t="shared" ref="P79:V79" si="1">(P78/(PI()*(P75/2)^2))*1000</f>
        <v>6.30559152134642</v>
      </c>
      <c r="Q79" s="84">
        <f t="shared" si="1"/>
        <v>8.3191912784165236</v>
      </c>
      <c r="R79" s="84">
        <f t="shared" si="1"/>
        <v>13.162264813082539</v>
      </c>
      <c r="S79" s="937">
        <f t="shared" si="1"/>
        <v>16.273515218771742</v>
      </c>
      <c r="T79" s="936">
        <f t="shared" si="1"/>
        <v>3.0878605438917166</v>
      </c>
      <c r="U79" s="84">
        <f t="shared" si="1"/>
        <v>4.6465448038682</v>
      </c>
      <c r="V79" s="937">
        <f t="shared" si="1"/>
        <v>6.4302429328947133</v>
      </c>
    </row>
    <row r="80" spans="15:22" x14ac:dyDescent="0.2">
      <c r="O80" s="275" t="s">
        <v>1205</v>
      </c>
      <c r="P80" s="936">
        <f t="shared" ref="P80:V80" si="2">(P74/(PI()*(P75/2)^2))*1000^2</f>
        <v>381.9718634205488</v>
      </c>
      <c r="Q80" s="84">
        <f t="shared" si="2"/>
        <v>389.76720757198859</v>
      </c>
      <c r="R80" s="84">
        <f t="shared" si="2"/>
        <v>389.72743946592067</v>
      </c>
      <c r="S80" s="937">
        <f t="shared" si="2"/>
        <v>388.56187278294766</v>
      </c>
      <c r="T80" s="936">
        <f t="shared" si="2"/>
        <v>381.9718634205488</v>
      </c>
      <c r="U80" s="84">
        <f t="shared" si="2"/>
        <v>389.76720757198859</v>
      </c>
      <c r="V80" s="937">
        <f t="shared" si="2"/>
        <v>389.72743946592067</v>
      </c>
    </row>
    <row r="81" spans="15:32" ht="13.5" thickBot="1" x14ac:dyDescent="0.25">
      <c r="O81" s="60" t="s">
        <v>526</v>
      </c>
      <c r="P81" s="242">
        <v>20.905000000000001</v>
      </c>
      <c r="Q81" s="243">
        <v>52.838999999999999</v>
      </c>
      <c r="R81" s="243">
        <v>132.59800000000001</v>
      </c>
      <c r="S81" s="244">
        <v>270.66899999999998</v>
      </c>
      <c r="T81" s="242">
        <v>19.143000000000001</v>
      </c>
      <c r="U81" s="243">
        <v>45.917000000000002</v>
      </c>
      <c r="V81" s="244">
        <v>111.86799999999999</v>
      </c>
    </row>
    <row r="84" spans="15:32" ht="13.5" thickBot="1" x14ac:dyDescent="0.25">
      <c r="O84" s="60" t="s">
        <v>162</v>
      </c>
    </row>
    <row r="85" spans="15:32" ht="14.25" thickTop="1" thickBot="1" x14ac:dyDescent="0.25">
      <c r="O85" s="386" t="s">
        <v>145</v>
      </c>
      <c r="P85" s="832" t="s">
        <v>146</v>
      </c>
      <c r="Q85" s="272"/>
      <c r="R85" s="272"/>
      <c r="S85" s="387"/>
      <c r="T85" s="832" t="s">
        <v>147</v>
      </c>
      <c r="U85" s="272"/>
      <c r="V85" s="272"/>
      <c r="W85" s="387"/>
      <c r="X85" s="832" t="s">
        <v>148</v>
      </c>
      <c r="Y85" s="272"/>
      <c r="Z85" s="272"/>
      <c r="AA85" s="387"/>
      <c r="AB85" s="832" t="s">
        <v>149</v>
      </c>
      <c r="AC85" s="387"/>
      <c r="AD85" s="832" t="s">
        <v>150</v>
      </c>
      <c r="AE85" s="272"/>
      <c r="AF85" s="387"/>
    </row>
    <row r="86" spans="15:32" ht="13.5" thickTop="1" x14ac:dyDescent="0.2">
      <c r="O86" s="829" t="s">
        <v>553</v>
      </c>
      <c r="P86" s="36">
        <v>0.85</v>
      </c>
      <c r="Q86" s="37"/>
      <c r="R86" s="37"/>
      <c r="S86" s="38"/>
      <c r="T86" s="36">
        <v>0.85</v>
      </c>
      <c r="U86" s="37"/>
      <c r="V86" s="37"/>
      <c r="W86" s="38"/>
      <c r="X86" s="36">
        <v>2</v>
      </c>
      <c r="Y86" s="37"/>
      <c r="Z86" s="37"/>
      <c r="AA86" s="38"/>
      <c r="AB86" s="36">
        <v>2</v>
      </c>
      <c r="AC86" s="38"/>
      <c r="AD86" s="36">
        <v>2</v>
      </c>
      <c r="AE86" s="37"/>
      <c r="AF86" s="38"/>
    </row>
    <row r="87" spans="15:32" x14ac:dyDescent="0.2">
      <c r="O87" s="830" t="s">
        <v>88</v>
      </c>
      <c r="P87" s="30">
        <v>52</v>
      </c>
      <c r="Q87" s="31"/>
      <c r="R87" s="31"/>
      <c r="S87" s="32"/>
      <c r="T87" s="30">
        <v>58</v>
      </c>
      <c r="U87" s="31"/>
      <c r="V87" s="31"/>
      <c r="W87" s="32"/>
      <c r="X87" s="30">
        <v>80</v>
      </c>
      <c r="Y87" s="31"/>
      <c r="Z87" s="31"/>
      <c r="AA87" s="32"/>
      <c r="AB87" s="30">
        <v>83</v>
      </c>
      <c r="AC87" s="32"/>
      <c r="AD87" s="30">
        <v>87</v>
      </c>
      <c r="AE87" s="31"/>
      <c r="AF87" s="32"/>
    </row>
    <row r="88" spans="15:32" x14ac:dyDescent="0.2">
      <c r="O88" s="830" t="s">
        <v>52</v>
      </c>
      <c r="P88" s="30">
        <v>49</v>
      </c>
      <c r="Q88" s="31">
        <v>55</v>
      </c>
      <c r="R88" s="31">
        <v>65</v>
      </c>
      <c r="S88" s="32">
        <v>74</v>
      </c>
      <c r="T88" s="30">
        <v>55</v>
      </c>
      <c r="U88" s="31">
        <v>60</v>
      </c>
      <c r="V88" s="31">
        <v>65</v>
      </c>
      <c r="W88" s="32">
        <v>71</v>
      </c>
      <c r="X88" s="30">
        <v>60</v>
      </c>
      <c r="Y88" s="31">
        <v>67</v>
      </c>
      <c r="Z88" s="31">
        <v>78</v>
      </c>
      <c r="AA88" s="32">
        <v>100</v>
      </c>
      <c r="AB88" s="30">
        <v>67</v>
      </c>
      <c r="AC88" s="32">
        <v>78</v>
      </c>
      <c r="AD88" s="30">
        <v>67</v>
      </c>
      <c r="AE88" s="31">
        <v>78</v>
      </c>
      <c r="AF88" s="32">
        <v>100</v>
      </c>
    </row>
    <row r="89" spans="15:32" x14ac:dyDescent="0.2">
      <c r="O89" s="830" t="s">
        <v>554</v>
      </c>
      <c r="P89" s="30">
        <v>53</v>
      </c>
      <c r="Q89" s="31">
        <v>62</v>
      </c>
      <c r="R89" s="31">
        <v>79</v>
      </c>
      <c r="S89" s="32">
        <v>91</v>
      </c>
      <c r="T89" s="30">
        <v>52</v>
      </c>
      <c r="U89" s="31">
        <v>62</v>
      </c>
      <c r="V89" s="31">
        <v>79</v>
      </c>
      <c r="W89" s="32">
        <v>86</v>
      </c>
      <c r="X89" s="30">
        <v>127</v>
      </c>
      <c r="Y89" s="31">
        <v>145</v>
      </c>
      <c r="Z89" s="31">
        <v>201</v>
      </c>
      <c r="AA89" s="32">
        <v>283</v>
      </c>
      <c r="AB89" s="30">
        <v>153</v>
      </c>
      <c r="AC89" s="32">
        <v>203</v>
      </c>
      <c r="AD89" s="30">
        <v>153</v>
      </c>
      <c r="AE89" s="31">
        <v>203</v>
      </c>
      <c r="AF89" s="32">
        <v>242</v>
      </c>
    </row>
    <row r="90" spans="15:32" x14ac:dyDescent="0.2">
      <c r="O90" s="830" t="s">
        <v>555</v>
      </c>
      <c r="P90" s="30">
        <v>10</v>
      </c>
      <c r="Q90" s="31"/>
      <c r="R90" s="31"/>
      <c r="S90" s="32"/>
      <c r="T90" s="30">
        <v>12</v>
      </c>
      <c r="U90" s="31"/>
      <c r="V90" s="31"/>
      <c r="W90" s="32"/>
      <c r="X90" s="30">
        <v>38</v>
      </c>
      <c r="Y90" s="31"/>
      <c r="Z90" s="31"/>
      <c r="AA90" s="32"/>
      <c r="AB90" s="30">
        <v>40.5</v>
      </c>
      <c r="AC90" s="32"/>
      <c r="AD90" s="30">
        <v>37</v>
      </c>
      <c r="AE90" s="31"/>
      <c r="AF90" s="32"/>
    </row>
    <row r="91" spans="15:32" x14ac:dyDescent="0.2">
      <c r="O91" s="932" t="s">
        <v>1202</v>
      </c>
      <c r="P91" s="952">
        <f>(P90/(PI()*(P87/2)^2))*1000</f>
        <v>4.708726126979152</v>
      </c>
      <c r="Q91" s="199"/>
      <c r="R91" s="199"/>
      <c r="S91" s="200"/>
      <c r="T91" s="952">
        <f>(T90/(PI()*(T87/2)^2))*1000</f>
        <v>4.5418770918020073</v>
      </c>
      <c r="U91" s="199"/>
      <c r="V91" s="199"/>
      <c r="W91" s="200"/>
      <c r="X91" s="952">
        <f>(X90/(PI()*(X87/2)^2))*1000</f>
        <v>7.5598597968650285</v>
      </c>
      <c r="Y91" s="199"/>
      <c r="Z91" s="199"/>
      <c r="AA91" s="200"/>
      <c r="AB91" s="952">
        <f>(AB90/(PI()*(AB87/2)^2))*1000</f>
        <v>7.4852956251668008</v>
      </c>
      <c r="AC91" s="200"/>
      <c r="AD91" s="952">
        <f>(AD90/(PI()*(AD87/2)^2))*1000</f>
        <v>6.2240537924694177</v>
      </c>
      <c r="AE91" s="199"/>
      <c r="AF91" s="200"/>
    </row>
    <row r="92" spans="15:32" x14ac:dyDescent="0.2">
      <c r="O92" s="932" t="s">
        <v>1205</v>
      </c>
      <c r="P92" s="931">
        <f>(P86/(PI()*(P87/2)^2))*1000^2</f>
        <v>400.2417207932279</v>
      </c>
      <c r="Q92" s="199"/>
      <c r="R92" s="199"/>
      <c r="S92" s="200"/>
      <c r="T92" s="931">
        <f>(T86/(PI()*(T87/2)^2))*1000^2</f>
        <v>321.71629400264214</v>
      </c>
      <c r="U92" s="199"/>
      <c r="V92" s="199"/>
      <c r="W92" s="200"/>
      <c r="X92" s="931">
        <f>(X86/(PI()*(X87/2)^2))*1000^2</f>
        <v>397.88735772973831</v>
      </c>
      <c r="Y92" s="199"/>
      <c r="Z92" s="199"/>
      <c r="AA92" s="200"/>
      <c r="AB92" s="931">
        <f>(AB86/(PI()*(AB87/2)^2))*1000^2</f>
        <v>369.64422840329883</v>
      </c>
      <c r="AC92" s="200"/>
      <c r="AD92" s="931">
        <f>(AD86/(PI()*(AD87/2)^2))*1000^2</f>
        <v>336.43534013348204</v>
      </c>
      <c r="AE92" s="199"/>
      <c r="AF92" s="200"/>
    </row>
    <row r="93" spans="15:32" ht="13.5" thickBot="1" x14ac:dyDescent="0.25">
      <c r="O93" s="831" t="s">
        <v>556</v>
      </c>
      <c r="P93" s="33">
        <f>33-10</f>
        <v>23</v>
      </c>
      <c r="Q93" s="34"/>
      <c r="R93" s="34"/>
      <c r="S93" s="35"/>
      <c r="T93" s="33">
        <f>35-12</f>
        <v>23</v>
      </c>
      <c r="U93" s="34"/>
      <c r="V93" s="34"/>
      <c r="W93" s="35"/>
      <c r="X93" s="33">
        <f>108-38</f>
        <v>70</v>
      </c>
      <c r="Y93" s="34"/>
      <c r="Z93" s="34"/>
      <c r="AA93" s="35"/>
      <c r="AB93" s="33">
        <f>110.5-40.5</f>
        <v>70</v>
      </c>
      <c r="AC93" s="35"/>
      <c r="AD93" s="33">
        <f>107-37</f>
        <v>70</v>
      </c>
      <c r="AE93" s="34"/>
      <c r="AF93" s="35"/>
    </row>
    <row r="94" spans="15:32" ht="13.5" thickTop="1" x14ac:dyDescent="0.2"/>
    <row r="96" spans="15:32" ht="13.5" thickBot="1" x14ac:dyDescent="0.25">
      <c r="O96" s="96"/>
      <c r="P96" s="96"/>
      <c r="Q96" s="96"/>
      <c r="R96" s="96"/>
      <c r="S96" s="96"/>
      <c r="T96" s="96"/>
      <c r="U96" s="96"/>
      <c r="V96" s="96"/>
    </row>
    <row r="97" spans="15:26" ht="14.25" thickTop="1" thickBot="1" x14ac:dyDescent="0.25">
      <c r="O97" s="947" t="s">
        <v>1177</v>
      </c>
      <c r="P97" s="903" t="s">
        <v>1178</v>
      </c>
      <c r="Q97" s="904" t="s">
        <v>231</v>
      </c>
      <c r="R97" s="904" t="s">
        <v>231</v>
      </c>
      <c r="S97" s="904" t="s">
        <v>234</v>
      </c>
      <c r="T97" s="904" t="s">
        <v>236</v>
      </c>
      <c r="U97" s="904" t="s">
        <v>238</v>
      </c>
      <c r="V97" s="273" t="s">
        <v>240</v>
      </c>
    </row>
    <row r="98" spans="15:26" x14ac:dyDescent="0.2">
      <c r="O98" s="948" t="s">
        <v>1179</v>
      </c>
      <c r="P98" s="939" t="s">
        <v>1178</v>
      </c>
      <c r="Q98" s="205" t="s">
        <v>232</v>
      </c>
      <c r="R98" s="205" t="s">
        <v>233</v>
      </c>
      <c r="S98" s="205" t="s">
        <v>235</v>
      </c>
      <c r="T98" s="205" t="s">
        <v>237</v>
      </c>
      <c r="U98" s="205" t="s">
        <v>239</v>
      </c>
      <c r="V98" s="941" t="s">
        <v>241</v>
      </c>
    </row>
    <row r="99" spans="15:26" x14ac:dyDescent="0.2">
      <c r="O99" s="949" t="s">
        <v>1180</v>
      </c>
      <c r="P99" s="238" t="s">
        <v>1181</v>
      </c>
      <c r="Q99" s="31">
        <v>5</v>
      </c>
      <c r="R99" s="31">
        <v>5</v>
      </c>
      <c r="S99" s="31">
        <v>5</v>
      </c>
      <c r="T99" s="31">
        <v>6</v>
      </c>
      <c r="U99" s="31">
        <v>5</v>
      </c>
      <c r="V99" s="239">
        <v>5</v>
      </c>
    </row>
    <row r="100" spans="15:26" x14ac:dyDescent="0.2">
      <c r="O100" s="949" t="s">
        <v>88</v>
      </c>
      <c r="P100" s="238" t="s">
        <v>1182</v>
      </c>
      <c r="Q100" s="31">
        <v>120</v>
      </c>
      <c r="R100" s="31">
        <v>128</v>
      </c>
      <c r="S100" s="31">
        <v>118</v>
      </c>
      <c r="T100" s="31">
        <v>129</v>
      </c>
      <c r="U100" s="31">
        <v>116</v>
      </c>
      <c r="V100" s="239">
        <v>126</v>
      </c>
    </row>
    <row r="101" spans="15:26" x14ac:dyDescent="0.2">
      <c r="O101" s="949" t="s">
        <v>1183</v>
      </c>
      <c r="P101" s="238" t="s">
        <v>1182</v>
      </c>
      <c r="Q101" s="31">
        <v>57</v>
      </c>
      <c r="R101" s="31">
        <v>60.8</v>
      </c>
      <c r="S101" s="31">
        <v>57</v>
      </c>
      <c r="T101" s="31">
        <v>62.7</v>
      </c>
      <c r="U101" s="834">
        <v>57</v>
      </c>
      <c r="V101" s="239">
        <v>61.5</v>
      </c>
      <c r="Y101" s="39"/>
      <c r="Z101" s="39"/>
    </row>
    <row r="102" spans="15:26" x14ac:dyDescent="0.2">
      <c r="O102" s="949" t="s">
        <v>1184</v>
      </c>
      <c r="P102" s="238" t="s">
        <v>1182</v>
      </c>
      <c r="Q102" s="31">
        <v>6</v>
      </c>
      <c r="R102" s="31">
        <v>6.4000000000000057</v>
      </c>
      <c r="S102" s="31">
        <v>4</v>
      </c>
      <c r="T102" s="31">
        <v>3.5999999999999943</v>
      </c>
      <c r="U102" s="31"/>
      <c r="V102" s="239">
        <v>3</v>
      </c>
    </row>
    <row r="103" spans="15:26" x14ac:dyDescent="0.2">
      <c r="O103" s="949" t="s">
        <v>564</v>
      </c>
      <c r="P103" s="238" t="s">
        <v>1182</v>
      </c>
      <c r="Q103" s="31">
        <v>100</v>
      </c>
      <c r="R103" s="31">
        <v>100</v>
      </c>
      <c r="S103" s="31">
        <v>80</v>
      </c>
      <c r="T103" s="31">
        <v>91.4</v>
      </c>
      <c r="U103" s="31">
        <v>85</v>
      </c>
      <c r="V103" s="940" t="s">
        <v>1186</v>
      </c>
    </row>
    <row r="104" spans="15:26" x14ac:dyDescent="0.2">
      <c r="O104" s="949" t="s">
        <v>622</v>
      </c>
      <c r="P104" s="238" t="s">
        <v>407</v>
      </c>
      <c r="Q104" s="31">
        <v>21170</v>
      </c>
      <c r="R104" s="31">
        <v>27812</v>
      </c>
      <c r="S104" s="31">
        <v>13813</v>
      </c>
      <c r="T104" s="31">
        <v>17905</v>
      </c>
      <c r="U104" s="31">
        <v>16500</v>
      </c>
      <c r="V104" s="239">
        <v>17740</v>
      </c>
    </row>
    <row r="105" spans="15:26" x14ac:dyDescent="0.2">
      <c r="O105" s="949" t="s">
        <v>620</v>
      </c>
      <c r="P105" s="238" t="s">
        <v>407</v>
      </c>
      <c r="Q105" s="31">
        <v>109345</v>
      </c>
      <c r="R105" s="31">
        <v>125970</v>
      </c>
      <c r="S105" s="31">
        <v>50000</v>
      </c>
      <c r="T105" s="31">
        <v>30000</v>
      </c>
      <c r="U105" s="31">
        <v>58200</v>
      </c>
      <c r="V105" s="239">
        <v>56780</v>
      </c>
    </row>
    <row r="106" spans="15:26" x14ac:dyDescent="0.2">
      <c r="O106" s="949" t="s">
        <v>555</v>
      </c>
      <c r="P106" s="238" t="s">
        <v>1187</v>
      </c>
      <c r="Q106" s="31">
        <v>172.85499999999999</v>
      </c>
      <c r="R106" s="31">
        <v>209.40600000000001</v>
      </c>
      <c r="S106" s="31">
        <v>91.438999999999993</v>
      </c>
      <c r="T106" s="31">
        <v>83.715000000000003</v>
      </c>
      <c r="U106" s="31">
        <v>107.7</v>
      </c>
      <c r="V106" s="239">
        <v>110</v>
      </c>
    </row>
    <row r="107" spans="15:26" x14ac:dyDescent="0.2">
      <c r="O107" s="949" t="s">
        <v>1202</v>
      </c>
      <c r="P107" s="238" t="s">
        <v>1203</v>
      </c>
      <c r="Q107" s="84">
        <f t="shared" ref="Q107:V107" si="3">(Q106/(PI()*(Q100/2)^2))*1000</f>
        <v>15.283737604527538</v>
      </c>
      <c r="R107" s="84">
        <f t="shared" si="3"/>
        <v>16.273437506397187</v>
      </c>
      <c r="S107" s="84">
        <f t="shared" si="3"/>
        <v>8.361372502947324</v>
      </c>
      <c r="T107" s="84">
        <f t="shared" si="3"/>
        <v>6.4052189464277474</v>
      </c>
      <c r="U107" s="84">
        <f t="shared" si="3"/>
        <v>10.190836724730755</v>
      </c>
      <c r="V107" s="937">
        <f t="shared" si="3"/>
        <v>8.8218915294071483</v>
      </c>
    </row>
    <row r="108" spans="15:26" x14ac:dyDescent="0.2">
      <c r="O108" s="950" t="s">
        <v>1205</v>
      </c>
      <c r="P108" s="238"/>
      <c r="Q108" s="84">
        <f t="shared" ref="Q108:V108" si="4">(Q99/(PI()*(Q100/2)^2))*1000^2</f>
        <v>442.09706414415371</v>
      </c>
      <c r="R108" s="84">
        <f t="shared" si="4"/>
        <v>388.56187278294766</v>
      </c>
      <c r="S108" s="84">
        <f t="shared" si="4"/>
        <v>457.21040819274731</v>
      </c>
      <c r="T108" s="84">
        <f t="shared" si="4"/>
        <v>459.07320884628183</v>
      </c>
      <c r="U108" s="84">
        <f t="shared" si="4"/>
        <v>473.11219706270913</v>
      </c>
      <c r="V108" s="937">
        <f t="shared" si="4"/>
        <v>400.9950695185068</v>
      </c>
    </row>
    <row r="109" spans="15:26" x14ac:dyDescent="0.2">
      <c r="O109" s="949" t="s">
        <v>526</v>
      </c>
      <c r="P109" s="238" t="s">
        <v>1187</v>
      </c>
      <c r="Q109" s="31">
        <v>246626</v>
      </c>
      <c r="R109" s="31">
        <v>270669</v>
      </c>
      <c r="S109" s="31">
        <v>250000</v>
      </c>
      <c r="T109" s="31">
        <v>187952</v>
      </c>
      <c r="U109" s="31">
        <v>194090</v>
      </c>
      <c r="V109" s="239">
        <v>240000</v>
      </c>
    </row>
    <row r="110" spans="15:26" ht="13.5" thickBot="1" x14ac:dyDescent="0.25">
      <c r="O110" s="951" t="s">
        <v>1185</v>
      </c>
      <c r="P110" s="242" t="s">
        <v>1187</v>
      </c>
      <c r="Q110" s="243">
        <v>419481</v>
      </c>
      <c r="R110" s="243">
        <v>480075</v>
      </c>
      <c r="S110" s="243">
        <v>341439</v>
      </c>
      <c r="T110" s="243">
        <v>271667</v>
      </c>
      <c r="U110" s="243">
        <v>301790</v>
      </c>
      <c r="V110" s="244">
        <v>350000</v>
      </c>
    </row>
    <row r="114" spans="15:25" x14ac:dyDescent="0.2">
      <c r="P114" s="635" t="s">
        <v>1207</v>
      </c>
      <c r="Q114" t="s">
        <v>12</v>
      </c>
      <c r="R114" t="s">
        <v>434</v>
      </c>
      <c r="S114" t="s">
        <v>445</v>
      </c>
      <c r="T114" t="s">
        <v>1195</v>
      </c>
      <c r="U114" t="s">
        <v>1208</v>
      </c>
      <c r="V114" t="s">
        <v>1204</v>
      </c>
      <c r="W114" s="635" t="s">
        <v>1205</v>
      </c>
      <c r="X114" t="s">
        <v>1192</v>
      </c>
      <c r="Y114" t="s">
        <v>1191</v>
      </c>
    </row>
    <row r="115" spans="15:25" x14ac:dyDescent="0.2">
      <c r="O115" s="1330"/>
      <c r="P115" s="635">
        <v>3.1</v>
      </c>
      <c r="Q115">
        <v>115</v>
      </c>
      <c r="R115">
        <f>Q115/2</f>
        <v>57.5</v>
      </c>
      <c r="S115">
        <f>R115^3</f>
        <v>190109.375</v>
      </c>
      <c r="T115" s="39">
        <f>PI()*(Q115/2)^2</f>
        <v>10386.890710931253</v>
      </c>
      <c r="U115">
        <v>58.502000000000002</v>
      </c>
      <c r="V115" s="931">
        <f>(U115/(PI()*(Q115/2)^2))*1000</f>
        <v>5.6322918598182605</v>
      </c>
      <c r="W115" s="931">
        <f>(5/(PI()*(Q115/2)^2))*1000^2</f>
        <v>481.37600935166836</v>
      </c>
      <c r="X115">
        <v>134.59100000000001</v>
      </c>
      <c r="Y115">
        <f>SUM(U114:X114)</f>
        <v>0</v>
      </c>
    </row>
    <row r="116" spans="15:25" x14ac:dyDescent="0.2">
      <c r="O116" s="1331"/>
      <c r="P116" s="635">
        <v>6</v>
      </c>
      <c r="Q116">
        <v>127.4</v>
      </c>
      <c r="R116">
        <f>Q116/2</f>
        <v>63.7</v>
      </c>
      <c r="S116">
        <f>R116^3</f>
        <v>258474.85300000003</v>
      </c>
      <c r="T116" s="39">
        <f>PI()*(Q116/2)^2</f>
        <v>12747.609094544769</v>
      </c>
      <c r="U116">
        <v>108.967</v>
      </c>
      <c r="V116" s="931">
        <f>(U116/(PI()*(Q116/2)^2))*1000</f>
        <v>8.5480343170101989</v>
      </c>
      <c r="W116" s="931">
        <f>(5/(PI()*(Q116/2)^2))*1000^2</f>
        <v>392.23041457552284</v>
      </c>
      <c r="X116">
        <v>167.81100000000001</v>
      </c>
      <c r="Y116">
        <f>SUM(U115:X115)</f>
        <v>680.10130121148666</v>
      </c>
    </row>
    <row r="117" spans="15:25" x14ac:dyDescent="0.2">
      <c r="O117" s="1330"/>
      <c r="P117" s="635">
        <v>8</v>
      </c>
      <c r="Q117">
        <v>138</v>
      </c>
      <c r="R117">
        <f>Q117/2</f>
        <v>69</v>
      </c>
      <c r="S117">
        <f>R117^3</f>
        <v>328509</v>
      </c>
      <c r="T117" s="39">
        <f>PI()*(Q117/2)^2</f>
        <v>14957.122623741005</v>
      </c>
      <c r="U117">
        <v>138.101</v>
      </c>
      <c r="V117" s="931">
        <f>(U117/(PI()*(Q117/2)^2))*1000</f>
        <v>9.2331261482603821</v>
      </c>
      <c r="W117" s="931">
        <f>(10/(PI()*(Q117/2)^2))*1000^2</f>
        <v>668.57779076620602</v>
      </c>
      <c r="X117">
        <v>230.80600000000001</v>
      </c>
      <c r="Y117">
        <f>SUM(U116:X116)</f>
        <v>677.55644889253301</v>
      </c>
    </row>
    <row r="118" spans="15:25" x14ac:dyDescent="0.2">
      <c r="O118" s="1330"/>
      <c r="P118" s="635">
        <v>10</v>
      </c>
      <c r="Q118">
        <v>149</v>
      </c>
      <c r="R118">
        <f>Q118/2</f>
        <v>74.5</v>
      </c>
      <c r="S118">
        <f>R118^3</f>
        <v>413493.625</v>
      </c>
      <c r="T118" s="39">
        <f>PI()*(Q118/2)^2</f>
        <v>17436.624625586748</v>
      </c>
      <c r="U118">
        <v>145.892</v>
      </c>
      <c r="V118" s="931">
        <f>(U118/(PI()*(Q118/2)^2))*1000</f>
        <v>8.3669863366741311</v>
      </c>
      <c r="W118" s="931">
        <f>(10/(PI()*(Q118/2)^2))*1000^2</f>
        <v>573.50549287652041</v>
      </c>
      <c r="X118">
        <v>277.97699999999998</v>
      </c>
      <c r="Y118">
        <f>SUM(U117:X117)</f>
        <v>1046.7179169144665</v>
      </c>
    </row>
  </sheetData>
  <mergeCells count="2">
    <mergeCell ref="O115:O116"/>
    <mergeCell ref="O117:O118"/>
  </mergeCells>
  <phoneticPr fontId="3" type="noConversion"/>
  <pageMargins left="0.75" right="0.75" top="1" bottom="1" header="0.5" footer="0.5"/>
  <pageSetup orientation="portrait" horizontalDpi="300" verticalDpi="300"/>
  <headerFooter alignWithMargins="0"/>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25"/>
  </sheetPr>
  <dimension ref="A1:Z81"/>
  <sheetViews>
    <sheetView topLeftCell="N1" workbookViewId="0">
      <selection activeCell="O1" sqref="O1"/>
    </sheetView>
  </sheetViews>
  <sheetFormatPr defaultColWidth="8.85546875" defaultRowHeight="12.75" x14ac:dyDescent="0.2"/>
  <cols>
    <col min="1" max="1" width="24.42578125" style="140" customWidth="1"/>
    <col min="2" max="2" width="10.28515625" style="140" customWidth="1"/>
    <col min="3" max="6" width="8.85546875" style="140"/>
    <col min="7" max="7" width="9.7109375" style="140" customWidth="1"/>
    <col min="8" max="8" width="11" style="140" customWidth="1"/>
    <col min="9" max="9" width="9.85546875" style="140" customWidth="1"/>
    <col min="10" max="13" width="8.85546875" style="140"/>
    <col min="14" max="14" width="3.28515625" style="509" customWidth="1"/>
    <col min="15" max="15" width="27" customWidth="1"/>
    <col min="21" max="21" width="11" customWidth="1"/>
    <col min="22" max="22" width="10" bestFit="1" customWidth="1"/>
  </cols>
  <sheetData>
    <row r="1" spans="1:14" x14ac:dyDescent="0.2">
      <c r="A1" s="884" t="str">
        <f>'Input &amp; Summary'!A1</f>
        <v>Based on Combined Land Based-Offshore Turbine Cost Model. V2.01.12</v>
      </c>
      <c r="B1" s="884"/>
      <c r="C1" s="884"/>
      <c r="D1" s="885"/>
    </row>
    <row r="2" spans="1:14" ht="51" x14ac:dyDescent="0.2">
      <c r="A2" s="886" t="str">
        <f>'Input &amp; Summary'!A2</f>
        <v>Note:  This Model Contains Proprietary or Wind Technology Protected Data, and Should Not Be Released Outside of the DOE/NREL/SNL, until Further Notice.</v>
      </c>
      <c r="B2" s="886"/>
      <c r="C2" s="886"/>
      <c r="D2" s="885"/>
    </row>
    <row r="4" spans="1:14" x14ac:dyDescent="0.2">
      <c r="A4" s="838" t="s">
        <v>615</v>
      </c>
      <c r="B4" s="884"/>
      <c r="C4" s="884"/>
      <c r="D4" s="884"/>
      <c r="E4" s="884"/>
      <c r="F4" s="884"/>
      <c r="G4" s="887"/>
      <c r="H4" s="884"/>
      <c r="I4" s="884"/>
      <c r="J4" s="884"/>
      <c r="K4" s="884"/>
      <c r="L4" s="884"/>
      <c r="M4" s="884"/>
      <c r="N4" s="508"/>
    </row>
    <row r="5" spans="1:14" ht="13.5" thickBot="1" x14ac:dyDescent="0.25"/>
    <row r="6" spans="1:14" ht="39" thickBot="1" x14ac:dyDescent="0.25">
      <c r="C6" s="888" t="s">
        <v>602</v>
      </c>
    </row>
    <row r="7" spans="1:14" ht="13.5" thickBot="1" x14ac:dyDescent="0.25">
      <c r="A7" s="889" t="s">
        <v>89</v>
      </c>
      <c r="B7" s="890"/>
      <c r="C7" s="891">
        <f>'Input &amp; Summary'!B8</f>
        <v>96.9</v>
      </c>
      <c r="F7" s="892" t="s">
        <v>1188</v>
      </c>
      <c r="K7" s="815"/>
    </row>
    <row r="8" spans="1:14" ht="14.25" thickTop="1" thickBot="1" x14ac:dyDescent="0.25">
      <c r="A8" s="839" t="s">
        <v>612</v>
      </c>
      <c r="B8" s="840"/>
      <c r="C8" s="842">
        <f>'Cost Summary'!C16</f>
        <v>27248.601187263586</v>
      </c>
      <c r="F8" s="893" t="s">
        <v>12</v>
      </c>
      <c r="G8" s="843" t="s">
        <v>108</v>
      </c>
      <c r="H8" s="843" t="s">
        <v>622</v>
      </c>
      <c r="I8" s="843" t="s">
        <v>620</v>
      </c>
      <c r="J8" s="900" t="s">
        <v>621</v>
      </c>
      <c r="K8" s="164" t="s">
        <v>526</v>
      </c>
      <c r="L8" s="140" t="s">
        <v>896</v>
      </c>
    </row>
    <row r="9" spans="1:14" ht="14.25" thickTop="1" thickBot="1" x14ac:dyDescent="0.25">
      <c r="A9" s="892"/>
      <c r="B9" s="892"/>
      <c r="C9" s="512"/>
      <c r="F9" s="894">
        <f>$C$7</f>
        <v>96.9</v>
      </c>
      <c r="G9" s="844">
        <f>$C$13</f>
        <v>84903.251991555371</v>
      </c>
      <c r="H9" s="843">
        <f>$C$8/3</f>
        <v>9082.8670624211954</v>
      </c>
      <c r="I9" s="845">
        <f>$C$11</f>
        <v>14345.55787151434</v>
      </c>
      <c r="J9" s="899">
        <f>'Cost Summary'!C15/1000</f>
        <v>48.759874176558768</v>
      </c>
      <c r="K9" s="898">
        <f>'Cost Summary'!C20/1000</f>
        <v>86.398761165630077</v>
      </c>
    </row>
    <row r="10" spans="1:14" ht="14.25" thickTop="1" thickBot="1" x14ac:dyDescent="0.25">
      <c r="A10" s="892"/>
      <c r="B10" s="892"/>
      <c r="C10" s="846" t="s">
        <v>100</v>
      </c>
    </row>
    <row r="11" spans="1:14" ht="13.5" thickBot="1" x14ac:dyDescent="0.25">
      <c r="A11" s="839" t="s">
        <v>90</v>
      </c>
      <c r="B11" s="840"/>
      <c r="C11" s="847">
        <f>$B$31*$C$8/3+$B$32</f>
        <v>14345.55787151434</v>
      </c>
      <c r="D11" s="895"/>
    </row>
    <row r="12" spans="1:14" ht="13.5" thickBot="1" x14ac:dyDescent="0.25">
      <c r="A12" s="839" t="s">
        <v>502</v>
      </c>
      <c r="B12" s="840"/>
      <c r="C12" s="848">
        <v>4.25</v>
      </c>
      <c r="D12" s="841">
        <f>'PPI Calculation'!D37</f>
        <v>1.3925729442970822</v>
      </c>
      <c r="E12" s="895" t="s">
        <v>590</v>
      </c>
    </row>
    <row r="13" spans="1:14" ht="13.5" thickBot="1" x14ac:dyDescent="0.25">
      <c r="A13" s="849" t="s">
        <v>651</v>
      </c>
      <c r="B13" s="850"/>
      <c r="C13" s="851">
        <f>C11*C12*D12</f>
        <v>84903.251991555371</v>
      </c>
      <c r="D13" s="852">
        <f>'Input &amp; Summary'!F7</f>
        <v>2010</v>
      </c>
      <c r="E13" s="896" t="s">
        <v>648</v>
      </c>
    </row>
    <row r="14" spans="1:14" ht="13.5" thickBot="1" x14ac:dyDescent="0.25"/>
    <row r="15" spans="1:14" ht="13.5" thickBot="1" x14ac:dyDescent="0.25">
      <c r="A15" s="853" t="s">
        <v>537</v>
      </c>
      <c r="B15" s="854"/>
      <c r="C15" s="855"/>
      <c r="D15" s="856"/>
      <c r="E15" s="857"/>
    </row>
    <row r="16" spans="1:14" ht="102" thickBot="1" x14ac:dyDescent="0.25">
      <c r="A16" s="858" t="s">
        <v>88</v>
      </c>
      <c r="B16" s="859" t="s">
        <v>605</v>
      </c>
      <c r="C16" s="859" t="s">
        <v>606</v>
      </c>
      <c r="D16" s="859" t="s">
        <v>607</v>
      </c>
      <c r="E16" s="860" t="s">
        <v>608</v>
      </c>
      <c r="J16" s="141" t="s">
        <v>896</v>
      </c>
    </row>
    <row r="17" spans="1:19" ht="13.5" thickTop="1" x14ac:dyDescent="0.2">
      <c r="A17" s="861">
        <v>46</v>
      </c>
      <c r="B17" s="862">
        <f>C17/3</f>
        <v>3133.3333333333335</v>
      </c>
      <c r="C17" s="863">
        <v>9400</v>
      </c>
      <c r="D17" s="863"/>
      <c r="E17" s="864">
        <v>2000</v>
      </c>
      <c r="F17" s="140" t="s">
        <v>611</v>
      </c>
    </row>
    <row r="18" spans="1:19" x14ac:dyDescent="0.2">
      <c r="A18" s="865">
        <v>70.5</v>
      </c>
      <c r="B18" s="866">
        <f t="shared" ref="B18:B28" si="0">C18/3</f>
        <v>4648.666666666667</v>
      </c>
      <c r="C18" s="867">
        <v>13946</v>
      </c>
      <c r="D18" s="867"/>
      <c r="E18" s="868">
        <v>15000</v>
      </c>
    </row>
    <row r="19" spans="1:19" x14ac:dyDescent="0.2">
      <c r="A19" s="865">
        <v>77</v>
      </c>
      <c r="B19" s="866">
        <f>C19/3</f>
        <v>6066.666666666667</v>
      </c>
      <c r="C19" s="867">
        <v>18200</v>
      </c>
      <c r="D19" s="867"/>
      <c r="E19" s="868">
        <v>15000</v>
      </c>
    </row>
    <row r="20" spans="1:19" x14ac:dyDescent="0.2">
      <c r="A20" s="869">
        <v>93</v>
      </c>
      <c r="B20" s="866">
        <f t="shared" si="0"/>
        <v>10000</v>
      </c>
      <c r="C20" s="870">
        <v>30000</v>
      </c>
      <c r="D20" s="870"/>
      <c r="E20" s="871">
        <v>15625</v>
      </c>
    </row>
    <row r="21" spans="1:19" ht="13.5" thickBot="1" x14ac:dyDescent="0.25">
      <c r="A21" s="872">
        <v>99</v>
      </c>
      <c r="B21" s="873">
        <f>C21/3</f>
        <v>12679.333333333334</v>
      </c>
      <c r="C21" s="874">
        <v>38038</v>
      </c>
      <c r="D21" s="874"/>
      <c r="E21" s="875">
        <v>15625</v>
      </c>
    </row>
    <row r="22" spans="1:19" ht="13.5" thickTop="1" x14ac:dyDescent="0.2">
      <c r="A22" s="861">
        <v>50</v>
      </c>
      <c r="B22" s="862">
        <f t="shared" si="0"/>
        <v>868</v>
      </c>
      <c r="C22" s="863">
        <f>868*3</f>
        <v>2604</v>
      </c>
      <c r="D22" s="863">
        <v>2464</v>
      </c>
      <c r="E22" s="864"/>
      <c r="F22" s="140" t="s">
        <v>609</v>
      </c>
    </row>
    <row r="23" spans="1:19" x14ac:dyDescent="0.2">
      <c r="A23" s="865">
        <v>70</v>
      </c>
      <c r="B23" s="866">
        <f t="shared" si="0"/>
        <v>2281</v>
      </c>
      <c r="C23" s="867">
        <f>2281*3</f>
        <v>6843</v>
      </c>
      <c r="D23" s="867">
        <v>8063</v>
      </c>
      <c r="E23" s="868"/>
    </row>
    <row r="24" spans="1:19" ht="13.5" thickBot="1" x14ac:dyDescent="0.25">
      <c r="A24" s="872">
        <v>99</v>
      </c>
      <c r="B24" s="873">
        <f t="shared" si="0"/>
        <v>5463</v>
      </c>
      <c r="C24" s="876">
        <f>5463*3</f>
        <v>16389</v>
      </c>
      <c r="D24" s="876">
        <v>21270</v>
      </c>
      <c r="E24" s="877"/>
    </row>
    <row r="25" spans="1:19" ht="13.5" thickTop="1" x14ac:dyDescent="0.2">
      <c r="A25" s="861">
        <v>50</v>
      </c>
      <c r="B25" s="862">
        <f t="shared" si="0"/>
        <v>1818</v>
      </c>
      <c r="C25" s="878">
        <f>1818*3</f>
        <v>5454</v>
      </c>
      <c r="D25" s="878">
        <v>5086</v>
      </c>
      <c r="E25" s="879"/>
      <c r="F25" s="140" t="s">
        <v>610</v>
      </c>
    </row>
    <row r="26" spans="1:19" x14ac:dyDescent="0.2">
      <c r="A26" s="869">
        <v>70</v>
      </c>
      <c r="B26" s="866">
        <f t="shared" si="0"/>
        <v>4230</v>
      </c>
      <c r="C26" s="870">
        <f>4230*3</f>
        <v>12690</v>
      </c>
      <c r="D26" s="870">
        <v>15104</v>
      </c>
      <c r="E26" s="871"/>
    </row>
    <row r="27" spans="1:19" ht="13.5" thickBot="1" x14ac:dyDescent="0.25">
      <c r="A27" s="869">
        <v>99</v>
      </c>
      <c r="B27" s="866">
        <f t="shared" si="0"/>
        <v>12936</v>
      </c>
      <c r="C27" s="870">
        <f>12936*3</f>
        <v>38808</v>
      </c>
      <c r="D27" s="870">
        <v>50124</v>
      </c>
      <c r="E27" s="871"/>
      <c r="O27" s="19"/>
      <c r="P27" s="7" t="s">
        <v>618</v>
      </c>
      <c r="Q27" s="19"/>
    </row>
    <row r="28" spans="1:19" ht="14.25" thickTop="1" thickBot="1" x14ac:dyDescent="0.25">
      <c r="A28" s="880">
        <v>128</v>
      </c>
      <c r="B28" s="873">
        <f t="shared" si="0"/>
        <v>27239</v>
      </c>
      <c r="C28" s="881">
        <f>27239*3</f>
        <v>81717</v>
      </c>
      <c r="D28" s="881">
        <v>101014</v>
      </c>
      <c r="E28" s="882"/>
      <c r="P28" s="36" t="s">
        <v>12</v>
      </c>
      <c r="Q28" s="37" t="s">
        <v>583</v>
      </c>
      <c r="R28" s="907" t="s">
        <v>526</v>
      </c>
      <c r="S28" s="635" t="s">
        <v>896</v>
      </c>
    </row>
    <row r="29" spans="1:19" ht="14.25" thickTop="1" thickBot="1" x14ac:dyDescent="0.25">
      <c r="P29" s="104">
        <v>126</v>
      </c>
      <c r="Q29" s="105">
        <v>110</v>
      </c>
      <c r="R29" s="289">
        <v>240</v>
      </c>
    </row>
    <row r="30" spans="1:19" ht="13.5" thickTop="1" x14ac:dyDescent="0.2"/>
    <row r="31" spans="1:19" x14ac:dyDescent="0.2">
      <c r="A31" s="883" t="s">
        <v>613</v>
      </c>
      <c r="B31" s="883">
        <f>SLOPE(E17:E21,B17:B21)</f>
        <v>0.95402537264402965</v>
      </c>
      <c r="P31" t="s">
        <v>619</v>
      </c>
    </row>
    <row r="32" spans="1:19" x14ac:dyDescent="0.2">
      <c r="A32" s="883" t="s">
        <v>614</v>
      </c>
      <c r="B32" s="883">
        <f>INTERCEPT(E17:E21,B17:B21)</f>
        <v>5680.2722376117763</v>
      </c>
    </row>
    <row r="34" spans="15:25" ht="13.5" thickBot="1" x14ac:dyDescent="0.25">
      <c r="O34" t="s">
        <v>549</v>
      </c>
    </row>
    <row r="35" spans="15:25" ht="14.25" thickTop="1" thickBot="1" x14ac:dyDescent="0.25">
      <c r="O35" s="915" t="s">
        <v>578</v>
      </c>
      <c r="P35" s="919" t="s">
        <v>577</v>
      </c>
      <c r="Q35" s="920" t="s">
        <v>550</v>
      </c>
      <c r="R35" s="920" t="s">
        <v>551</v>
      </c>
      <c r="S35" s="387" t="s">
        <v>552</v>
      </c>
    </row>
    <row r="36" spans="15:25" ht="13.5" thickTop="1" x14ac:dyDescent="0.2">
      <c r="O36" s="388" t="s">
        <v>553</v>
      </c>
      <c r="P36" s="36">
        <v>2.2999999999999998</v>
      </c>
      <c r="Q36" s="37">
        <v>2.2999999999999998</v>
      </c>
      <c r="R36" s="37">
        <v>3.6</v>
      </c>
      <c r="S36" s="38">
        <v>1.3</v>
      </c>
      <c r="Y36" s="39"/>
    </row>
    <row r="37" spans="15:25" x14ac:dyDescent="0.2">
      <c r="O37" s="389" t="s">
        <v>88</v>
      </c>
      <c r="P37" s="30">
        <v>93</v>
      </c>
      <c r="Q37" s="31">
        <v>82.4</v>
      </c>
      <c r="R37" s="31">
        <v>107</v>
      </c>
      <c r="S37" s="32">
        <v>62</v>
      </c>
    </row>
    <row r="38" spans="15:25" ht="13.5" thickBot="1" x14ac:dyDescent="0.25">
      <c r="O38" s="390" t="s">
        <v>556</v>
      </c>
      <c r="P38" s="33">
        <v>60</v>
      </c>
      <c r="Q38" s="34">
        <v>82</v>
      </c>
      <c r="R38" s="34">
        <v>125</v>
      </c>
      <c r="S38" s="35">
        <v>47</v>
      </c>
    </row>
    <row r="39" spans="15:25" ht="13.5" thickTop="1" x14ac:dyDescent="0.2"/>
    <row r="41" spans="15:25" ht="13.5" thickBot="1" x14ac:dyDescent="0.25">
      <c r="O41" s="39" t="s">
        <v>569</v>
      </c>
    </row>
    <row r="42" spans="15:25" ht="14.25" thickTop="1" thickBot="1" x14ac:dyDescent="0.25">
      <c r="O42" s="915" t="s">
        <v>558</v>
      </c>
      <c r="P42" s="919" t="s">
        <v>559</v>
      </c>
      <c r="Q42" s="921" t="s">
        <v>560</v>
      </c>
      <c r="R42" s="921" t="s">
        <v>561</v>
      </c>
      <c r="S42" s="921" t="s">
        <v>561</v>
      </c>
      <c r="T42" s="920" t="s">
        <v>562</v>
      </c>
      <c r="U42" s="387" t="s">
        <v>563</v>
      </c>
    </row>
    <row r="43" spans="15:25" ht="13.5" thickTop="1" x14ac:dyDescent="0.2">
      <c r="O43" s="388" t="s">
        <v>553</v>
      </c>
      <c r="P43" s="36">
        <v>2</v>
      </c>
      <c r="Q43" s="37">
        <v>1.65</v>
      </c>
      <c r="R43" s="37">
        <v>1.8</v>
      </c>
      <c r="S43" s="37">
        <v>3</v>
      </c>
      <c r="T43" s="177">
        <v>2.75</v>
      </c>
      <c r="U43" s="38">
        <v>4.5</v>
      </c>
    </row>
    <row r="44" spans="15:25" x14ac:dyDescent="0.2">
      <c r="O44" s="389" t="s">
        <v>88</v>
      </c>
      <c r="P44" s="30">
        <v>80</v>
      </c>
      <c r="Q44" s="31">
        <v>82</v>
      </c>
      <c r="R44" s="31">
        <v>90</v>
      </c>
      <c r="S44" s="31">
        <v>90</v>
      </c>
      <c r="T44" s="31">
        <v>100</v>
      </c>
      <c r="U44" s="32">
        <v>120</v>
      </c>
    </row>
    <row r="45" spans="15:25" ht="13.5" thickBot="1" x14ac:dyDescent="0.25">
      <c r="O45" s="390" t="s">
        <v>568</v>
      </c>
      <c r="P45" s="33">
        <v>67</v>
      </c>
      <c r="Q45" s="34">
        <v>52</v>
      </c>
      <c r="R45" s="34">
        <v>68</v>
      </c>
      <c r="S45" s="34">
        <v>70</v>
      </c>
      <c r="T45" s="34">
        <v>70</v>
      </c>
      <c r="U45" s="35">
        <v>145</v>
      </c>
    </row>
    <row r="46" spans="15:25" ht="13.5" thickTop="1" x14ac:dyDescent="0.2"/>
    <row r="48" spans="15:25" ht="13.5" thickBot="1" x14ac:dyDescent="0.25">
      <c r="O48" s="394" t="s">
        <v>581</v>
      </c>
    </row>
    <row r="49" spans="15:22" ht="13.5" thickTop="1" x14ac:dyDescent="0.2">
      <c r="O49" s="391" t="s">
        <v>553</v>
      </c>
      <c r="P49" s="166">
        <v>2.5</v>
      </c>
    </row>
    <row r="50" spans="15:22" x14ac:dyDescent="0.2">
      <c r="O50" s="392" t="s">
        <v>88</v>
      </c>
      <c r="P50" s="913">
        <v>93</v>
      </c>
    </row>
    <row r="51" spans="15:22" ht="13.5" thickBot="1" x14ac:dyDescent="0.25">
      <c r="O51" s="393" t="s">
        <v>526</v>
      </c>
      <c r="P51" s="914">
        <v>70.555999999999997</v>
      </c>
    </row>
    <row r="52" spans="15:22" ht="13.5" thickTop="1" x14ac:dyDescent="0.2">
      <c r="O52" s="60"/>
      <c r="P52" s="39"/>
      <c r="Q52" s="39"/>
    </row>
    <row r="54" spans="15:22" ht="13.5" thickBot="1" x14ac:dyDescent="0.25">
      <c r="O54" t="s">
        <v>130</v>
      </c>
    </row>
    <row r="55" spans="15:22" ht="14.25" thickTop="1" thickBot="1" x14ac:dyDescent="0.25">
      <c r="O55" s="926" t="s">
        <v>603</v>
      </c>
      <c r="P55" s="916" t="s">
        <v>409</v>
      </c>
      <c r="Q55" s="917"/>
      <c r="R55" s="917"/>
      <c r="S55" s="918"/>
      <c r="T55" s="916" t="s">
        <v>604</v>
      </c>
      <c r="U55" s="917"/>
      <c r="V55" s="918"/>
    </row>
    <row r="56" spans="15:22" ht="13.5" thickTop="1" x14ac:dyDescent="0.2">
      <c r="O56" s="391" t="s">
        <v>553</v>
      </c>
      <c r="P56" s="27">
        <v>0.75</v>
      </c>
      <c r="Q56" s="28">
        <v>1.5</v>
      </c>
      <c r="R56" s="28">
        <v>3</v>
      </c>
      <c r="S56" s="29">
        <v>5</v>
      </c>
      <c r="T56" s="27">
        <v>0.75</v>
      </c>
      <c r="U56" s="28">
        <v>1.5</v>
      </c>
      <c r="V56" s="29">
        <v>3</v>
      </c>
    </row>
    <row r="57" spans="15:22" x14ac:dyDescent="0.2">
      <c r="O57" s="392" t="s">
        <v>88</v>
      </c>
      <c r="P57" s="30">
        <v>50</v>
      </c>
      <c r="Q57" s="31">
        <v>70</v>
      </c>
      <c r="R57" s="31">
        <v>99</v>
      </c>
      <c r="S57" s="32">
        <v>128</v>
      </c>
      <c r="T57" s="30">
        <v>50</v>
      </c>
      <c r="U57" s="31">
        <v>70</v>
      </c>
      <c r="V57" s="32">
        <v>99</v>
      </c>
    </row>
    <row r="58" spans="15:22" ht="13.5" thickBot="1" x14ac:dyDescent="0.25">
      <c r="O58" s="925" t="s">
        <v>526</v>
      </c>
      <c r="P58" s="33">
        <v>20.905000000000001</v>
      </c>
      <c r="Q58" s="34">
        <v>52.838999999999999</v>
      </c>
      <c r="R58" s="34">
        <v>132.59800000000001</v>
      </c>
      <c r="S58" s="35">
        <v>270.66899999999998</v>
      </c>
      <c r="T58" s="33">
        <v>19.143000000000001</v>
      </c>
      <c r="U58" s="34">
        <v>45.917000000000002</v>
      </c>
      <c r="V58" s="35">
        <v>111.86799999999999</v>
      </c>
    </row>
    <row r="59" spans="15:22" ht="13.5" thickTop="1" x14ac:dyDescent="0.2"/>
    <row r="61" spans="15:22" ht="13.5" thickBot="1" x14ac:dyDescent="0.25">
      <c r="O61" s="60" t="s">
        <v>162</v>
      </c>
    </row>
    <row r="62" spans="15:22" ht="14.25" thickTop="1" thickBot="1" x14ac:dyDescent="0.25">
      <c r="O62" s="386" t="s">
        <v>145</v>
      </c>
      <c r="P62" s="922" t="s">
        <v>146</v>
      </c>
      <c r="Q62" s="921" t="s">
        <v>147</v>
      </c>
      <c r="R62" s="921" t="s">
        <v>148</v>
      </c>
      <c r="S62" s="921" t="s">
        <v>149</v>
      </c>
      <c r="T62" s="387" t="s">
        <v>150</v>
      </c>
    </row>
    <row r="63" spans="15:22" ht="13.5" thickTop="1" x14ac:dyDescent="0.2">
      <c r="O63" s="829" t="s">
        <v>553</v>
      </c>
      <c r="P63" s="36">
        <v>0.85</v>
      </c>
      <c r="Q63" s="37">
        <v>0.85</v>
      </c>
      <c r="R63" s="37">
        <v>2</v>
      </c>
      <c r="S63" s="37">
        <v>2</v>
      </c>
      <c r="T63" s="907">
        <v>2</v>
      </c>
    </row>
    <row r="64" spans="15:22" x14ac:dyDescent="0.2">
      <c r="O64" s="830" t="s">
        <v>88</v>
      </c>
      <c r="P64" s="30">
        <v>52</v>
      </c>
      <c r="Q64" s="31">
        <v>58</v>
      </c>
      <c r="R64" s="31">
        <v>80</v>
      </c>
      <c r="S64" s="31">
        <v>83</v>
      </c>
      <c r="T64" s="923">
        <v>87</v>
      </c>
    </row>
    <row r="65" spans="15:26" ht="13.5" thickBot="1" x14ac:dyDescent="0.25">
      <c r="O65" s="831" t="s">
        <v>556</v>
      </c>
      <c r="P65" s="33">
        <f>33-10</f>
        <v>23</v>
      </c>
      <c r="Q65" s="34">
        <f>35-12</f>
        <v>23</v>
      </c>
      <c r="R65" s="34">
        <f>108-38</f>
        <v>70</v>
      </c>
      <c r="S65" s="34">
        <f>110.5-40.5</f>
        <v>70</v>
      </c>
      <c r="T65" s="924">
        <f>107-37</f>
        <v>70</v>
      </c>
    </row>
    <row r="66" spans="15:26" ht="13.5" thickTop="1" x14ac:dyDescent="0.2"/>
    <row r="68" spans="15:26" ht="13.5" thickBot="1" x14ac:dyDescent="0.25">
      <c r="O68" s="96"/>
      <c r="P68" s="96"/>
      <c r="Q68" s="96"/>
      <c r="R68" s="96"/>
      <c r="S68" s="96"/>
      <c r="T68" s="96"/>
      <c r="U68" s="96"/>
      <c r="V68" s="96"/>
    </row>
    <row r="69" spans="15:26" ht="14.25" thickTop="1" thickBot="1" x14ac:dyDescent="0.25">
      <c r="O69" s="160" t="s">
        <v>1177</v>
      </c>
      <c r="P69" s="75" t="s">
        <v>1178</v>
      </c>
      <c r="Q69" s="40" t="s">
        <v>231</v>
      </c>
      <c r="R69" s="40" t="s">
        <v>231</v>
      </c>
      <c r="S69" s="40" t="s">
        <v>234</v>
      </c>
      <c r="T69" s="40" t="s">
        <v>236</v>
      </c>
      <c r="U69" s="40" t="s">
        <v>238</v>
      </c>
      <c r="V69" s="835" t="s">
        <v>240</v>
      </c>
    </row>
    <row r="70" spans="15:26" ht="13.5" thickTop="1" x14ac:dyDescent="0.2">
      <c r="O70" s="166" t="s">
        <v>1179</v>
      </c>
      <c r="P70" s="27" t="s">
        <v>1178</v>
      </c>
      <c r="Q70" s="28" t="s">
        <v>232</v>
      </c>
      <c r="R70" s="28" t="s">
        <v>233</v>
      </c>
      <c r="S70" s="129" t="s">
        <v>235</v>
      </c>
      <c r="T70" s="28" t="s">
        <v>237</v>
      </c>
      <c r="U70" s="28" t="s">
        <v>239</v>
      </c>
      <c r="V70" s="837" t="s">
        <v>241</v>
      </c>
    </row>
    <row r="71" spans="15:26" x14ac:dyDescent="0.2">
      <c r="O71" s="913" t="s">
        <v>1180</v>
      </c>
      <c r="P71" s="30" t="s">
        <v>1181</v>
      </c>
      <c r="Q71" s="31">
        <v>5</v>
      </c>
      <c r="R71" s="31">
        <v>5</v>
      </c>
      <c r="S71" s="31">
        <v>5</v>
      </c>
      <c r="T71" s="31">
        <v>6</v>
      </c>
      <c r="U71" s="31">
        <v>5</v>
      </c>
      <c r="V71" s="32">
        <v>5</v>
      </c>
    </row>
    <row r="72" spans="15:26" x14ac:dyDescent="0.2">
      <c r="O72" s="913" t="s">
        <v>88</v>
      </c>
      <c r="P72" s="30" t="s">
        <v>1182</v>
      </c>
      <c r="Q72" s="31">
        <v>120</v>
      </c>
      <c r="R72" s="31">
        <v>128</v>
      </c>
      <c r="S72" s="31">
        <v>118</v>
      </c>
      <c r="T72" s="31">
        <v>129</v>
      </c>
      <c r="U72" s="31">
        <v>116</v>
      </c>
      <c r="V72" s="32">
        <v>126</v>
      </c>
    </row>
    <row r="73" spans="15:26" ht="13.5" thickBot="1" x14ac:dyDescent="0.25">
      <c r="O73" s="836" t="s">
        <v>526</v>
      </c>
      <c r="P73" s="33" t="s">
        <v>1187</v>
      </c>
      <c r="Q73" s="34">
        <v>246.626</v>
      </c>
      <c r="R73" s="34">
        <v>270.66899999999998</v>
      </c>
      <c r="S73" s="34">
        <v>250</v>
      </c>
      <c r="T73" s="34">
        <v>187.952</v>
      </c>
      <c r="U73" s="34">
        <v>194.09</v>
      </c>
      <c r="V73" s="35">
        <v>240</v>
      </c>
      <c r="Y73" s="39"/>
      <c r="Z73" s="39"/>
    </row>
    <row r="74" spans="15:26" ht="13.5" thickTop="1" x14ac:dyDescent="0.2"/>
    <row r="76" spans="15:26" x14ac:dyDescent="0.2">
      <c r="P76" s="635" t="s">
        <v>1207</v>
      </c>
      <c r="Q76" t="s">
        <v>12</v>
      </c>
      <c r="R76" t="s">
        <v>434</v>
      </c>
      <c r="S76" t="s">
        <v>445</v>
      </c>
      <c r="T76" t="s">
        <v>1195</v>
      </c>
      <c r="U76" t="s">
        <v>1193</v>
      </c>
      <c r="V76" t="s">
        <v>1192</v>
      </c>
      <c r="W76" t="s">
        <v>1191</v>
      </c>
    </row>
    <row r="77" spans="15:26" x14ac:dyDescent="0.2">
      <c r="O77" s="929"/>
      <c r="P77" s="635">
        <v>3.1</v>
      </c>
      <c r="Q77">
        <v>115</v>
      </c>
      <c r="R77">
        <f>Q77/2</f>
        <v>57.5</v>
      </c>
      <c r="S77">
        <f>R77^3</f>
        <v>190109.375</v>
      </c>
      <c r="T77" s="39">
        <f>PI()*(Q77/2)^2</f>
        <v>10386.890710931253</v>
      </c>
      <c r="U77">
        <v>58.502000000000002</v>
      </c>
      <c r="V77">
        <v>139.821</v>
      </c>
      <c r="W77">
        <f>SUM(U77:V77)</f>
        <v>198.32300000000001</v>
      </c>
    </row>
    <row r="78" spans="15:26" x14ac:dyDescent="0.2">
      <c r="O78" s="930"/>
      <c r="P78" s="635">
        <v>6</v>
      </c>
      <c r="Q78">
        <v>127.4</v>
      </c>
      <c r="R78">
        <f>Q78/2</f>
        <v>63.7</v>
      </c>
      <c r="S78">
        <f>R78^3</f>
        <v>258474.85300000003</v>
      </c>
      <c r="T78" s="39">
        <f>PI()*(Q78/2)^2</f>
        <v>12747.609094544769</v>
      </c>
      <c r="U78">
        <v>108.967</v>
      </c>
      <c r="V78">
        <v>225.91499999999999</v>
      </c>
      <c r="W78">
        <f>SUM(U78:V78)</f>
        <v>334.88200000000001</v>
      </c>
    </row>
    <row r="79" spans="15:26" x14ac:dyDescent="0.2">
      <c r="O79" s="929"/>
      <c r="P79" s="635">
        <v>8</v>
      </c>
      <c r="Q79">
        <v>138</v>
      </c>
      <c r="R79">
        <f>Q79/2</f>
        <v>69</v>
      </c>
      <c r="S79">
        <f>R79^3</f>
        <v>328509</v>
      </c>
      <c r="T79" s="39">
        <f>PI()*(Q79/2)^2</f>
        <v>14957.122623741005</v>
      </c>
      <c r="U79">
        <v>138.101</v>
      </c>
      <c r="V79">
        <v>311.41300000000001</v>
      </c>
      <c r="W79">
        <f>SUM(U79:V79)</f>
        <v>449.51400000000001</v>
      </c>
    </row>
    <row r="80" spans="15:26" x14ac:dyDescent="0.2">
      <c r="O80" s="929"/>
      <c r="P80" s="635">
        <v>10</v>
      </c>
      <c r="Q80">
        <v>149</v>
      </c>
      <c r="R80">
        <f>Q80/2</f>
        <v>74.5</v>
      </c>
      <c r="S80">
        <f>R80^3</f>
        <v>413493.625</v>
      </c>
      <c r="T80" s="39">
        <f>PI()*(Q80/2)^2</f>
        <v>17436.624625586748</v>
      </c>
      <c r="U80">
        <v>145.892</v>
      </c>
      <c r="V80">
        <v>333.41300000000001</v>
      </c>
      <c r="W80">
        <f>SUM(U80:V80)</f>
        <v>479.30500000000001</v>
      </c>
    </row>
    <row r="81" spans="20:20" x14ac:dyDescent="0.2">
      <c r="T81" s="119"/>
    </row>
  </sheetData>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25"/>
  </sheetPr>
  <dimension ref="A1:AH91"/>
  <sheetViews>
    <sheetView topLeftCell="K1" workbookViewId="0">
      <selection activeCell="AC16" sqref="AC16"/>
    </sheetView>
  </sheetViews>
  <sheetFormatPr defaultColWidth="8.85546875" defaultRowHeight="12.75" x14ac:dyDescent="0.2"/>
  <cols>
    <col min="1" max="1" width="24.42578125" style="140" customWidth="1"/>
    <col min="2" max="2" width="10.28515625" style="140" customWidth="1"/>
    <col min="3" max="6" width="8.85546875" style="140"/>
    <col min="7" max="7" width="9.7109375" style="140" customWidth="1"/>
    <col min="8" max="8" width="11" style="140" customWidth="1"/>
    <col min="9" max="9" width="9.85546875" style="140" customWidth="1"/>
    <col min="10" max="14" width="8.85546875" style="140"/>
    <col min="15" max="15" width="3.28515625" style="509" customWidth="1"/>
    <col min="16" max="16" width="27" customWidth="1"/>
    <col min="22" max="22" width="11" customWidth="1"/>
  </cols>
  <sheetData>
    <row r="1" spans="1:15" x14ac:dyDescent="0.2">
      <c r="A1" s="884" t="str">
        <f>'Input &amp; Summary'!A1</f>
        <v>Based on Combined Land Based-Offshore Turbine Cost Model. V2.01.12</v>
      </c>
      <c r="B1" s="884"/>
      <c r="C1" s="884"/>
      <c r="D1" s="885"/>
    </row>
    <row r="2" spans="1:15" ht="51" x14ac:dyDescent="0.2">
      <c r="A2" s="886" t="str">
        <f>'Input &amp; Summary'!A2</f>
        <v>Note:  This Model Contains Proprietary or Wind Technology Protected Data, and Should Not Be Released Outside of the DOE/NREL/SNL, until Further Notice.</v>
      </c>
      <c r="B2" s="886"/>
      <c r="C2" s="886"/>
      <c r="D2" s="885"/>
    </row>
    <row r="4" spans="1:15" x14ac:dyDescent="0.2">
      <c r="A4" s="838" t="s">
        <v>615</v>
      </c>
      <c r="B4" s="884"/>
      <c r="C4" s="884"/>
      <c r="D4" s="884"/>
      <c r="E4" s="884"/>
      <c r="F4" s="884"/>
      <c r="G4" s="887"/>
      <c r="H4" s="884"/>
      <c r="I4" s="884"/>
      <c r="J4" s="884"/>
      <c r="K4" s="884"/>
      <c r="L4" s="884"/>
      <c r="M4" s="884"/>
      <c r="N4" s="884"/>
      <c r="O4" s="508"/>
    </row>
    <row r="5" spans="1:15" ht="13.5" thickBot="1" x14ac:dyDescent="0.25"/>
    <row r="6" spans="1:15" ht="39" thickBot="1" x14ac:dyDescent="0.25">
      <c r="C6" s="888" t="s">
        <v>602</v>
      </c>
    </row>
    <row r="7" spans="1:15" ht="13.5" thickBot="1" x14ac:dyDescent="0.25">
      <c r="A7" s="889" t="s">
        <v>89</v>
      </c>
      <c r="B7" s="890"/>
      <c r="C7" s="891">
        <f>'Input &amp; Summary'!B8</f>
        <v>96.9</v>
      </c>
      <c r="F7" s="892" t="s">
        <v>1188</v>
      </c>
      <c r="K7" s="815"/>
    </row>
    <row r="8" spans="1:15" ht="15.75" thickTop="1" thickBot="1" x14ac:dyDescent="0.25">
      <c r="A8" s="839" t="s">
        <v>612</v>
      </c>
      <c r="B8" s="840"/>
      <c r="C8" s="842">
        <f>'Cost Summary'!C16</f>
        <v>27248.601187263586</v>
      </c>
      <c r="F8" s="893" t="s">
        <v>12</v>
      </c>
      <c r="G8" s="912" t="s">
        <v>1194</v>
      </c>
      <c r="H8" s="843" t="s">
        <v>108</v>
      </c>
      <c r="I8" s="911" t="s">
        <v>1193</v>
      </c>
      <c r="J8" s="910" t="s">
        <v>1192</v>
      </c>
      <c r="K8" s="909" t="s">
        <v>1191</v>
      </c>
      <c r="L8" s="394" t="s">
        <v>896</v>
      </c>
      <c r="N8"/>
      <c r="O8" s="908"/>
    </row>
    <row r="9" spans="1:15" ht="13.5" thickBot="1" x14ac:dyDescent="0.25">
      <c r="A9" s="892"/>
      <c r="B9" s="892"/>
      <c r="C9" s="512"/>
      <c r="F9" s="894">
        <f>$C$7</f>
        <v>96.9</v>
      </c>
      <c r="G9" s="105">
        <f>PI()*(F9/2)^2</f>
        <v>7374.5824490183149</v>
      </c>
      <c r="H9" s="844">
        <f>$C$13</f>
        <v>84903.251991555371</v>
      </c>
      <c r="I9" s="899">
        <f>'Cost Summary'!C15/1000</f>
        <v>48.759874176558768</v>
      </c>
      <c r="J9" s="897">
        <f>'Cost Summary'!C20/1000</f>
        <v>86.398761165630077</v>
      </c>
      <c r="K9" s="898">
        <f>J9+I9</f>
        <v>135.15863534218886</v>
      </c>
      <c r="L9" s="512"/>
      <c r="N9"/>
    </row>
    <row r="10" spans="1:15" ht="14.25" thickTop="1" thickBot="1" x14ac:dyDescent="0.25">
      <c r="A10" s="892"/>
      <c r="B10" s="892"/>
      <c r="C10" s="846" t="s">
        <v>100</v>
      </c>
    </row>
    <row r="11" spans="1:15" ht="13.5" thickBot="1" x14ac:dyDescent="0.25">
      <c r="A11" s="839" t="s">
        <v>90</v>
      </c>
      <c r="B11" s="840"/>
      <c r="C11" s="847">
        <f>$B$31*$C$8/3+$B$32</f>
        <v>14345.55787151434</v>
      </c>
      <c r="D11" s="895"/>
    </row>
    <row r="12" spans="1:15" ht="13.5" thickBot="1" x14ac:dyDescent="0.25">
      <c r="A12" s="839" t="s">
        <v>502</v>
      </c>
      <c r="B12" s="840"/>
      <c r="C12" s="848">
        <v>4.25</v>
      </c>
      <c r="D12" s="841">
        <f>'PPI Calculation'!D37</f>
        <v>1.3925729442970822</v>
      </c>
      <c r="E12" s="895" t="s">
        <v>590</v>
      </c>
    </row>
    <row r="13" spans="1:15" ht="13.5" thickBot="1" x14ac:dyDescent="0.25">
      <c r="A13" s="849" t="s">
        <v>651</v>
      </c>
      <c r="B13" s="850"/>
      <c r="C13" s="851">
        <f>C11*C12*D12</f>
        <v>84903.251991555371</v>
      </c>
      <c r="D13" s="852">
        <f>'Input &amp; Summary'!F7</f>
        <v>2010</v>
      </c>
      <c r="E13" s="896" t="s">
        <v>648</v>
      </c>
    </row>
    <row r="14" spans="1:15" ht="13.5" thickBot="1" x14ac:dyDescent="0.25"/>
    <row r="15" spans="1:15" ht="13.5" thickBot="1" x14ac:dyDescent="0.25">
      <c r="A15" s="853" t="s">
        <v>537</v>
      </c>
      <c r="B15" s="854"/>
      <c r="C15" s="855"/>
      <c r="D15" s="856"/>
      <c r="E15" s="857"/>
    </row>
    <row r="16" spans="1:15" ht="102" thickBot="1" x14ac:dyDescent="0.25">
      <c r="A16" s="858" t="s">
        <v>88</v>
      </c>
      <c r="B16" s="859" t="s">
        <v>605</v>
      </c>
      <c r="C16" s="859" t="s">
        <v>606</v>
      </c>
      <c r="D16" s="859" t="s">
        <v>607</v>
      </c>
      <c r="E16" s="860" t="s">
        <v>608</v>
      </c>
      <c r="J16" s="141" t="s">
        <v>896</v>
      </c>
    </row>
    <row r="17" spans="1:34" ht="13.5" thickTop="1" x14ac:dyDescent="0.2">
      <c r="A17" s="861">
        <v>46</v>
      </c>
      <c r="B17" s="862">
        <f>C17/3</f>
        <v>3133.3333333333335</v>
      </c>
      <c r="C17" s="863">
        <v>9400</v>
      </c>
      <c r="D17" s="863"/>
      <c r="E17" s="864">
        <v>2000</v>
      </c>
      <c r="F17" s="140" t="s">
        <v>611</v>
      </c>
    </row>
    <row r="18" spans="1:34" x14ac:dyDescent="0.2">
      <c r="A18" s="865">
        <v>70.5</v>
      </c>
      <c r="B18" s="866">
        <f t="shared" ref="B18:B28" si="0">C18/3</f>
        <v>4648.666666666667</v>
      </c>
      <c r="C18" s="867">
        <v>13946</v>
      </c>
      <c r="D18" s="867"/>
      <c r="E18" s="868">
        <v>15000</v>
      </c>
    </row>
    <row r="19" spans="1:34" x14ac:dyDescent="0.2">
      <c r="A19" s="865">
        <v>77</v>
      </c>
      <c r="B19" s="866">
        <f>C19/3</f>
        <v>6066.666666666667</v>
      </c>
      <c r="C19" s="867">
        <v>18200</v>
      </c>
      <c r="D19" s="867"/>
      <c r="E19" s="868">
        <v>15000</v>
      </c>
    </row>
    <row r="20" spans="1:34" x14ac:dyDescent="0.2">
      <c r="A20" s="869">
        <v>93</v>
      </c>
      <c r="B20" s="866">
        <f t="shared" si="0"/>
        <v>10000</v>
      </c>
      <c r="C20" s="870">
        <v>30000</v>
      </c>
      <c r="D20" s="870"/>
      <c r="E20" s="871">
        <v>15625</v>
      </c>
    </row>
    <row r="21" spans="1:34" ht="13.5" thickBot="1" x14ac:dyDescent="0.25">
      <c r="A21" s="872">
        <v>99</v>
      </c>
      <c r="B21" s="873">
        <f>C21/3</f>
        <v>12679.333333333334</v>
      </c>
      <c r="C21" s="874">
        <v>38038</v>
      </c>
      <c r="D21" s="874"/>
      <c r="E21" s="875">
        <v>15625</v>
      </c>
    </row>
    <row r="22" spans="1:34" ht="13.5" thickTop="1" x14ac:dyDescent="0.2">
      <c r="A22" s="861">
        <v>50</v>
      </c>
      <c r="B22" s="862">
        <f t="shared" si="0"/>
        <v>868</v>
      </c>
      <c r="C22" s="863">
        <f>868*3</f>
        <v>2604</v>
      </c>
      <c r="D22" s="863">
        <v>2464</v>
      </c>
      <c r="E22" s="864"/>
      <c r="F22" s="140" t="s">
        <v>609</v>
      </c>
    </row>
    <row r="23" spans="1:34" x14ac:dyDescent="0.2">
      <c r="A23" s="865">
        <v>70</v>
      </c>
      <c r="B23" s="866">
        <f t="shared" si="0"/>
        <v>2281</v>
      </c>
      <c r="C23" s="867">
        <f>2281*3</f>
        <v>6843</v>
      </c>
      <c r="D23" s="867">
        <v>8063</v>
      </c>
      <c r="E23" s="868"/>
    </row>
    <row r="24" spans="1:34" ht="13.5" thickBot="1" x14ac:dyDescent="0.25">
      <c r="A24" s="872">
        <v>99</v>
      </c>
      <c r="B24" s="873">
        <f t="shared" si="0"/>
        <v>5463</v>
      </c>
      <c r="C24" s="876">
        <f>5463*3</f>
        <v>16389</v>
      </c>
      <c r="D24" s="876">
        <v>21270</v>
      </c>
      <c r="E24" s="877"/>
    </row>
    <row r="25" spans="1:34" ht="13.5" thickTop="1" x14ac:dyDescent="0.2">
      <c r="A25" s="861">
        <v>50</v>
      </c>
      <c r="B25" s="862">
        <f t="shared" si="0"/>
        <v>1818</v>
      </c>
      <c r="C25" s="878">
        <f>1818*3</f>
        <v>5454</v>
      </c>
      <c r="D25" s="878">
        <v>5086</v>
      </c>
      <c r="E25" s="879"/>
      <c r="F25" s="140" t="s">
        <v>610</v>
      </c>
    </row>
    <row r="26" spans="1:34" x14ac:dyDescent="0.2">
      <c r="A26" s="869">
        <v>70</v>
      </c>
      <c r="B26" s="866">
        <f t="shared" si="0"/>
        <v>4230</v>
      </c>
      <c r="C26" s="870">
        <f>4230*3</f>
        <v>12690</v>
      </c>
      <c r="D26" s="870">
        <v>15104</v>
      </c>
      <c r="E26" s="871"/>
    </row>
    <row r="27" spans="1:34" ht="13.5" thickBot="1" x14ac:dyDescent="0.25">
      <c r="A27" s="869">
        <v>99</v>
      </c>
      <c r="B27" s="866">
        <f t="shared" si="0"/>
        <v>12936</v>
      </c>
      <c r="C27" s="870">
        <f>12936*3</f>
        <v>38808</v>
      </c>
      <c r="D27" s="870">
        <v>50124</v>
      </c>
      <c r="E27" s="871"/>
      <c r="P27" s="19"/>
      <c r="Q27" s="7" t="s">
        <v>618</v>
      </c>
      <c r="R27" s="19"/>
    </row>
    <row r="28" spans="1:34" ht="14.25" thickTop="1" thickBot="1" x14ac:dyDescent="0.25">
      <c r="A28" s="880">
        <v>128</v>
      </c>
      <c r="B28" s="873">
        <f t="shared" si="0"/>
        <v>27239</v>
      </c>
      <c r="C28" s="881">
        <f>27239*3</f>
        <v>81717</v>
      </c>
      <c r="D28" s="881">
        <v>101014</v>
      </c>
      <c r="E28" s="882"/>
      <c r="Q28" s="36" t="s">
        <v>12</v>
      </c>
      <c r="R28" s="37" t="s">
        <v>1189</v>
      </c>
      <c r="S28" s="37" t="s">
        <v>583</v>
      </c>
      <c r="T28" s="37" t="s">
        <v>526</v>
      </c>
      <c r="U28" s="38" t="s">
        <v>1185</v>
      </c>
      <c r="V28" s="635" t="s">
        <v>896</v>
      </c>
      <c r="AA28" s="635" t="s">
        <v>1207</v>
      </c>
      <c r="AB28" t="s">
        <v>12</v>
      </c>
      <c r="AC28" t="s">
        <v>434</v>
      </c>
      <c r="AD28" t="s">
        <v>445</v>
      </c>
      <c r="AE28" t="s">
        <v>1195</v>
      </c>
      <c r="AF28" t="s">
        <v>1193</v>
      </c>
      <c r="AG28" t="s">
        <v>1192</v>
      </c>
      <c r="AH28" t="s">
        <v>1191</v>
      </c>
    </row>
    <row r="29" spans="1:34" ht="14.25" thickTop="1" thickBot="1" x14ac:dyDescent="0.25">
      <c r="Q29" s="33">
        <v>126</v>
      </c>
      <c r="R29" s="34">
        <f>PI()*(Q29/2)^2</f>
        <v>12468.981242097889</v>
      </c>
      <c r="S29" s="34">
        <v>110</v>
      </c>
      <c r="T29" s="34">
        <v>240</v>
      </c>
      <c r="U29" s="35">
        <f>SUM(S29:T29)</f>
        <v>350</v>
      </c>
      <c r="Z29" s="929"/>
      <c r="AA29" s="635">
        <v>3.1</v>
      </c>
      <c r="AB29">
        <v>115</v>
      </c>
      <c r="AC29">
        <f>AB29/2</f>
        <v>57.5</v>
      </c>
      <c r="AD29">
        <f>AC29^3</f>
        <v>190109.375</v>
      </c>
      <c r="AE29" s="39">
        <f>PI()*(AB29/2)^2</f>
        <v>10386.890710931253</v>
      </c>
      <c r="AF29">
        <v>58.502000000000002</v>
      </c>
      <c r="AG29">
        <v>139.821</v>
      </c>
      <c r="AH29">
        <f>SUM(AF29:AG29)</f>
        <v>198.32300000000001</v>
      </c>
    </row>
    <row r="30" spans="1:34" ht="13.5" thickTop="1" x14ac:dyDescent="0.2">
      <c r="Z30" s="930"/>
      <c r="AA30" s="635">
        <v>6</v>
      </c>
      <c r="AB30">
        <v>127.4</v>
      </c>
      <c r="AC30">
        <f>AB30/2</f>
        <v>63.7</v>
      </c>
      <c r="AD30">
        <f>AC30^3</f>
        <v>258474.85300000003</v>
      </c>
      <c r="AE30" s="39">
        <f>PI()*(AB30/2)^2</f>
        <v>12747.609094544769</v>
      </c>
      <c r="AF30">
        <v>108.967</v>
      </c>
      <c r="AG30">
        <v>225.91499999999999</v>
      </c>
      <c r="AH30">
        <f>SUM(AF30:AG30)</f>
        <v>334.88200000000001</v>
      </c>
    </row>
    <row r="31" spans="1:34" x14ac:dyDescent="0.2">
      <c r="A31" s="883" t="s">
        <v>613</v>
      </c>
      <c r="B31" s="883">
        <f>SLOPE(E17:E21,B17:B21)</f>
        <v>0.95402537264402965</v>
      </c>
      <c r="Q31" t="s">
        <v>619</v>
      </c>
      <c r="Z31" s="929"/>
      <c r="AA31" s="635">
        <v>8</v>
      </c>
      <c r="AB31">
        <v>138</v>
      </c>
      <c r="AC31">
        <f>AB31/2</f>
        <v>69</v>
      </c>
      <c r="AD31">
        <f>AC31^3</f>
        <v>328509</v>
      </c>
      <c r="AE31" s="39">
        <f>PI()*(AB31/2)^2</f>
        <v>14957.122623741005</v>
      </c>
      <c r="AF31">
        <v>138.101</v>
      </c>
      <c r="AG31">
        <v>311.41300000000001</v>
      </c>
      <c r="AH31">
        <f>SUM(AF31:AG31)</f>
        <v>449.51400000000001</v>
      </c>
    </row>
    <row r="32" spans="1:34" x14ac:dyDescent="0.2">
      <c r="A32" s="883" t="s">
        <v>614</v>
      </c>
      <c r="B32" s="883">
        <f>INTERCEPT(E17:E21,B17:B21)</f>
        <v>5680.2722376117763</v>
      </c>
      <c r="Z32" s="929"/>
      <c r="AA32" s="635">
        <v>10</v>
      </c>
      <c r="AB32">
        <v>149</v>
      </c>
      <c r="AC32">
        <f>AB32/2</f>
        <v>74.5</v>
      </c>
      <c r="AD32">
        <f>AC32^3</f>
        <v>413493.625</v>
      </c>
      <c r="AE32" s="39">
        <f>PI()*(AB32/2)^2</f>
        <v>17436.624625586748</v>
      </c>
      <c r="AF32">
        <v>145.892</v>
      </c>
      <c r="AG32">
        <v>333.41300000000001</v>
      </c>
      <c r="AH32">
        <f>SUM(AF32:AG32)</f>
        <v>479.30500000000001</v>
      </c>
    </row>
    <row r="33" spans="16:29" x14ac:dyDescent="0.2">
      <c r="Z33" s="929"/>
      <c r="AA33" s="635"/>
      <c r="AC33" s="39"/>
    </row>
    <row r="34" spans="16:29" ht="13.5" thickBot="1" x14ac:dyDescent="0.25">
      <c r="P34" t="s">
        <v>549</v>
      </c>
      <c r="Z34" s="930"/>
      <c r="AA34" s="635"/>
      <c r="AC34" s="39"/>
    </row>
    <row r="35" spans="16:29" ht="14.25" thickTop="1" thickBot="1" x14ac:dyDescent="0.25">
      <c r="P35" s="915" t="s">
        <v>578</v>
      </c>
      <c r="Q35" s="272" t="s">
        <v>577</v>
      </c>
      <c r="R35" s="272" t="s">
        <v>550</v>
      </c>
      <c r="S35" s="272" t="s">
        <v>551</v>
      </c>
      <c r="T35" s="387" t="s">
        <v>552</v>
      </c>
    </row>
    <row r="36" spans="16:29" ht="13.5" thickTop="1" x14ac:dyDescent="0.2">
      <c r="P36" s="388" t="s">
        <v>553</v>
      </c>
      <c r="Q36" s="36">
        <v>2.2999999999999998</v>
      </c>
      <c r="R36" s="37">
        <v>2.2999999999999998</v>
      </c>
      <c r="S36" s="37">
        <v>3.6</v>
      </c>
      <c r="T36" s="38">
        <v>1.3</v>
      </c>
    </row>
    <row r="37" spans="16:29" x14ac:dyDescent="0.2">
      <c r="P37" s="389" t="s">
        <v>88</v>
      </c>
      <c r="Q37" s="30">
        <v>93</v>
      </c>
      <c r="R37" s="31">
        <v>82.4</v>
      </c>
      <c r="S37" s="31">
        <v>107</v>
      </c>
      <c r="T37" s="32">
        <v>62</v>
      </c>
    </row>
    <row r="38" spans="16:29" x14ac:dyDescent="0.2">
      <c r="P38" s="389" t="s">
        <v>1189</v>
      </c>
      <c r="Q38" s="30">
        <f>PI()*(Q37/2)^2</f>
        <v>6792.9087152245302</v>
      </c>
      <c r="R38" s="31">
        <f>PI()*(R37/2)^2</f>
        <v>5332.6650339094595</v>
      </c>
      <c r="S38" s="31">
        <f>PI()*(S37/2)^2</f>
        <v>8992.0235727373856</v>
      </c>
      <c r="T38" s="32">
        <f>PI()*(T37/2)^2</f>
        <v>3019.0705400997913</v>
      </c>
    </row>
    <row r="39" spans="16:29" x14ac:dyDescent="0.2">
      <c r="P39" s="389" t="s">
        <v>1185</v>
      </c>
      <c r="Q39" s="30">
        <f>SUM(Q40:Q41)</f>
        <v>120</v>
      </c>
      <c r="R39" s="31">
        <f>SUM(R40:R41)</f>
        <v>136</v>
      </c>
      <c r="S39" s="31">
        <f>SUM(S40:S41)</f>
        <v>220</v>
      </c>
      <c r="T39" s="32">
        <f>SUM(T40:T41)</f>
        <v>77</v>
      </c>
    </row>
    <row r="40" spans="16:29" x14ac:dyDescent="0.2">
      <c r="P40" s="389" t="s">
        <v>555</v>
      </c>
      <c r="Q40" s="30">
        <v>60</v>
      </c>
      <c r="R40" s="31">
        <v>54</v>
      </c>
      <c r="S40" s="31">
        <v>95</v>
      </c>
      <c r="T40" s="32">
        <v>30</v>
      </c>
    </row>
    <row r="41" spans="16:29" ht="13.5" thickBot="1" x14ac:dyDescent="0.25">
      <c r="P41" s="390" t="s">
        <v>556</v>
      </c>
      <c r="Q41" s="33">
        <v>60</v>
      </c>
      <c r="R41" s="34">
        <v>82</v>
      </c>
      <c r="S41" s="34">
        <v>125</v>
      </c>
      <c r="T41" s="35">
        <v>47</v>
      </c>
    </row>
    <row r="42" spans="16:29" ht="13.5" thickTop="1" x14ac:dyDescent="0.2"/>
    <row r="44" spans="16:29" ht="13.5" thickBot="1" x14ac:dyDescent="0.25">
      <c r="P44" s="39" t="s">
        <v>569</v>
      </c>
    </row>
    <row r="45" spans="16:29" ht="14.25" thickTop="1" thickBot="1" x14ac:dyDescent="0.25">
      <c r="P45" s="386" t="s">
        <v>558</v>
      </c>
      <c r="Q45" s="386" t="s">
        <v>559</v>
      </c>
      <c r="R45" s="272" t="s">
        <v>560</v>
      </c>
      <c r="S45" s="272" t="s">
        <v>561</v>
      </c>
      <c r="T45" s="272" t="s">
        <v>561</v>
      </c>
      <c r="U45" s="272" t="s">
        <v>562</v>
      </c>
      <c r="V45" s="387" t="s">
        <v>563</v>
      </c>
    </row>
    <row r="46" spans="16:29" ht="13.5" thickTop="1" x14ac:dyDescent="0.2">
      <c r="P46" s="829" t="s">
        <v>553</v>
      </c>
      <c r="Q46" s="36">
        <v>2</v>
      </c>
      <c r="R46" s="37">
        <v>1.65</v>
      </c>
      <c r="S46" s="37">
        <v>1.8</v>
      </c>
      <c r="T46" s="37">
        <v>3</v>
      </c>
      <c r="U46" s="37">
        <v>2.75</v>
      </c>
      <c r="V46" s="38">
        <v>4.5</v>
      </c>
    </row>
    <row r="47" spans="16:29" x14ac:dyDescent="0.2">
      <c r="P47" s="830" t="s">
        <v>88</v>
      </c>
      <c r="Q47" s="30">
        <v>80</v>
      </c>
      <c r="R47" s="31">
        <v>82</v>
      </c>
      <c r="S47" s="31">
        <v>90</v>
      </c>
      <c r="T47" s="31">
        <v>90</v>
      </c>
      <c r="U47" s="31">
        <v>100</v>
      </c>
      <c r="V47" s="32">
        <v>120</v>
      </c>
    </row>
    <row r="48" spans="16:29" x14ac:dyDescent="0.2">
      <c r="P48" s="830" t="s">
        <v>1189</v>
      </c>
      <c r="Q48" s="30">
        <f t="shared" ref="Q48:V48" si="1">PI()*(Q47/2)^2</f>
        <v>5026.5482457436692</v>
      </c>
      <c r="R48" s="31">
        <f t="shared" si="1"/>
        <v>5281.0172506844419</v>
      </c>
      <c r="S48" s="31">
        <f t="shared" si="1"/>
        <v>6361.7251235193307</v>
      </c>
      <c r="T48" s="31">
        <f t="shared" si="1"/>
        <v>6361.7251235193307</v>
      </c>
      <c r="U48" s="31">
        <f t="shared" si="1"/>
        <v>7853.981633974483</v>
      </c>
      <c r="V48" s="32">
        <f t="shared" si="1"/>
        <v>11309.733552923255</v>
      </c>
    </row>
    <row r="49" spans="16:23" x14ac:dyDescent="0.2">
      <c r="P49" s="830" t="s">
        <v>1185</v>
      </c>
      <c r="Q49" s="30">
        <f t="shared" ref="Q49:V49" si="2">SUM(Q50:Q51)</f>
        <v>104</v>
      </c>
      <c r="R49" s="31">
        <f t="shared" si="2"/>
        <v>95</v>
      </c>
      <c r="S49" s="31">
        <f t="shared" si="2"/>
        <v>106</v>
      </c>
      <c r="T49" s="31">
        <f t="shared" si="2"/>
        <v>111</v>
      </c>
      <c r="U49" s="31">
        <f t="shared" si="2"/>
        <v>114</v>
      </c>
      <c r="V49" s="32">
        <f t="shared" si="2"/>
        <v>220</v>
      </c>
    </row>
    <row r="50" spans="16:23" x14ac:dyDescent="0.2">
      <c r="P50" s="830" t="s">
        <v>555</v>
      </c>
      <c r="Q50" s="30">
        <v>37</v>
      </c>
      <c r="R50" s="31">
        <v>43</v>
      </c>
      <c r="S50" s="31">
        <v>38</v>
      </c>
      <c r="T50" s="31">
        <v>41</v>
      </c>
      <c r="U50" s="31">
        <v>44</v>
      </c>
      <c r="V50" s="32">
        <v>75</v>
      </c>
    </row>
    <row r="51" spans="16:23" ht="13.5" thickBot="1" x14ac:dyDescent="0.25">
      <c r="P51" s="831" t="s">
        <v>568</v>
      </c>
      <c r="Q51" s="33">
        <v>67</v>
      </c>
      <c r="R51" s="34">
        <v>52</v>
      </c>
      <c r="S51" s="34">
        <v>68</v>
      </c>
      <c r="T51" s="34">
        <v>70</v>
      </c>
      <c r="U51" s="34">
        <v>70</v>
      </c>
      <c r="V51" s="35">
        <v>145</v>
      </c>
    </row>
    <row r="52" spans="16:23" ht="13.5" thickTop="1" x14ac:dyDescent="0.2"/>
    <row r="54" spans="16:23" ht="13.5" thickBot="1" x14ac:dyDescent="0.25">
      <c r="P54" s="394" t="s">
        <v>581</v>
      </c>
    </row>
    <row r="55" spans="16:23" ht="13.5" thickTop="1" x14ac:dyDescent="0.2">
      <c r="P55" s="391" t="s">
        <v>553</v>
      </c>
      <c r="Q55" s="166">
        <v>2.5</v>
      </c>
    </row>
    <row r="56" spans="16:23" x14ac:dyDescent="0.2">
      <c r="P56" s="392" t="s">
        <v>88</v>
      </c>
      <c r="Q56" s="913">
        <v>93</v>
      </c>
    </row>
    <row r="57" spans="16:23" x14ac:dyDescent="0.2">
      <c r="P57" s="392" t="s">
        <v>1189</v>
      </c>
      <c r="Q57" s="913">
        <f>PI()*(Q56/2)^2</f>
        <v>6792.9087152245302</v>
      </c>
    </row>
    <row r="58" spans="16:23" x14ac:dyDescent="0.2">
      <c r="P58" s="392" t="s">
        <v>1185</v>
      </c>
      <c r="Q58" s="913">
        <f>SUM(Q59:Q60)</f>
        <v>124.149</v>
      </c>
    </row>
    <row r="59" spans="16:23" x14ac:dyDescent="0.2">
      <c r="P59" s="392" t="s">
        <v>555</v>
      </c>
      <c r="Q59" s="913">
        <v>53.593000000000004</v>
      </c>
    </row>
    <row r="60" spans="16:23" ht="13.5" thickBot="1" x14ac:dyDescent="0.25">
      <c r="P60" s="393" t="s">
        <v>526</v>
      </c>
      <c r="Q60" s="914">
        <v>70.555999999999997</v>
      </c>
    </row>
    <row r="61" spans="16:23" ht="13.5" thickTop="1" x14ac:dyDescent="0.2"/>
    <row r="62" spans="16:23" ht="13.5" thickBot="1" x14ac:dyDescent="0.25">
      <c r="P62" t="s">
        <v>130</v>
      </c>
    </row>
    <row r="63" spans="16:23" ht="14.25" thickTop="1" thickBot="1" x14ac:dyDescent="0.25">
      <c r="P63" s="926" t="s">
        <v>603</v>
      </c>
      <c r="Q63" s="916" t="s">
        <v>409</v>
      </c>
      <c r="R63" s="917"/>
      <c r="S63" s="917"/>
      <c r="T63" s="928"/>
      <c r="U63" s="916" t="s">
        <v>604</v>
      </c>
      <c r="V63" s="917"/>
      <c r="W63" s="918"/>
    </row>
    <row r="64" spans="16:23" ht="13.5" thickTop="1" x14ac:dyDescent="0.2">
      <c r="P64" s="391" t="s">
        <v>553</v>
      </c>
      <c r="Q64" s="27">
        <v>0.75</v>
      </c>
      <c r="R64" s="28">
        <v>1.5</v>
      </c>
      <c r="S64" s="28">
        <v>3</v>
      </c>
      <c r="T64" s="927">
        <v>5</v>
      </c>
      <c r="U64" s="27">
        <v>0.75</v>
      </c>
      <c r="V64" s="28">
        <v>1.5</v>
      </c>
      <c r="W64" s="29">
        <v>3</v>
      </c>
    </row>
    <row r="65" spans="16:26" x14ac:dyDescent="0.2">
      <c r="P65" s="392" t="s">
        <v>88</v>
      </c>
      <c r="Q65" s="30">
        <v>50</v>
      </c>
      <c r="R65" s="31">
        <v>70</v>
      </c>
      <c r="S65" s="31">
        <v>99</v>
      </c>
      <c r="T65" s="905">
        <v>128</v>
      </c>
      <c r="U65" s="30">
        <v>50</v>
      </c>
      <c r="V65" s="31">
        <v>70</v>
      </c>
      <c r="W65" s="32">
        <v>99</v>
      </c>
    </row>
    <row r="66" spans="16:26" x14ac:dyDescent="0.2">
      <c r="P66" s="392" t="s">
        <v>1189</v>
      </c>
      <c r="Q66" s="169">
        <f t="shared" ref="Q66:W66" si="3">PI()*(Q65/2)^2</f>
        <v>1963.4954084936207</v>
      </c>
      <c r="R66" s="31">
        <f t="shared" si="3"/>
        <v>3848.4510006474966</v>
      </c>
      <c r="S66" s="31">
        <f t="shared" si="3"/>
        <v>7697.6873994583902</v>
      </c>
      <c r="T66" s="905">
        <f t="shared" si="3"/>
        <v>12867.963509103793</v>
      </c>
      <c r="U66" s="30">
        <f t="shared" si="3"/>
        <v>1963.4954084936207</v>
      </c>
      <c r="V66" s="31">
        <f t="shared" si="3"/>
        <v>3848.4510006474966</v>
      </c>
      <c r="W66" s="32">
        <f t="shared" si="3"/>
        <v>7697.6873994583902</v>
      </c>
    </row>
    <row r="67" spans="16:26" x14ac:dyDescent="0.2">
      <c r="P67" s="392" t="s">
        <v>1185</v>
      </c>
      <c r="Q67" s="30">
        <f t="shared" ref="Q67:W67" si="4">SUM(Q68:Q69)</f>
        <v>33.286000000000001</v>
      </c>
      <c r="R67" s="31">
        <f t="shared" si="4"/>
        <v>84.85499999999999</v>
      </c>
      <c r="S67" s="31">
        <f t="shared" si="4"/>
        <v>233.91700000000003</v>
      </c>
      <c r="T67" s="905">
        <f t="shared" si="4"/>
        <v>480.07600000000002</v>
      </c>
      <c r="U67" s="30">
        <f t="shared" si="4"/>
        <v>25.206</v>
      </c>
      <c r="V67" s="31">
        <f t="shared" si="4"/>
        <v>63.799000000000007</v>
      </c>
      <c r="W67" s="32">
        <f t="shared" si="4"/>
        <v>161.36599999999999</v>
      </c>
    </row>
    <row r="68" spans="16:26" x14ac:dyDescent="0.2">
      <c r="P68" s="392" t="s">
        <v>555</v>
      </c>
      <c r="Q68" s="30">
        <v>12.381</v>
      </c>
      <c r="R68" s="31">
        <v>32.015999999999998</v>
      </c>
      <c r="S68" s="31">
        <v>101.319</v>
      </c>
      <c r="T68" s="905">
        <v>209.40700000000001</v>
      </c>
      <c r="U68" s="30">
        <v>6.0629999999999997</v>
      </c>
      <c r="V68" s="31">
        <v>17.882000000000001</v>
      </c>
      <c r="W68" s="32">
        <v>49.497999999999998</v>
      </c>
    </row>
    <row r="69" spans="16:26" ht="13.5" thickBot="1" x14ac:dyDescent="0.25">
      <c r="P69" s="925" t="s">
        <v>526</v>
      </c>
      <c r="Q69" s="33">
        <v>20.905000000000001</v>
      </c>
      <c r="R69" s="34">
        <v>52.838999999999999</v>
      </c>
      <c r="S69" s="34">
        <v>132.59800000000001</v>
      </c>
      <c r="T69" s="906">
        <v>270.66899999999998</v>
      </c>
      <c r="U69" s="33">
        <v>19.143000000000001</v>
      </c>
      <c r="V69" s="34">
        <v>45.917000000000002</v>
      </c>
      <c r="W69" s="35">
        <v>111.86799999999999</v>
      </c>
    </row>
    <row r="70" spans="16:26" ht="13.5" thickTop="1" x14ac:dyDescent="0.2"/>
    <row r="71" spans="16:26" x14ac:dyDescent="0.2">
      <c r="Z71" s="39"/>
    </row>
    <row r="72" spans="16:26" ht="13.5" thickBot="1" x14ac:dyDescent="0.25">
      <c r="P72" s="60" t="s">
        <v>162</v>
      </c>
    </row>
    <row r="73" spans="16:26" ht="14.25" thickTop="1" thickBot="1" x14ac:dyDescent="0.25">
      <c r="P73" s="386" t="s">
        <v>145</v>
      </c>
      <c r="Q73" s="922" t="s">
        <v>146</v>
      </c>
      <c r="R73" s="921" t="s">
        <v>147</v>
      </c>
      <c r="S73" s="921" t="s">
        <v>148</v>
      </c>
      <c r="T73" s="921" t="s">
        <v>149</v>
      </c>
      <c r="U73" s="387" t="s">
        <v>150</v>
      </c>
    </row>
    <row r="74" spans="16:26" ht="13.5" thickTop="1" x14ac:dyDescent="0.2">
      <c r="P74" s="829" t="s">
        <v>553</v>
      </c>
      <c r="Q74" s="36">
        <v>0.85</v>
      </c>
      <c r="R74" s="37">
        <v>0.85</v>
      </c>
      <c r="S74" s="37">
        <v>2</v>
      </c>
      <c r="T74" s="37">
        <v>2</v>
      </c>
      <c r="U74" s="907">
        <v>2</v>
      </c>
    </row>
    <row r="75" spans="16:26" x14ac:dyDescent="0.2">
      <c r="P75" s="830" t="s">
        <v>88</v>
      </c>
      <c r="Q75" s="30">
        <v>52</v>
      </c>
      <c r="R75" s="31">
        <v>58</v>
      </c>
      <c r="S75" s="31">
        <v>80</v>
      </c>
      <c r="T75" s="31">
        <v>83</v>
      </c>
      <c r="U75" s="923">
        <v>87</v>
      </c>
    </row>
    <row r="76" spans="16:26" x14ac:dyDescent="0.2">
      <c r="P76" s="830" t="s">
        <v>1189</v>
      </c>
      <c r="Q76" s="30">
        <f>PI()*(Q75/2)^2</f>
        <v>2123.7166338267002</v>
      </c>
      <c r="R76" s="31">
        <f>PI()*(R75/2)^2</f>
        <v>2642.079421669016</v>
      </c>
      <c r="S76" s="31">
        <f>PI()*(S75/2)^2</f>
        <v>5026.5482457436692</v>
      </c>
      <c r="T76" s="31">
        <f>PI()*(T75/2)^2</f>
        <v>5410.6079476450213</v>
      </c>
      <c r="U76" s="923">
        <f>PI()*(U75/2)^2</f>
        <v>5944.678698755286</v>
      </c>
    </row>
    <row r="77" spans="16:26" x14ac:dyDescent="0.2">
      <c r="P77" s="830" t="s">
        <v>1185</v>
      </c>
      <c r="Q77" s="30">
        <f>SUM(Q78:Q79)</f>
        <v>33</v>
      </c>
      <c r="R77" s="31">
        <f>SUM(R78:R79)</f>
        <v>35</v>
      </c>
      <c r="S77" s="31">
        <f>SUM(S78:S79)</f>
        <v>108</v>
      </c>
      <c r="T77" s="31">
        <f>SUM(T78:T79)</f>
        <v>110.5</v>
      </c>
      <c r="U77" s="923">
        <f>SUM(U78:U79)</f>
        <v>107</v>
      </c>
    </row>
    <row r="78" spans="16:26" x14ac:dyDescent="0.2">
      <c r="P78" s="830" t="s">
        <v>555</v>
      </c>
      <c r="Q78" s="30">
        <v>10</v>
      </c>
      <c r="R78" s="31">
        <v>12</v>
      </c>
      <c r="S78" s="31">
        <v>38</v>
      </c>
      <c r="T78" s="31">
        <v>40.5</v>
      </c>
      <c r="U78" s="923">
        <v>37</v>
      </c>
    </row>
    <row r="79" spans="16:26" ht="13.5" thickBot="1" x14ac:dyDescent="0.25">
      <c r="P79" s="831" t="s">
        <v>556</v>
      </c>
      <c r="Q79" s="33">
        <f>33-10</f>
        <v>23</v>
      </c>
      <c r="R79" s="34">
        <f>35-12</f>
        <v>23</v>
      </c>
      <c r="S79" s="34">
        <f>108-38</f>
        <v>70</v>
      </c>
      <c r="T79" s="34">
        <f>110.5-40.5</f>
        <v>70</v>
      </c>
      <c r="U79" s="924">
        <f>107-37</f>
        <v>70</v>
      </c>
    </row>
    <row r="80" spans="16:26" ht="13.5" thickTop="1" x14ac:dyDescent="0.2"/>
    <row r="82" spans="16:27" ht="13.5" thickBot="1" x14ac:dyDescent="0.25">
      <c r="P82" s="96"/>
      <c r="Q82" s="96"/>
      <c r="R82" s="96"/>
      <c r="S82" s="96"/>
      <c r="T82" s="96"/>
      <c r="U82" s="96"/>
      <c r="V82" s="96"/>
      <c r="W82" s="96"/>
    </row>
    <row r="83" spans="16:27" ht="14.25" thickTop="1" thickBot="1" x14ac:dyDescent="0.25">
      <c r="P83" s="160" t="s">
        <v>1177</v>
      </c>
      <c r="Q83" s="903" t="s">
        <v>1178</v>
      </c>
      <c r="R83" s="904" t="s">
        <v>231</v>
      </c>
      <c r="S83" s="904" t="s">
        <v>231</v>
      </c>
      <c r="T83" s="904" t="s">
        <v>234</v>
      </c>
      <c r="U83" s="904" t="s">
        <v>236</v>
      </c>
      <c r="V83" s="904" t="s">
        <v>238</v>
      </c>
      <c r="W83" s="273" t="s">
        <v>240</v>
      </c>
    </row>
    <row r="84" spans="16:27" ht="13.5" thickTop="1" x14ac:dyDescent="0.2">
      <c r="P84" s="166" t="s">
        <v>1179</v>
      </c>
      <c r="Q84" s="36" t="s">
        <v>1178</v>
      </c>
      <c r="R84" s="37" t="s">
        <v>232</v>
      </c>
      <c r="S84" s="37" t="s">
        <v>233</v>
      </c>
      <c r="T84" s="177" t="s">
        <v>235</v>
      </c>
      <c r="U84" s="37" t="s">
        <v>237</v>
      </c>
      <c r="V84" s="37" t="s">
        <v>239</v>
      </c>
      <c r="W84" s="907" t="s">
        <v>241</v>
      </c>
    </row>
    <row r="85" spans="16:27" x14ac:dyDescent="0.2">
      <c r="P85" s="913" t="s">
        <v>1180</v>
      </c>
      <c r="Q85" s="30" t="s">
        <v>1181</v>
      </c>
      <c r="R85" s="31">
        <v>5</v>
      </c>
      <c r="S85" s="31">
        <v>5</v>
      </c>
      <c r="T85" s="31">
        <v>5</v>
      </c>
      <c r="U85" s="31">
        <v>6</v>
      </c>
      <c r="V85" s="31">
        <v>5</v>
      </c>
      <c r="W85" s="32">
        <v>5</v>
      </c>
    </row>
    <row r="86" spans="16:27" x14ac:dyDescent="0.2">
      <c r="P86" s="913" t="s">
        <v>88</v>
      </c>
      <c r="Q86" s="30" t="s">
        <v>1182</v>
      </c>
      <c r="R86" s="31">
        <v>120</v>
      </c>
      <c r="S86" s="31">
        <v>128</v>
      </c>
      <c r="T86" s="31">
        <v>118</v>
      </c>
      <c r="U86" s="31">
        <v>129</v>
      </c>
      <c r="V86" s="31">
        <v>116</v>
      </c>
      <c r="W86" s="32">
        <v>126</v>
      </c>
    </row>
    <row r="87" spans="16:27" ht="14.25" x14ac:dyDescent="0.2">
      <c r="P87" s="913" t="s">
        <v>1189</v>
      </c>
      <c r="Q87" s="901" t="s">
        <v>1190</v>
      </c>
      <c r="R87" s="31">
        <f t="shared" ref="R87:W87" si="5">PI()*(R86/2)^2</f>
        <v>11309.733552923255</v>
      </c>
      <c r="S87" s="31">
        <f t="shared" si="5"/>
        <v>12867.963509103793</v>
      </c>
      <c r="T87" s="31">
        <f t="shared" si="5"/>
        <v>10935.88402714607</v>
      </c>
      <c r="U87" s="31">
        <f t="shared" si="5"/>
        <v>13069.810837096937</v>
      </c>
      <c r="V87" s="31">
        <f t="shared" si="5"/>
        <v>10568.317686676064</v>
      </c>
      <c r="W87" s="32">
        <f t="shared" si="5"/>
        <v>12468.981242097889</v>
      </c>
      <c r="Z87" s="39"/>
      <c r="AA87" s="39"/>
    </row>
    <row r="88" spans="16:27" x14ac:dyDescent="0.2">
      <c r="P88" s="913" t="s">
        <v>555</v>
      </c>
      <c r="Q88" s="30" t="s">
        <v>1187</v>
      </c>
      <c r="R88" s="31">
        <v>172.85499999999999</v>
      </c>
      <c r="S88" s="31">
        <v>209.40600000000001</v>
      </c>
      <c r="T88" s="31">
        <v>91.438999999999993</v>
      </c>
      <c r="U88" s="31">
        <v>83.715000000000003</v>
      </c>
      <c r="V88" s="31">
        <v>107.7</v>
      </c>
      <c r="W88" s="32">
        <v>110</v>
      </c>
    </row>
    <row r="89" spans="16:27" x14ac:dyDescent="0.2">
      <c r="P89" s="913" t="s">
        <v>526</v>
      </c>
      <c r="Q89" s="30" t="s">
        <v>1187</v>
      </c>
      <c r="R89" s="31">
        <v>246.626</v>
      </c>
      <c r="S89" s="31">
        <v>270.66899999999998</v>
      </c>
      <c r="T89" s="31">
        <v>250</v>
      </c>
      <c r="U89" s="31">
        <v>187.952</v>
      </c>
      <c r="V89" s="31">
        <v>194.09</v>
      </c>
      <c r="W89" s="32">
        <v>240</v>
      </c>
    </row>
    <row r="90" spans="16:27" ht="13.5" thickBot="1" x14ac:dyDescent="0.25">
      <c r="P90" s="902" t="s">
        <v>1185</v>
      </c>
      <c r="Q90" s="33" t="s">
        <v>1187</v>
      </c>
      <c r="R90" s="34">
        <v>419.48099999999999</v>
      </c>
      <c r="S90" s="34">
        <v>480.07499999999999</v>
      </c>
      <c r="T90" s="34">
        <v>341.43900000000002</v>
      </c>
      <c r="U90" s="34">
        <v>271.66699999999997</v>
      </c>
      <c r="V90" s="34">
        <v>301.79000000000002</v>
      </c>
      <c r="W90" s="35">
        <v>350</v>
      </c>
    </row>
    <row r="91" spans="16:27" ht="13.5" thickTop="1" x14ac:dyDescent="0.2"/>
  </sheetData>
  <pageMargins left="0.7" right="0.7" top="0.75" bottom="0.75" header="0.3" footer="0.3"/>
  <pageSetup orientation="portrait"/>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indexed="25"/>
  </sheetPr>
  <dimension ref="A1:D45"/>
  <sheetViews>
    <sheetView topLeftCell="A40" workbookViewId="0">
      <selection activeCell="T27" sqref="T27"/>
    </sheetView>
  </sheetViews>
  <sheetFormatPr defaultColWidth="8.85546875" defaultRowHeight="12.75" x14ac:dyDescent="0.2"/>
  <cols>
    <col min="1" max="1" width="35.42578125" bestFit="1" customWidth="1"/>
    <col min="2" max="2" width="10.7109375" customWidth="1"/>
    <col min="4" max="4" width="10.28515625" bestFit="1" customWidth="1"/>
  </cols>
  <sheetData>
    <row r="1" spans="1:4" x14ac:dyDescent="0.2">
      <c r="A1" s="1" t="str">
        <f>'Input &amp; Summary'!A1</f>
        <v>Based on Combined Land Based-Offshore Turbine Cost Model. V2.01.12</v>
      </c>
      <c r="B1" s="1"/>
      <c r="C1" s="1"/>
    </row>
    <row r="2" spans="1:4" ht="38.25" x14ac:dyDescent="0.2">
      <c r="A2" s="555" t="str">
        <f>'Input &amp; Summary'!A2</f>
        <v>Note:  This Model Contains Proprietary or Wind Technology Protected Data, and Should Not Be Released Outside of the DOE/NREL/SNL, until Further Notice.</v>
      </c>
      <c r="B2" s="555"/>
      <c r="C2" s="555"/>
    </row>
    <row r="4" spans="1:4" x14ac:dyDescent="0.2">
      <c r="A4" s="1" t="s">
        <v>504</v>
      </c>
      <c r="B4" s="1"/>
      <c r="C4" s="1"/>
      <c r="D4" s="1"/>
    </row>
    <row r="5" spans="1:4" ht="13.5" thickBot="1" x14ac:dyDescent="0.25"/>
    <row r="6" spans="1:4" ht="39" thickBot="1" x14ac:dyDescent="0.25">
      <c r="B6" s="220" t="s">
        <v>602</v>
      </c>
    </row>
    <row r="7" spans="1:4" ht="13.5" thickBot="1" x14ac:dyDescent="0.25">
      <c r="A7" s="221" t="s">
        <v>89</v>
      </c>
      <c r="B7" s="466">
        <f>'Input &amp; Summary'!B8</f>
        <v>96.9</v>
      </c>
    </row>
    <row r="8" spans="1:4" ht="13.5" thickBot="1" x14ac:dyDescent="0.25">
      <c r="A8" s="21"/>
      <c r="B8" s="119"/>
    </row>
    <row r="9" spans="1:4" ht="13.5" thickBot="1" x14ac:dyDescent="0.25">
      <c r="A9" s="21"/>
      <c r="B9" s="468" t="s">
        <v>100</v>
      </c>
    </row>
    <row r="10" spans="1:4" ht="13.5" thickBot="1" x14ac:dyDescent="0.25">
      <c r="A10" s="472" t="s">
        <v>527</v>
      </c>
      <c r="B10" s="469">
        <f>'Cost Summary'!C16</f>
        <v>27248.601187263586</v>
      </c>
      <c r="C10" s="22" t="s">
        <v>505</v>
      </c>
    </row>
    <row r="11" spans="1:4" ht="13.5" thickBot="1" x14ac:dyDescent="0.25">
      <c r="A11" s="472" t="s">
        <v>940</v>
      </c>
      <c r="B11" s="469">
        <f>B17*B10+B18</f>
        <v>4020.0038537506343</v>
      </c>
      <c r="C11" s="22"/>
    </row>
    <row r="12" spans="1:4" ht="26.25" thickBot="1" x14ac:dyDescent="0.25">
      <c r="A12" s="476" t="s">
        <v>528</v>
      </c>
      <c r="B12" s="469">
        <f>B11+B11*B20+B21</f>
        <v>5893.5651177808422</v>
      </c>
      <c r="C12" s="22"/>
    </row>
    <row r="13" spans="1:4" ht="13.5" thickBot="1" x14ac:dyDescent="0.25">
      <c r="A13" s="476" t="s">
        <v>171</v>
      </c>
      <c r="B13" s="469">
        <f>B26*B7^B27</f>
        <v>40023.257840633101</v>
      </c>
      <c r="C13" s="22"/>
    </row>
    <row r="14" spans="1:4" ht="26.25" thickBot="1" x14ac:dyDescent="0.25">
      <c r="A14" s="476" t="s">
        <v>503</v>
      </c>
      <c r="B14" s="122">
        <f>B13+B13*B28</f>
        <v>91253.027876643464</v>
      </c>
      <c r="C14" s="470">
        <f>'PPI Calculation'!D52</f>
        <v>1.3527532772941504</v>
      </c>
      <c r="D14" s="22" t="s">
        <v>590</v>
      </c>
    </row>
    <row r="15" spans="1:4" ht="13.5" thickBot="1" x14ac:dyDescent="0.25">
      <c r="A15" s="472" t="s">
        <v>652</v>
      </c>
      <c r="B15" s="122">
        <f>B14*C14</f>
        <v>123442.83252314391</v>
      </c>
      <c r="C15" s="550">
        <f>'Input &amp; Summary'!F7</f>
        <v>2010</v>
      </c>
      <c r="D15" s="567" t="s">
        <v>648</v>
      </c>
    </row>
    <row r="16" spans="1:4" x14ac:dyDescent="0.2">
      <c r="A16" s="21"/>
      <c r="B16" s="320"/>
      <c r="D16" s="22"/>
    </row>
    <row r="17" spans="1:4" x14ac:dyDescent="0.2">
      <c r="A17" s="137" t="s">
        <v>939</v>
      </c>
      <c r="B17" s="137">
        <v>0.1295</v>
      </c>
      <c r="D17" s="22"/>
    </row>
    <row r="18" spans="1:4" x14ac:dyDescent="0.2">
      <c r="A18" s="137" t="s">
        <v>942</v>
      </c>
      <c r="B18" s="137">
        <v>491.31</v>
      </c>
      <c r="D18" s="22"/>
    </row>
    <row r="19" spans="1:4" x14ac:dyDescent="0.2">
      <c r="A19" s="21"/>
      <c r="B19" s="795"/>
      <c r="D19" s="22"/>
    </row>
    <row r="20" spans="1:4" x14ac:dyDescent="0.2">
      <c r="A20" s="137" t="s">
        <v>943</v>
      </c>
      <c r="B20" s="792">
        <v>0.32800000000000001</v>
      </c>
      <c r="D20" s="22"/>
    </row>
    <row r="21" spans="1:4" x14ac:dyDescent="0.2">
      <c r="A21" s="137" t="s">
        <v>944</v>
      </c>
      <c r="B21" s="796">
        <v>555</v>
      </c>
      <c r="D21" s="22"/>
    </row>
    <row r="22" spans="1:4" x14ac:dyDescent="0.2">
      <c r="A22" s="21"/>
      <c r="B22" s="794"/>
      <c r="D22" s="22"/>
    </row>
    <row r="23" spans="1:4" x14ac:dyDescent="0.2">
      <c r="A23" s="21" t="s">
        <v>941</v>
      </c>
      <c r="B23" s="320"/>
      <c r="D23" s="22"/>
    </row>
    <row r="24" spans="1:4" x14ac:dyDescent="0.2">
      <c r="A24" s="21" t="s">
        <v>945</v>
      </c>
      <c r="B24" s="320"/>
      <c r="D24" s="22"/>
    </row>
    <row r="25" spans="1:4" x14ac:dyDescent="0.2">
      <c r="A25" s="21"/>
      <c r="B25" s="320"/>
      <c r="D25" s="22"/>
    </row>
    <row r="26" spans="1:4" x14ac:dyDescent="0.2">
      <c r="A26" s="137" t="s">
        <v>946</v>
      </c>
      <c r="B26" s="137">
        <v>0.21060000000000001</v>
      </c>
      <c r="D26" s="22"/>
    </row>
    <row r="27" spans="1:4" x14ac:dyDescent="0.2">
      <c r="A27" s="137" t="s">
        <v>947</v>
      </c>
      <c r="B27" s="137">
        <v>2.6576</v>
      </c>
      <c r="D27" s="22"/>
    </row>
    <row r="28" spans="1:4" x14ac:dyDescent="0.2">
      <c r="A28" s="137" t="s">
        <v>949</v>
      </c>
      <c r="B28" s="792">
        <v>1.28</v>
      </c>
      <c r="D28" s="22"/>
    </row>
    <row r="29" spans="1:4" x14ac:dyDescent="0.2">
      <c r="A29" s="21"/>
      <c r="B29" s="320"/>
      <c r="D29" s="22"/>
    </row>
    <row r="30" spans="1:4" x14ac:dyDescent="0.2">
      <c r="A30" s="21" t="s">
        <v>948</v>
      </c>
      <c r="B30" s="320"/>
      <c r="D30" s="22"/>
    </row>
    <row r="31" spans="1:4" x14ac:dyDescent="0.2">
      <c r="A31" s="21" t="s">
        <v>950</v>
      </c>
    </row>
    <row r="32" spans="1:4" ht="13.5" thickBot="1" x14ac:dyDescent="0.25"/>
    <row r="33" spans="1:4" ht="26.25" thickBot="1" x14ac:dyDescent="0.25">
      <c r="A33" s="339" t="s">
        <v>529</v>
      </c>
      <c r="B33" s="340"/>
      <c r="C33" s="341"/>
      <c r="D33" s="342"/>
    </row>
    <row r="34" spans="1:4" ht="51" x14ac:dyDescent="0.2">
      <c r="A34" s="338" t="s">
        <v>12</v>
      </c>
      <c r="B34" s="347" t="s">
        <v>530</v>
      </c>
      <c r="C34" s="344" t="s">
        <v>531</v>
      </c>
      <c r="D34" s="348" t="s">
        <v>532</v>
      </c>
    </row>
    <row r="35" spans="1:4" x14ac:dyDescent="0.2">
      <c r="A35" s="338">
        <v>46.6</v>
      </c>
      <c r="B35" s="345">
        <v>4227</v>
      </c>
      <c r="C35" s="349">
        <v>620</v>
      </c>
      <c r="D35" s="350">
        <v>4045</v>
      </c>
    </row>
    <row r="36" spans="1:4" x14ac:dyDescent="0.2">
      <c r="A36" s="322">
        <v>50</v>
      </c>
      <c r="B36" s="142">
        <f>1818*3</f>
        <v>5454</v>
      </c>
      <c r="C36" s="346">
        <v>1349</v>
      </c>
      <c r="D36" s="351">
        <v>9500</v>
      </c>
    </row>
    <row r="37" spans="1:4" x14ac:dyDescent="0.2">
      <c r="A37" s="322">
        <v>66</v>
      </c>
      <c r="B37" s="142">
        <v>11662</v>
      </c>
      <c r="C37" s="346">
        <v>1850</v>
      </c>
      <c r="D37" s="351">
        <v>13795</v>
      </c>
    </row>
    <row r="38" spans="1:4" x14ac:dyDescent="0.2">
      <c r="A38" s="322">
        <v>70</v>
      </c>
      <c r="B38" s="142">
        <f>4230*3</f>
        <v>12690</v>
      </c>
      <c r="C38" s="346">
        <v>2619</v>
      </c>
      <c r="D38" s="351">
        <v>18000</v>
      </c>
    </row>
    <row r="39" spans="1:4" x14ac:dyDescent="0.2">
      <c r="A39" s="322">
        <v>93</v>
      </c>
      <c r="B39" s="142">
        <v>31699</v>
      </c>
      <c r="C39" s="346">
        <v>4700</v>
      </c>
      <c r="D39" s="351">
        <v>31754</v>
      </c>
    </row>
    <row r="40" spans="1:4" x14ac:dyDescent="0.2">
      <c r="A40" s="322">
        <v>93</v>
      </c>
      <c r="B40" s="142">
        <v>30000</v>
      </c>
      <c r="C40" s="346">
        <v>4602</v>
      </c>
      <c r="D40" s="351">
        <f>50442/1.10536</f>
        <v>45634.001592241446</v>
      </c>
    </row>
    <row r="41" spans="1:4" x14ac:dyDescent="0.2">
      <c r="A41" s="322">
        <v>99</v>
      </c>
      <c r="B41" s="142">
        <f>12936*3</f>
        <v>38808</v>
      </c>
      <c r="C41" s="346">
        <v>6282</v>
      </c>
      <c r="D41" s="351">
        <v>42500</v>
      </c>
    </row>
    <row r="42" spans="1:4" x14ac:dyDescent="0.2">
      <c r="A42" s="352">
        <v>120</v>
      </c>
      <c r="B42" s="202">
        <v>66653</v>
      </c>
      <c r="C42" s="346">
        <v>5700</v>
      </c>
      <c r="D42" s="351"/>
    </row>
    <row r="43" spans="1:4" ht="13.5" thickBot="1" x14ac:dyDescent="0.25">
      <c r="A43" s="323">
        <v>128</v>
      </c>
      <c r="B43" s="246">
        <f>27239*3</f>
        <v>81717</v>
      </c>
      <c r="C43" s="353">
        <v>13338</v>
      </c>
      <c r="D43" s="354">
        <v>74608</v>
      </c>
    </row>
    <row r="44" spans="1:4" x14ac:dyDescent="0.2">
      <c r="A44" s="609" t="s">
        <v>729</v>
      </c>
      <c r="B44" s="600"/>
      <c r="C44" s="600"/>
      <c r="D44" s="601"/>
    </row>
    <row r="45" spans="1:4" ht="13.5" thickBot="1" x14ac:dyDescent="0.25">
      <c r="A45" s="602">
        <f>B7</f>
        <v>96.9</v>
      </c>
      <c r="B45" s="605">
        <f>B10</f>
        <v>27248.601187263586</v>
      </c>
      <c r="C45" s="605">
        <f>0.1295*B45+491.31</f>
        <v>4020.0038537506343</v>
      </c>
      <c r="D45" s="606">
        <f>0.2106*A45^2.6576</f>
        <v>40023.257840633101</v>
      </c>
    </row>
  </sheetData>
  <phoneticPr fontId="3" type="noConversion"/>
  <pageMargins left="0.75" right="0.75" top="1" bottom="1" header="0.5" footer="0.5"/>
  <pageSetup orientation="portrait" horizontalDpi="300" verticalDpi="300"/>
  <headerFooter alignWithMargin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57</vt:i4>
      </vt:variant>
      <vt:variant>
        <vt:lpstr>Named Ranges</vt:lpstr>
      </vt:variant>
      <vt:variant>
        <vt:i4>7</vt:i4>
      </vt:variant>
    </vt:vector>
  </HeadingPairs>
  <TitlesOfParts>
    <vt:vector size="64" baseType="lpstr">
      <vt:lpstr>Input &amp; Summary</vt:lpstr>
      <vt:lpstr>Cost Summary</vt:lpstr>
      <vt:lpstr>Cost &amp; Mass Functions</vt:lpstr>
      <vt:lpstr>Onshore vs Offshore</vt:lpstr>
      <vt:lpstr>Blade Mass &amp; Cost</vt:lpstr>
      <vt:lpstr>Hub Mass &amp; Cost</vt:lpstr>
      <vt:lpstr>Nacelle Mass</vt:lpstr>
      <vt:lpstr>Tower Top Mass</vt:lpstr>
      <vt:lpstr>Pitch Mech &amp; Bearings</vt:lpstr>
      <vt:lpstr>Nose cone</vt:lpstr>
      <vt:lpstr>Low Speed Shaft</vt:lpstr>
      <vt:lpstr>Bearings</vt:lpstr>
      <vt:lpstr>Gearbox</vt:lpstr>
      <vt:lpstr>Mech Brake &amp; Couplings</vt:lpstr>
      <vt:lpstr>Generators</vt:lpstr>
      <vt:lpstr>Variable Speed Elect</vt:lpstr>
      <vt:lpstr>Yaw Drive &amp; Bearing</vt:lpstr>
      <vt:lpstr>Mainframe</vt:lpstr>
      <vt:lpstr>Electrical Connections</vt:lpstr>
      <vt:lpstr>Hydraulic, Cooling System</vt:lpstr>
      <vt:lpstr>Nacelle Cover</vt:lpstr>
      <vt:lpstr>L-B Control, Safety System</vt:lpstr>
      <vt:lpstr>Tower</vt:lpstr>
      <vt:lpstr>L-B Foundations</vt:lpstr>
      <vt:lpstr>L-B Transportation</vt:lpstr>
      <vt:lpstr>L-B Roads, Civil</vt:lpstr>
      <vt:lpstr>L-B Assembly, Install</vt:lpstr>
      <vt:lpstr>L-B Electrical Interconnection</vt:lpstr>
      <vt:lpstr>L-B Permits &amp; Eng</vt:lpstr>
      <vt:lpstr>L-B LRC</vt:lpstr>
      <vt:lpstr>L-B O&amp;M</vt:lpstr>
      <vt:lpstr>L-B Lease Cost</vt:lpstr>
      <vt:lpstr>OS Control, Safety System</vt:lpstr>
      <vt:lpstr>OS Marinization</vt:lpstr>
      <vt:lpstr>OS Port &amp; Staging Equipment</vt:lpstr>
      <vt:lpstr>OS Permits, Eng, Site Assess</vt:lpstr>
      <vt:lpstr>OS Personnel Access Eqpt</vt:lpstr>
      <vt:lpstr>OS Scour Protection</vt:lpstr>
      <vt:lpstr>OS Surety Bond</vt:lpstr>
      <vt:lpstr>OS Warranty Premium</vt:lpstr>
      <vt:lpstr>OS LRC</vt:lpstr>
      <vt:lpstr>OS O&amp;M</vt:lpstr>
      <vt:lpstr>OS Lease Cost</vt:lpstr>
      <vt:lpstr>OSS Support Structure</vt:lpstr>
      <vt:lpstr>OSS Turbine Installation</vt:lpstr>
      <vt:lpstr>OSS Transportation </vt:lpstr>
      <vt:lpstr>OSS Elect Interf-Connect</vt:lpstr>
      <vt:lpstr>OST Support Structure</vt:lpstr>
      <vt:lpstr>OST Support Structure Install</vt:lpstr>
      <vt:lpstr>OST Structure Transport</vt:lpstr>
      <vt:lpstr>OST Turbine Transport</vt:lpstr>
      <vt:lpstr>OST Turbine Install</vt:lpstr>
      <vt:lpstr>OST Elect Interf-Connect</vt:lpstr>
      <vt:lpstr>Drive Train Efficiency</vt:lpstr>
      <vt:lpstr>AEP Input Output sheet</vt:lpstr>
      <vt:lpstr>PPI Calculation</vt:lpstr>
      <vt:lpstr>PPI Look Up Table</vt:lpstr>
      <vt:lpstr>'AEP Input Output sheet'!Print_Area</vt:lpstr>
      <vt:lpstr>'Cost &amp; Mass Functions'!Print_Area</vt:lpstr>
      <vt:lpstr>'Cost Summary'!Print_Area</vt:lpstr>
      <vt:lpstr>Gearbox!Print_Area</vt:lpstr>
      <vt:lpstr>'PPI Look Up Table'!Print_Area</vt:lpstr>
      <vt:lpstr>TurbineChoices</vt:lpstr>
      <vt:lpstr>TurbineProfiles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cp:lastPrinted>2008-08-28T19:37:02Z</cp:lastPrinted>
  <dcterms:created xsi:type="dcterms:W3CDTF">2005-12-27T16:32:59Z</dcterms:created>
  <dcterms:modified xsi:type="dcterms:W3CDTF">2015-03-20T16:32:24Z</dcterms:modified>
</cp:coreProperties>
</file>