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5C10680C-191C-4F8B-9AE0-E605EE2B8780}"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37" i="7" l="1"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AJ529" i="7" l="1"/>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H18" i="7"/>
  <c r="H16" i="7"/>
  <c r="S16" i="7"/>
  <c r="S156" i="7"/>
  <c r="S18" i="7"/>
  <c r="S27" i="7"/>
  <c r="X156" i="7"/>
  <c r="X27" i="7"/>
  <c r="X18" i="7"/>
  <c r="X16" i="7"/>
  <c r="AO156" i="7"/>
  <c r="AO27" i="7"/>
  <c r="AO18" i="7"/>
  <c r="AO16" i="7"/>
  <c r="AK156" i="7"/>
  <c r="AK27" i="7"/>
  <c r="AK18" i="7"/>
  <c r="AK16" i="7"/>
  <c r="G16" i="7"/>
  <c r="G156" i="7"/>
  <c r="G18" i="7"/>
  <c r="G27" i="7"/>
  <c r="L156" i="7"/>
  <c r="L27" i="7"/>
  <c r="L18" i="7"/>
  <c r="L16" i="7"/>
  <c r="AB156" i="7"/>
  <c r="AB27" i="7"/>
  <c r="AB18" i="7"/>
  <c r="AB16" i="7"/>
  <c r="B18" i="7"/>
  <c r="B16" i="7"/>
  <c r="C16" i="7"/>
  <c r="C156" i="7"/>
  <c r="C18" i="7"/>
  <c r="C27" i="7"/>
  <c r="Y156" i="7"/>
  <c r="Y27" i="7"/>
  <c r="Y18" i="7"/>
  <c r="Y16" i="7"/>
  <c r="U156" i="7"/>
  <c r="U27" i="7"/>
  <c r="U18" i="7"/>
  <c r="U16" i="7"/>
  <c r="AP156" i="7"/>
  <c r="AP27" i="7"/>
  <c r="AP18" i="7"/>
  <c r="AP16" i="7"/>
  <c r="M156" i="7"/>
  <c r="M27" i="7"/>
  <c r="M18" i="7"/>
  <c r="M16" i="7"/>
  <c r="Q156" i="7"/>
  <c r="Q27" i="7"/>
  <c r="Q18" i="7"/>
  <c r="Q16" i="7"/>
  <c r="R156" i="7"/>
  <c r="R27" i="7"/>
  <c r="R18" i="7"/>
  <c r="R16" i="7"/>
  <c r="P156" i="7"/>
  <c r="P27" i="7"/>
  <c r="P18" i="7"/>
  <c r="P16" i="7"/>
  <c r="AF156" i="7"/>
  <c r="AF27" i="7"/>
  <c r="AF18" i="7"/>
  <c r="AF16" i="7"/>
  <c r="I156" i="7"/>
  <c r="I27" i="7"/>
  <c r="I18" i="7"/>
  <c r="I16" i="7"/>
  <c r="AD156" i="7"/>
  <c r="AD27" i="7"/>
  <c r="AD18" i="7"/>
  <c r="AD16" i="7"/>
  <c r="E156" i="7"/>
  <c r="E27" i="7"/>
  <c r="E18" i="7"/>
  <c r="E16" i="7"/>
  <c r="Z156" i="7"/>
  <c r="Z27" i="7"/>
  <c r="Z18" i="7"/>
  <c r="Z16" i="7"/>
  <c r="K16" i="7"/>
  <c r="K156" i="7"/>
  <c r="K27" i="7"/>
  <c r="K18" i="7"/>
  <c r="W16" i="7"/>
  <c r="W156" i="7"/>
  <c r="W18" i="7"/>
  <c r="W27" i="7"/>
  <c r="AA16" i="7"/>
  <c r="AA156" i="7"/>
  <c r="AA27" i="7"/>
  <c r="AA18" i="7"/>
  <c r="AC156" i="7"/>
  <c r="AC27" i="7"/>
  <c r="AC18" i="7"/>
  <c r="AC16" i="7"/>
  <c r="AN156" i="7"/>
  <c r="AN27" i="7"/>
  <c r="AN18" i="7"/>
  <c r="AN16" i="7"/>
  <c r="O16" i="7"/>
  <c r="O156" i="7"/>
  <c r="O27" i="7"/>
  <c r="O18" i="7"/>
  <c r="AG156" i="7"/>
  <c r="AG27" i="7"/>
  <c r="AG18" i="7"/>
  <c r="AG16" i="7"/>
  <c r="F156" i="7"/>
  <c r="F27" i="7"/>
  <c r="F18" i="7"/>
  <c r="F16" i="7"/>
  <c r="T156" i="7"/>
  <c r="T27" i="7"/>
  <c r="T18" i="7"/>
  <c r="T16" i="7"/>
  <c r="AJ156" i="7"/>
  <c r="AJ27" i="7"/>
  <c r="AJ18" i="7"/>
  <c r="AJ16" i="7"/>
  <c r="N156" i="7"/>
  <c r="N27" i="7"/>
  <c r="N18" i="7"/>
  <c r="N16" i="7"/>
  <c r="AI16" i="7"/>
  <c r="AI156" i="7"/>
  <c r="AI18" i="7"/>
  <c r="AI27" i="7"/>
  <c r="J156" i="7"/>
  <c r="J27" i="7"/>
  <c r="J18" i="7"/>
  <c r="J16" i="7"/>
  <c r="AE16" i="7"/>
  <c r="AE156" i="7"/>
  <c r="AE27" i="7"/>
  <c r="AE18" i="7"/>
  <c r="V156" i="7"/>
  <c r="V27" i="7"/>
  <c r="V18" i="7"/>
  <c r="V16" i="7"/>
  <c r="AH156" i="7"/>
  <c r="AH27" i="7"/>
  <c r="AH18" i="7"/>
  <c r="AH16" i="7"/>
  <c r="AL156" i="7"/>
  <c r="AL27" i="7"/>
  <c r="AL18" i="7"/>
  <c r="AL16" i="7"/>
  <c r="AM16" i="7"/>
  <c r="AM156"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8"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0" i="7" l="1"/>
  <c r="AO591" i="7" s="1"/>
  <c r="AO38" i="7" s="1"/>
  <c r="AO586" i="7"/>
  <c r="AO587" i="7" s="1"/>
  <c r="AO551" i="7"/>
  <c r="AO552" i="7" s="1"/>
  <c r="AO137" i="7" s="1"/>
  <c r="AO582" i="7"/>
  <c r="AO583" i="7" s="1"/>
  <c r="AO578" i="7"/>
  <c r="AO579" i="7" s="1"/>
  <c r="AO545" i="7"/>
  <c r="AO546" i="7" s="1"/>
  <c r="AO136" i="7" s="1"/>
  <c r="AO55" i="7"/>
  <c r="AO74" i="7" s="1"/>
  <c r="AN586" i="7"/>
  <c r="AN587" i="7" s="1"/>
  <c r="AN551" i="7"/>
  <c r="AN552" i="7" s="1"/>
  <c r="AN137" i="7" s="1"/>
  <c r="AN590" i="7"/>
  <c r="AN591" i="7" s="1"/>
  <c r="AN38" i="7" s="1"/>
  <c r="AN578" i="7"/>
  <c r="AN579" i="7" s="1"/>
  <c r="AN545" i="7"/>
  <c r="AN546" i="7" s="1"/>
  <c r="AN136" i="7" s="1"/>
  <c r="AN582" i="7"/>
  <c r="AN583" i="7" s="1"/>
  <c r="AN55" i="7"/>
  <c r="AN74" i="7" s="1"/>
  <c r="AM582" i="7"/>
  <c r="AM583" i="7" s="1"/>
  <c r="AM578" i="7"/>
  <c r="AM579" i="7" s="1"/>
  <c r="AM545" i="7"/>
  <c r="AM546" i="7" s="1"/>
  <c r="AM136" i="7" s="1"/>
  <c r="AM55" i="7"/>
  <c r="AM74" i="7" s="1"/>
  <c r="AM590" i="7"/>
  <c r="AM591" i="7" s="1"/>
  <c r="AM38" i="7" s="1"/>
  <c r="AM586" i="7"/>
  <c r="AM587" i="7" s="1"/>
  <c r="AM551" i="7"/>
  <c r="AM552" i="7" s="1"/>
  <c r="AM137" i="7" s="1"/>
  <c r="AL586" i="7"/>
  <c r="AL587" i="7" s="1"/>
  <c r="AL551" i="7"/>
  <c r="AL552" i="7" s="1"/>
  <c r="AL137" i="7" s="1"/>
  <c r="AL590" i="7"/>
  <c r="AL591" i="7" s="1"/>
  <c r="AL38" i="7" s="1"/>
  <c r="AL578" i="7"/>
  <c r="AL579" i="7" s="1"/>
  <c r="AL545" i="7"/>
  <c r="AL546" i="7" s="1"/>
  <c r="AL136" i="7" s="1"/>
  <c r="AL582" i="7"/>
  <c r="AL583" i="7" s="1"/>
  <c r="AL55" i="7"/>
  <c r="AL74" i="7" s="1"/>
  <c r="AK590" i="7"/>
  <c r="AK591" i="7" s="1"/>
  <c r="AK38" i="7" s="1"/>
  <c r="AK586" i="7"/>
  <c r="AK587" i="7" s="1"/>
  <c r="AK582" i="7"/>
  <c r="AK583" i="7" s="1"/>
  <c r="AK578" i="7"/>
  <c r="AK579" i="7" s="1"/>
  <c r="AK545" i="7"/>
  <c r="AK546" i="7" s="1"/>
  <c r="AK136" i="7" s="1"/>
  <c r="AK55" i="7"/>
  <c r="AK74" i="7" s="1"/>
  <c r="AK551" i="7"/>
  <c r="AK552" i="7" s="1"/>
  <c r="AK137" i="7" s="1"/>
  <c r="AJ578" i="7"/>
  <c r="AJ579" i="7" s="1"/>
  <c r="AJ545" i="7"/>
  <c r="AJ546" i="7" s="1"/>
  <c r="AJ136" i="7" s="1"/>
  <c r="AJ582" i="7"/>
  <c r="AJ583" i="7" s="1"/>
  <c r="AJ55" i="7"/>
  <c r="AJ74" i="7" s="1"/>
  <c r="AJ586" i="7"/>
  <c r="AJ587" i="7" s="1"/>
  <c r="AJ551" i="7"/>
  <c r="AJ552" i="7" s="1"/>
  <c r="AJ137" i="7" s="1"/>
  <c r="AJ590" i="7"/>
  <c r="AJ591" i="7" s="1"/>
  <c r="AJ38" i="7" s="1"/>
  <c r="AH578" i="7"/>
  <c r="AH579" i="7" s="1"/>
  <c r="AH545" i="7"/>
  <c r="AH546" i="7" s="1"/>
  <c r="AH136" i="7" s="1"/>
  <c r="AH582" i="7"/>
  <c r="AH583" i="7" s="1"/>
  <c r="AH55" i="7"/>
  <c r="AH74" i="7" s="1"/>
  <c r="AH586" i="7"/>
  <c r="AH587" i="7" s="1"/>
  <c r="AH551" i="7"/>
  <c r="AH552" i="7" s="1"/>
  <c r="AH137" i="7" s="1"/>
  <c r="AH590" i="7"/>
  <c r="AH591" i="7" s="1"/>
  <c r="AH38" i="7" s="1"/>
  <c r="AG582" i="7"/>
  <c r="AG583" i="7" s="1"/>
  <c r="AG578" i="7"/>
  <c r="AG579" i="7" s="1"/>
  <c r="AG545" i="7"/>
  <c r="AG546" i="7" s="1"/>
  <c r="AG136" i="7" s="1"/>
  <c r="AG55" i="7"/>
  <c r="AG74" i="7" s="1"/>
  <c r="AG590" i="7"/>
  <c r="AG591" i="7" s="1"/>
  <c r="AG38" i="7" s="1"/>
  <c r="AG586" i="7"/>
  <c r="AG587" i="7" s="1"/>
  <c r="AG551" i="7"/>
  <c r="AG552" i="7" s="1"/>
  <c r="AG137" i="7" s="1"/>
  <c r="AP586" i="7"/>
  <c r="AP587" i="7" s="1"/>
  <c r="AP551" i="7"/>
  <c r="AP552" i="7" s="1"/>
  <c r="AP137" i="7" s="1"/>
  <c r="AP590" i="7"/>
  <c r="AP591" i="7" s="1"/>
  <c r="AP38" i="7" s="1"/>
  <c r="AP578" i="7"/>
  <c r="AP579" i="7" s="1"/>
  <c r="AP545" i="7"/>
  <c r="AP546" i="7" s="1"/>
  <c r="AP136" i="7" s="1"/>
  <c r="AP582" i="7"/>
  <c r="AP583" i="7" s="1"/>
  <c r="AP55" i="7"/>
  <c r="AP74" i="7" s="1"/>
  <c r="AI582" i="7"/>
  <c r="AI583" i="7" s="1"/>
  <c r="AI545" i="7"/>
  <c r="AI546" i="7" s="1"/>
  <c r="AI136" i="7" s="1"/>
  <c r="AI590" i="7"/>
  <c r="AI591" i="7" s="1"/>
  <c r="AI38" i="7" s="1"/>
  <c r="AI586" i="7"/>
  <c r="AI587" i="7" s="1"/>
  <c r="AI551" i="7"/>
  <c r="AI552" i="7" s="1"/>
  <c r="AI137" i="7" s="1"/>
  <c r="AI578" i="7"/>
  <c r="AI579" i="7" s="1"/>
  <c r="AI55" i="7"/>
  <c r="AI74" i="7" s="1"/>
  <c r="C578" i="7"/>
  <c r="C579" i="7" s="1"/>
  <c r="C55" i="7"/>
  <c r="C74" i="7" s="1"/>
  <c r="C586" i="7"/>
  <c r="C587" i="7" s="1"/>
  <c r="C582" i="7"/>
  <c r="C583" i="7" s="1"/>
  <c r="C545" i="7"/>
  <c r="C546" i="7" s="1"/>
  <c r="C136" i="7" s="1"/>
  <c r="C590" i="7"/>
  <c r="C591" i="7" s="1"/>
  <c r="C38" i="7" s="1"/>
  <c r="C39" i="7" s="1"/>
  <c r="C551" i="7"/>
  <c r="C552" i="7" s="1"/>
  <c r="C137" i="7" s="1"/>
  <c r="G590" i="7"/>
  <c r="G591" i="7" s="1"/>
  <c r="G38" i="7" s="1"/>
  <c r="G551" i="7"/>
  <c r="G552" i="7" s="1"/>
  <c r="G137" i="7" s="1"/>
  <c r="G578" i="7"/>
  <c r="G579" i="7" s="1"/>
  <c r="G55" i="7"/>
  <c r="G74" i="7" s="1"/>
  <c r="G586" i="7"/>
  <c r="G587" i="7" s="1"/>
  <c r="G582" i="7"/>
  <c r="G583" i="7" s="1"/>
  <c r="G545" i="7"/>
  <c r="G546" i="7" s="1"/>
  <c r="G136" i="7" s="1"/>
  <c r="K590" i="7"/>
  <c r="K591" i="7" s="1"/>
  <c r="K38" i="7" s="1"/>
  <c r="K551" i="7"/>
  <c r="K552" i="7" s="1"/>
  <c r="K137" i="7" s="1"/>
  <c r="K545" i="7"/>
  <c r="K546" i="7" s="1"/>
  <c r="K136" i="7" s="1"/>
  <c r="K578" i="7"/>
  <c r="K579" i="7" s="1"/>
  <c r="K586" i="7"/>
  <c r="K587" i="7" s="1"/>
  <c r="K582" i="7"/>
  <c r="K583" i="7" s="1"/>
  <c r="K55" i="7"/>
  <c r="K74" i="7" s="1"/>
  <c r="O590" i="7"/>
  <c r="O591" i="7" s="1"/>
  <c r="O38" i="7" s="1"/>
  <c r="O578" i="7"/>
  <c r="O579" i="7" s="1"/>
  <c r="O55" i="7"/>
  <c r="O74" i="7" s="1"/>
  <c r="O586" i="7"/>
  <c r="O587" i="7" s="1"/>
  <c r="O582" i="7"/>
  <c r="O583" i="7" s="1"/>
  <c r="O545" i="7"/>
  <c r="O546" i="7" s="1"/>
  <c r="O136" i="7" s="1"/>
  <c r="O551" i="7"/>
  <c r="O552" i="7" s="1"/>
  <c r="O137" i="7" s="1"/>
  <c r="S582" i="7"/>
  <c r="S583" i="7" s="1"/>
  <c r="S545" i="7"/>
  <c r="S546" i="7" s="1"/>
  <c r="S136" i="7" s="1"/>
  <c r="S590" i="7"/>
  <c r="S591" i="7" s="1"/>
  <c r="S38" i="7" s="1"/>
  <c r="S551" i="7"/>
  <c r="S552" i="7" s="1"/>
  <c r="S137" i="7" s="1"/>
  <c r="S578" i="7"/>
  <c r="S579" i="7" s="1"/>
  <c r="S55" i="7"/>
  <c r="S74" i="7" s="1"/>
  <c r="S586" i="7"/>
  <c r="S587" i="7" s="1"/>
  <c r="W582" i="7"/>
  <c r="W583" i="7" s="1"/>
  <c r="W545" i="7"/>
  <c r="W546" i="7" s="1"/>
  <c r="W136" i="7" s="1"/>
  <c r="W590" i="7"/>
  <c r="W591" i="7" s="1"/>
  <c r="W38" i="7" s="1"/>
  <c r="W551" i="7"/>
  <c r="W552" i="7" s="1"/>
  <c r="W137" i="7" s="1"/>
  <c r="W578" i="7"/>
  <c r="W579" i="7" s="1"/>
  <c r="W55" i="7"/>
  <c r="W74" i="7" s="1"/>
  <c r="W586" i="7"/>
  <c r="W587" i="7" s="1"/>
  <c r="AA582" i="7"/>
  <c r="AA583" i="7" s="1"/>
  <c r="AA545" i="7"/>
  <c r="AA546" i="7" s="1"/>
  <c r="AA136" i="7" s="1"/>
  <c r="AA590" i="7"/>
  <c r="AA591" i="7" s="1"/>
  <c r="AA38" i="7" s="1"/>
  <c r="AA551" i="7"/>
  <c r="AA552" i="7" s="1"/>
  <c r="AA137" i="7" s="1"/>
  <c r="AA578" i="7"/>
  <c r="AA579" i="7" s="1"/>
  <c r="AA55" i="7"/>
  <c r="AA74" i="7" s="1"/>
  <c r="AA586" i="7"/>
  <c r="AA587" i="7" s="1"/>
  <c r="AE590" i="7"/>
  <c r="AE591" i="7" s="1"/>
  <c r="AE38" i="7" s="1"/>
  <c r="AE551" i="7"/>
  <c r="AE552" i="7" s="1"/>
  <c r="AE137" i="7" s="1"/>
  <c r="AE578" i="7"/>
  <c r="AE579" i="7" s="1"/>
  <c r="AE55" i="7"/>
  <c r="AE74" i="7" s="1"/>
  <c r="AE586" i="7"/>
  <c r="AE587" i="7" s="1"/>
  <c r="AE582" i="7"/>
  <c r="AE583" i="7" s="1"/>
  <c r="AE545" i="7"/>
  <c r="AE546" i="7" s="1"/>
  <c r="AE136" i="7" s="1"/>
  <c r="F586" i="7"/>
  <c r="F587" i="7" s="1"/>
  <c r="F590" i="7"/>
  <c r="F591" i="7" s="1"/>
  <c r="F38" i="7" s="1"/>
  <c r="F545" i="7"/>
  <c r="F546" i="7" s="1"/>
  <c r="F136" i="7" s="1"/>
  <c r="F55" i="7"/>
  <c r="F74" i="7" s="1"/>
  <c r="F551" i="7"/>
  <c r="F552" i="7" s="1"/>
  <c r="F137" i="7" s="1"/>
  <c r="F578" i="7"/>
  <c r="F579" i="7" s="1"/>
  <c r="F582" i="7"/>
  <c r="F583" i="7" s="1"/>
  <c r="J545" i="7"/>
  <c r="J546" i="7" s="1"/>
  <c r="J136" i="7" s="1"/>
  <c r="J55" i="7"/>
  <c r="J74" i="7" s="1"/>
  <c r="J551" i="7"/>
  <c r="J552" i="7" s="1"/>
  <c r="J137" i="7" s="1"/>
  <c r="J578" i="7"/>
  <c r="J579" i="7" s="1"/>
  <c r="J582" i="7"/>
  <c r="J583" i="7" s="1"/>
  <c r="J586" i="7"/>
  <c r="J587" i="7" s="1"/>
  <c r="J590" i="7"/>
  <c r="J591" i="7" s="1"/>
  <c r="J38" i="7" s="1"/>
  <c r="N545" i="7"/>
  <c r="N546" i="7" s="1"/>
  <c r="N136" i="7" s="1"/>
  <c r="N55" i="7"/>
  <c r="N74" i="7" s="1"/>
  <c r="N551" i="7"/>
  <c r="N552" i="7" s="1"/>
  <c r="N137" i="7" s="1"/>
  <c r="N578" i="7"/>
  <c r="N579" i="7" s="1"/>
  <c r="N582" i="7"/>
  <c r="N583" i="7" s="1"/>
  <c r="N586" i="7"/>
  <c r="N587" i="7" s="1"/>
  <c r="N590" i="7"/>
  <c r="N591" i="7" s="1"/>
  <c r="N38" i="7" s="1"/>
  <c r="R578" i="7"/>
  <c r="R579" i="7" s="1"/>
  <c r="R582" i="7"/>
  <c r="R583" i="7" s="1"/>
  <c r="R586" i="7"/>
  <c r="R587" i="7" s="1"/>
  <c r="R590" i="7"/>
  <c r="R591" i="7" s="1"/>
  <c r="R38" i="7" s="1"/>
  <c r="R545" i="7"/>
  <c r="R546" i="7" s="1"/>
  <c r="R136" i="7" s="1"/>
  <c r="R55" i="7"/>
  <c r="R74" i="7" s="1"/>
  <c r="R551" i="7"/>
  <c r="R552" i="7" s="1"/>
  <c r="R137" i="7" s="1"/>
  <c r="V551" i="7"/>
  <c r="V552" i="7" s="1"/>
  <c r="V137" i="7" s="1"/>
  <c r="V545" i="7"/>
  <c r="V546" i="7" s="1"/>
  <c r="V136" i="7" s="1"/>
  <c r="V55" i="7"/>
  <c r="V74" i="7" s="1"/>
  <c r="V586" i="7"/>
  <c r="V587" i="7" s="1"/>
  <c r="V590" i="7"/>
  <c r="V591" i="7" s="1"/>
  <c r="V38" i="7" s="1"/>
  <c r="V578" i="7"/>
  <c r="V579" i="7" s="1"/>
  <c r="V582" i="7"/>
  <c r="V583" i="7" s="1"/>
  <c r="Z551" i="7"/>
  <c r="Z552" i="7" s="1"/>
  <c r="Z137" i="7" s="1"/>
  <c r="Z578" i="7"/>
  <c r="Z579" i="7" s="1"/>
  <c r="Z582" i="7"/>
  <c r="Z583" i="7" s="1"/>
  <c r="Z590" i="7"/>
  <c r="Z591" i="7" s="1"/>
  <c r="Z38" i="7" s="1"/>
  <c r="Z586" i="7"/>
  <c r="Z587" i="7" s="1"/>
  <c r="Z545" i="7"/>
  <c r="Z546" i="7" s="1"/>
  <c r="Z136" i="7" s="1"/>
  <c r="Z55" i="7"/>
  <c r="Z74" i="7" s="1"/>
  <c r="AD545" i="7"/>
  <c r="AD546" i="7" s="1"/>
  <c r="AD136" i="7" s="1"/>
  <c r="AD55" i="7"/>
  <c r="AD74" i="7" s="1"/>
  <c r="AD551" i="7"/>
  <c r="AD552" i="7" s="1"/>
  <c r="AD137" i="7" s="1"/>
  <c r="AD578" i="7"/>
  <c r="AD579" i="7" s="1"/>
  <c r="AD582" i="7"/>
  <c r="AD583" i="7" s="1"/>
  <c r="AD586" i="7"/>
  <c r="AD587" i="7" s="1"/>
  <c r="AD590" i="7"/>
  <c r="AD591" i="7" s="1"/>
  <c r="AD38" i="7" s="1"/>
  <c r="E590" i="7"/>
  <c r="E591" i="7" s="1"/>
  <c r="E38" i="7" s="1"/>
  <c r="E551" i="7"/>
  <c r="E552" i="7" s="1"/>
  <c r="E137" i="7" s="1"/>
  <c r="E578" i="7"/>
  <c r="E579" i="7" s="1"/>
  <c r="E55" i="7"/>
  <c r="E74" i="7" s="1"/>
  <c r="E586" i="7"/>
  <c r="E587" i="7" s="1"/>
  <c r="E582" i="7"/>
  <c r="E583" i="7" s="1"/>
  <c r="E545" i="7"/>
  <c r="E546" i="7" s="1"/>
  <c r="E136" i="7" s="1"/>
  <c r="I582" i="7"/>
  <c r="I583" i="7" s="1"/>
  <c r="I545" i="7"/>
  <c r="I546" i="7" s="1"/>
  <c r="I136" i="7" s="1"/>
  <c r="I590" i="7"/>
  <c r="I591" i="7" s="1"/>
  <c r="I38" i="7" s="1"/>
  <c r="I551" i="7"/>
  <c r="I552" i="7" s="1"/>
  <c r="I137" i="7" s="1"/>
  <c r="I578" i="7"/>
  <c r="I579" i="7" s="1"/>
  <c r="I55" i="7"/>
  <c r="I74" i="7" s="1"/>
  <c r="I586" i="7"/>
  <c r="I587" i="7" s="1"/>
  <c r="M590" i="7"/>
  <c r="M591" i="7" s="1"/>
  <c r="M38" i="7" s="1"/>
  <c r="M582" i="7"/>
  <c r="M583" i="7" s="1"/>
  <c r="M545" i="7"/>
  <c r="M546" i="7" s="1"/>
  <c r="M136" i="7" s="1"/>
  <c r="M586" i="7"/>
  <c r="M587" i="7" s="1"/>
  <c r="M551" i="7"/>
  <c r="M552" i="7" s="1"/>
  <c r="M137" i="7" s="1"/>
  <c r="M578" i="7"/>
  <c r="M579" i="7" s="1"/>
  <c r="M55" i="7"/>
  <c r="M74" i="7" s="1"/>
  <c r="Q590" i="7"/>
  <c r="Q591" i="7" s="1"/>
  <c r="Q38" i="7" s="1"/>
  <c r="Q551" i="7"/>
  <c r="Q552" i="7" s="1"/>
  <c r="Q137" i="7" s="1"/>
  <c r="Q578" i="7"/>
  <c r="Q579" i="7" s="1"/>
  <c r="Q55" i="7"/>
  <c r="Q74" i="7" s="1"/>
  <c r="Q586" i="7"/>
  <c r="Q587" i="7" s="1"/>
  <c r="Q582" i="7"/>
  <c r="Q583" i="7" s="1"/>
  <c r="Q545" i="7"/>
  <c r="Q546" i="7" s="1"/>
  <c r="Q136" i="7" s="1"/>
  <c r="U590" i="7"/>
  <c r="U591" i="7" s="1"/>
  <c r="U38" i="7" s="1"/>
  <c r="U551" i="7"/>
  <c r="U552" i="7" s="1"/>
  <c r="U137" i="7" s="1"/>
  <c r="U582" i="7"/>
  <c r="U583" i="7" s="1"/>
  <c r="U55" i="7"/>
  <c r="U74" i="7" s="1"/>
  <c r="U586" i="7"/>
  <c r="U587" i="7" s="1"/>
  <c r="U545" i="7"/>
  <c r="U546" i="7" s="1"/>
  <c r="U136" i="7" s="1"/>
  <c r="U578" i="7"/>
  <c r="U579" i="7" s="1"/>
  <c r="Y590" i="7"/>
  <c r="Y591" i="7" s="1"/>
  <c r="Y38" i="7" s="1"/>
  <c r="Y551" i="7"/>
  <c r="Y552" i="7" s="1"/>
  <c r="Y137" i="7" s="1"/>
  <c r="Y578" i="7"/>
  <c r="Y579" i="7" s="1"/>
  <c r="Y55" i="7"/>
  <c r="Y74" i="7" s="1"/>
  <c r="Y586" i="7"/>
  <c r="Y587" i="7" s="1"/>
  <c r="Y582" i="7"/>
  <c r="Y583" i="7" s="1"/>
  <c r="Y545" i="7"/>
  <c r="Y546" i="7" s="1"/>
  <c r="Y136" i="7" s="1"/>
  <c r="AC590" i="7"/>
  <c r="AC591" i="7" s="1"/>
  <c r="AC38" i="7" s="1"/>
  <c r="AC551" i="7"/>
  <c r="AC552" i="7" s="1"/>
  <c r="AC137" i="7" s="1"/>
  <c r="AC578" i="7"/>
  <c r="AC579" i="7" s="1"/>
  <c r="AC55" i="7"/>
  <c r="AC74" i="7" s="1"/>
  <c r="AC586" i="7"/>
  <c r="AC587" i="7" s="1"/>
  <c r="AC582" i="7"/>
  <c r="AC583" i="7" s="1"/>
  <c r="AC545" i="7"/>
  <c r="AC546" i="7" s="1"/>
  <c r="AC136" i="7" s="1"/>
  <c r="D586" i="7"/>
  <c r="D587" i="7" s="1"/>
  <c r="D590" i="7"/>
  <c r="D591" i="7" s="1"/>
  <c r="D38" i="7" s="1"/>
  <c r="D545" i="7"/>
  <c r="D546" i="7" s="1"/>
  <c r="D136" i="7" s="1"/>
  <c r="D55" i="7"/>
  <c r="D74" i="7" s="1"/>
  <c r="D551" i="7"/>
  <c r="D552" i="7" s="1"/>
  <c r="D137" i="7" s="1"/>
  <c r="D578" i="7"/>
  <c r="D579" i="7" s="1"/>
  <c r="D582" i="7"/>
  <c r="D583" i="7" s="1"/>
  <c r="H545" i="7"/>
  <c r="H546" i="7" s="1"/>
  <c r="H136" i="7" s="1"/>
  <c r="H55" i="7"/>
  <c r="H74" i="7" s="1"/>
  <c r="H578" i="7"/>
  <c r="H579" i="7" s="1"/>
  <c r="H582" i="7"/>
  <c r="H583" i="7" s="1"/>
  <c r="H586" i="7"/>
  <c r="H587" i="7" s="1"/>
  <c r="H590" i="7"/>
  <c r="H591" i="7" s="1"/>
  <c r="H38" i="7" s="1"/>
  <c r="H551" i="7"/>
  <c r="H552" i="7" s="1"/>
  <c r="H137" i="7" s="1"/>
  <c r="L545" i="7"/>
  <c r="L546" i="7" s="1"/>
  <c r="L136" i="7" s="1"/>
  <c r="L55" i="7"/>
  <c r="L74" i="7" s="1"/>
  <c r="L551" i="7"/>
  <c r="L552" i="7" s="1"/>
  <c r="L137" i="7" s="1"/>
  <c r="L578" i="7"/>
  <c r="L579" i="7" s="1"/>
  <c r="L582" i="7"/>
  <c r="L583" i="7" s="1"/>
  <c r="L586" i="7"/>
  <c r="L587" i="7" s="1"/>
  <c r="L590" i="7"/>
  <c r="L591" i="7" s="1"/>
  <c r="L38" i="7" s="1"/>
  <c r="P545" i="7"/>
  <c r="P546" i="7" s="1"/>
  <c r="P136" i="7" s="1"/>
  <c r="P55" i="7"/>
  <c r="P74" i="7" s="1"/>
  <c r="P551" i="7"/>
  <c r="P552" i="7" s="1"/>
  <c r="P137" i="7" s="1"/>
  <c r="P578" i="7"/>
  <c r="P579" i="7" s="1"/>
  <c r="P582" i="7"/>
  <c r="P583" i="7" s="1"/>
  <c r="P586" i="7"/>
  <c r="P587" i="7" s="1"/>
  <c r="P590" i="7"/>
  <c r="P591" i="7" s="1"/>
  <c r="P38" i="7" s="1"/>
  <c r="T586" i="7"/>
  <c r="T587" i="7" s="1"/>
  <c r="T590" i="7"/>
  <c r="T591" i="7" s="1"/>
  <c r="T38" i="7" s="1"/>
  <c r="T582" i="7"/>
  <c r="T583" i="7" s="1"/>
  <c r="T545" i="7"/>
  <c r="T546" i="7" s="1"/>
  <c r="T136" i="7" s="1"/>
  <c r="T551" i="7"/>
  <c r="T552" i="7" s="1"/>
  <c r="T137" i="7" s="1"/>
  <c r="T578" i="7"/>
  <c r="T579" i="7" s="1"/>
  <c r="T55" i="7"/>
  <c r="T74" i="7" s="1"/>
  <c r="X545" i="7"/>
  <c r="X546" i="7" s="1"/>
  <c r="X136" i="7" s="1"/>
  <c r="X55" i="7"/>
  <c r="X74" i="7" s="1"/>
  <c r="X551" i="7"/>
  <c r="X552" i="7" s="1"/>
  <c r="X137" i="7" s="1"/>
  <c r="X578" i="7"/>
  <c r="X579" i="7" s="1"/>
  <c r="X582" i="7"/>
  <c r="X583" i="7" s="1"/>
  <c r="X586" i="7"/>
  <c r="X587" i="7" s="1"/>
  <c r="X590" i="7"/>
  <c r="X591" i="7" s="1"/>
  <c r="X38" i="7" s="1"/>
  <c r="AB586" i="7"/>
  <c r="AB587" i="7" s="1"/>
  <c r="AB590" i="7"/>
  <c r="AB591" i="7" s="1"/>
  <c r="AB38" i="7" s="1"/>
  <c r="AB582" i="7"/>
  <c r="AB583" i="7" s="1"/>
  <c r="AB578" i="7"/>
  <c r="AB579" i="7" s="1"/>
  <c r="AB551" i="7"/>
  <c r="AB552" i="7" s="1"/>
  <c r="AB137" i="7" s="1"/>
  <c r="AB545" i="7"/>
  <c r="AB546" i="7" s="1"/>
  <c r="AB136" i="7" s="1"/>
  <c r="AB55" i="7"/>
  <c r="AB74" i="7" s="1"/>
  <c r="AF545" i="7"/>
  <c r="AF546" i="7" s="1"/>
  <c r="AF136" i="7" s="1"/>
  <c r="AF55" i="7"/>
  <c r="AF74" i="7" s="1"/>
  <c r="AF551" i="7"/>
  <c r="AF552" i="7" s="1"/>
  <c r="AF137" i="7" s="1"/>
  <c r="AF578" i="7"/>
  <c r="AF579" i="7" s="1"/>
  <c r="AF582" i="7"/>
  <c r="AF583" i="7" s="1"/>
  <c r="AF586" i="7"/>
  <c r="AF587" i="7" s="1"/>
  <c r="AF590" i="7"/>
  <c r="AF591" i="7" s="1"/>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<sst xmlns="http://schemas.openxmlformats.org/spreadsheetml/2006/main" count="798" uniqueCount="431">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</sst>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4.72656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ht="21" customHeight="1" x14ac:dyDescent="0.55000000000000004">
      <c r="A1" s="255"/>
      <c r="B1" s="277" t="s">
        <v>323</v>
      </c>
      <c r="C1" s="256"/>
      <c r="D1" s="255"/>
      <c r="E1" s="255"/>
      <c r="F1" s="255"/>
      <c r="G1" s="255"/>
      <c r="H1" s="255"/>
      <c r="I1" s="255"/>
      <c r="J1" s="83"/>
      <c r="K1" s="83"/>
      <c r="L1" s="83"/>
      <c r="M1" s="83"/>
      <c r="N1" s="83"/>
    </row>
    <row r="2" spans="1:48" ht="12.75" customHeight="1" x14ac:dyDescent="0.3">
      <c r="B2" s="5" t="s">
        <v>97</v>
      </c>
      <c r="C2" s="108"/>
      <c r="D2" s="83"/>
      <c r="E2" s="84" t="s">
        <v>84</v>
      </c>
      <c r="G2" s="83"/>
      <c r="H2" s="197"/>
      <c r="J2" s="83"/>
      <c r="K2" s="83"/>
      <c r="L2" s="83"/>
      <c r="M2" s="83"/>
      <c r="N2" s="83"/>
    </row>
    <row r="3" spans="1:48" ht="12.75" customHeight="1" x14ac:dyDescent="0.3">
      <c r="B3" s="64" t="s">
        <v>192</v>
      </c>
      <c r="C3" s="109">
        <v>0</v>
      </c>
      <c r="D3" s="83"/>
      <c r="E3" s="36" t="s">
        <v>176</v>
      </c>
      <c r="G3" s="83"/>
      <c r="H3" s="197"/>
      <c r="I3" s="123"/>
      <c r="J3" s="83"/>
      <c r="K3" s="83"/>
      <c r="L3" s="83"/>
      <c r="M3" s="83"/>
      <c r="N3" s="83"/>
    </row>
    <row r="4" spans="1:48" ht="12.75" customHeight="1" x14ac:dyDescent="0.3">
      <c r="B4" s="1"/>
      <c r="C4" s="112"/>
      <c r="D4" s="83"/>
      <c r="E4" s="223" t="s">
        <v>177</v>
      </c>
      <c r="G4" s="83"/>
      <c r="H4" s="27"/>
      <c r="I4" s="121"/>
      <c r="J4" s="83"/>
      <c r="K4" s="83"/>
      <c r="L4" s="83"/>
      <c r="M4" s="83"/>
      <c r="N4" s="83"/>
    </row>
    <row r="5" spans="1:48" ht="12.75" customHeight="1" x14ac:dyDescent="0.3">
      <c r="B5" s="5" t="s">
        <v>96</v>
      </c>
      <c r="C5" s="111"/>
      <c r="D5" s="83"/>
      <c r="E5" s="203" t="s">
        <v>343</v>
      </c>
      <c r="I5" s="123"/>
      <c r="K5" s="83"/>
      <c r="L5" s="83"/>
      <c r="M5" s="83"/>
      <c r="N5" s="83"/>
    </row>
    <row r="6" spans="1:48" x14ac:dyDescent="0.3">
      <c r="B6" s="37" t="s">
        <v>156</v>
      </c>
      <c r="C6" s="181">
        <v>0</v>
      </c>
      <c r="E6" s="245" t="s">
        <v>249</v>
      </c>
      <c r="G6" s="83"/>
      <c r="H6" s="83"/>
      <c r="I6" s="83"/>
      <c r="J6" s="83"/>
      <c r="K6" s="1"/>
      <c r="M6" s="20"/>
    </row>
    <row r="7" spans="1:48" x14ac:dyDescent="0.3">
      <c r="C7" s="112"/>
      <c r="G7" s="35"/>
      <c r="H7" s="35"/>
      <c r="I7" s="35"/>
      <c r="J7" s="35"/>
      <c r="M7" s="19"/>
    </row>
    <row r="8" spans="1:48" x14ac:dyDescent="0.3">
      <c r="B8" s="5" t="s">
        <v>157</v>
      </c>
      <c r="C8" s="111"/>
      <c r="E8" s="198" t="s">
        <v>198</v>
      </c>
      <c r="F8" s="199"/>
      <c r="G8" s="159"/>
      <c r="H8" s="123"/>
      <c r="I8" s="123"/>
      <c r="J8" s="123"/>
      <c r="M8" s="93"/>
      <c r="N8" s="27"/>
    </row>
    <row r="9" spans="1:48" x14ac:dyDescent="0.3">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3">
      <c r="B10" s="89" t="s">
        <v>181</v>
      </c>
      <c r="C10" s="107">
        <v>0</v>
      </c>
      <c r="E10" s="200" t="s">
        <v>199</v>
      </c>
      <c r="F10" s="110">
        <f>ppa_escalation</f>
        <v>0</v>
      </c>
      <c r="G10" s="123"/>
      <c r="J10" s="123"/>
      <c r="M10" s="93"/>
      <c r="N10" s="27"/>
    </row>
    <row r="11" spans="1:48" x14ac:dyDescent="0.3">
      <c r="B11" s="88" t="s">
        <v>416</v>
      </c>
      <c r="C11" s="106">
        <v>0</v>
      </c>
      <c r="E11" s="200" t="s">
        <v>247</v>
      </c>
      <c r="F11" s="110">
        <f>'Cash Flow'!B164</f>
        <v>0</v>
      </c>
      <c r="G11" s="123"/>
      <c r="H11" s="123"/>
      <c r="I11" s="155"/>
      <c r="J11" s="123"/>
      <c r="M11" s="93"/>
      <c r="N11" s="27"/>
    </row>
    <row r="12" spans="1:48" x14ac:dyDescent="0.3">
      <c r="B12" s="89" t="s">
        <v>181</v>
      </c>
      <c r="C12" s="107">
        <v>0</v>
      </c>
      <c r="E12" s="200" t="s">
        <v>346</v>
      </c>
      <c r="F12" s="110">
        <f>'Cash Flow'!B160</f>
        <v>0</v>
      </c>
      <c r="G12" s="123"/>
      <c r="H12" s="123"/>
      <c r="I12" s="155"/>
      <c r="J12" s="123"/>
      <c r="M12" s="93"/>
      <c r="N12" s="27"/>
    </row>
    <row r="13" spans="1:48" x14ac:dyDescent="0.3">
      <c r="B13" s="88" t="s">
        <v>159</v>
      </c>
      <c r="C13" s="106">
        <v>0</v>
      </c>
      <c r="E13" s="200" t="s">
        <v>318</v>
      </c>
      <c r="F13" s="179">
        <f>'Cash Flow'!B151</f>
        <v>0</v>
      </c>
      <c r="G13" s="123"/>
      <c r="H13" s="123"/>
      <c r="I13" s="155"/>
      <c r="J13" s="123"/>
      <c r="M13" s="93"/>
      <c r="N13" s="27"/>
    </row>
    <row r="14" spans="1:48" x14ac:dyDescent="0.3">
      <c r="B14" s="38" t="s">
        <v>181</v>
      </c>
      <c r="C14" s="114">
        <v>0</v>
      </c>
      <c r="E14" s="200" t="s">
        <v>319</v>
      </c>
      <c r="F14" s="179">
        <f>'Cash Flow'!B21 + NPV(host_nominal_discount_rate/100,'Cash Flow'!C21:AP21)</f>
        <v>0</v>
      </c>
      <c r="G14" s="123"/>
      <c r="H14" s="123"/>
      <c r="I14" s="155"/>
      <c r="J14" s="123"/>
      <c r="M14" s="93"/>
      <c r="N14" s="27"/>
    </row>
    <row r="15" spans="1:48" x14ac:dyDescent="0.3">
      <c r="B15" s="320"/>
      <c r="C15" s="321"/>
      <c r="D15" s="1"/>
      <c r="E15" s="200" t="s">
        <v>338</v>
      </c>
      <c r="F15" s="109">
        <f>'Cash Flow'!C16</f>
        <v>0</v>
      </c>
      <c r="G15" s="123"/>
      <c r="H15" s="123"/>
      <c r="I15" s="155"/>
      <c r="J15" s="123"/>
      <c r="M15" s="93"/>
      <c r="N15" s="27"/>
    </row>
    <row r="16" spans="1:48" x14ac:dyDescent="0.3">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3">
      <c r="B17" s="322" t="s">
        <v>412</v>
      </c>
      <c r="C17" s="109">
        <v>0</v>
      </c>
      <c r="D17" s="1"/>
      <c r="G17" s="123"/>
      <c r="H17" s="123"/>
      <c r="I17" s="155"/>
      <c r="J17" s="123"/>
      <c r="M17" s="93"/>
      <c r="N17" s="27"/>
    </row>
    <row r="18" spans="2:14" x14ac:dyDescent="0.3">
      <c r="B18" s="322" t="s">
        <v>413</v>
      </c>
      <c r="C18" s="109">
        <v>0</v>
      </c>
      <c r="D18" s="1"/>
      <c r="G18" s="123"/>
      <c r="H18" s="123"/>
      <c r="I18" s="155"/>
      <c r="J18" s="123"/>
      <c r="M18" s="93"/>
      <c r="N18" s="27"/>
    </row>
    <row r="19" spans="2:14" x14ac:dyDescent="0.3">
      <c r="B19" s="322" t="s">
        <v>414</v>
      </c>
      <c r="C19" s="109">
        <v>0</v>
      </c>
      <c r="D19" s="1"/>
      <c r="G19" s="123"/>
      <c r="H19" s="123"/>
      <c r="I19" s="155"/>
      <c r="J19" s="123"/>
      <c r="M19" s="93"/>
      <c r="N19" s="27"/>
    </row>
    <row r="20" spans="2:14" x14ac:dyDescent="0.3">
      <c r="G20" s="123"/>
      <c r="H20" s="123"/>
      <c r="I20" s="155"/>
      <c r="J20" s="123"/>
      <c r="M20" s="93"/>
      <c r="N20" s="27"/>
    </row>
    <row r="21" spans="2:14" x14ac:dyDescent="0.3">
      <c r="B21" s="219" t="s">
        <v>219</v>
      </c>
      <c r="C21" s="220"/>
      <c r="G21" s="123"/>
      <c r="H21" s="123"/>
      <c r="I21" s="155"/>
      <c r="J21" s="123"/>
      <c r="M21" s="93"/>
      <c r="N21" s="27"/>
    </row>
    <row r="22" spans="2:14" x14ac:dyDescent="0.3">
      <c r="B22" s="222" t="s">
        <v>223</v>
      </c>
      <c r="C22" s="116"/>
      <c r="G22" s="123"/>
      <c r="H22" s="123"/>
      <c r="I22" s="155"/>
      <c r="J22" s="123"/>
      <c r="M22" s="93"/>
      <c r="N22" s="27"/>
    </row>
    <row r="23" spans="2:14" x14ac:dyDescent="0.3">
      <c r="B23" s="50" t="s">
        <v>220</v>
      </c>
      <c r="C23" s="221">
        <v>0</v>
      </c>
      <c r="G23" s="123"/>
      <c r="H23" s="123"/>
      <c r="I23" s="155"/>
      <c r="J23" s="123"/>
      <c r="M23" s="93"/>
      <c r="N23" s="27"/>
    </row>
    <row r="24" spans="2:14" x14ac:dyDescent="0.3">
      <c r="B24" s="38" t="s">
        <v>243</v>
      </c>
      <c r="C24" s="110">
        <v>0</v>
      </c>
      <c r="G24" s="123"/>
      <c r="H24" s="123"/>
      <c r="I24" s="155"/>
      <c r="J24" s="123"/>
      <c r="M24" s="93"/>
      <c r="N24" s="27"/>
    </row>
    <row r="25" spans="2:14" x14ac:dyDescent="0.3">
      <c r="B25" s="89" t="s">
        <v>221</v>
      </c>
      <c r="C25" s="106">
        <v>0</v>
      </c>
      <c r="G25" s="184"/>
      <c r="H25" s="184"/>
      <c r="I25" s="185"/>
      <c r="J25" s="184"/>
      <c r="M25" s="93"/>
      <c r="N25" s="27"/>
    </row>
    <row r="26" spans="2:14" x14ac:dyDescent="0.3">
      <c r="B26" s="38" t="s">
        <v>222</v>
      </c>
      <c r="C26" s="119">
        <v>0</v>
      </c>
      <c r="G26" s="123"/>
      <c r="H26" s="123"/>
      <c r="I26" s="155"/>
      <c r="J26" s="123"/>
      <c r="M26" s="93"/>
      <c r="N26" s="27"/>
    </row>
    <row r="27" spans="2:14" x14ac:dyDescent="0.3">
      <c r="B27" s="90"/>
      <c r="C27" s="113"/>
      <c r="G27" s="123"/>
      <c r="H27" s="123"/>
      <c r="I27" s="155"/>
      <c r="J27" s="123"/>
      <c r="M27" s="93"/>
    </row>
    <row r="28" spans="2:14" ht="13.5" thickBot="1" x14ac:dyDescent="0.35">
      <c r="B28" s="219" t="s">
        <v>98</v>
      </c>
      <c r="C28" s="220"/>
      <c r="G28" s="123"/>
      <c r="H28" s="123"/>
      <c r="I28" s="155"/>
      <c r="J28" s="123"/>
      <c r="M28" s="93"/>
      <c r="N28" s="92"/>
    </row>
    <row r="29" spans="2:14" x14ac:dyDescent="0.3">
      <c r="B29" s="229" t="s">
        <v>99</v>
      </c>
      <c r="C29" s="230"/>
      <c r="G29" s="123"/>
      <c r="H29" s="123"/>
      <c r="I29" s="155"/>
      <c r="J29" s="123"/>
      <c r="M29" s="93"/>
      <c r="N29" s="1"/>
    </row>
    <row r="30" spans="2:14" x14ac:dyDescent="0.3">
      <c r="B30" s="246" t="s">
        <v>100</v>
      </c>
      <c r="C30" s="247" t="s">
        <v>176</v>
      </c>
      <c r="G30" s="123"/>
      <c r="H30" s="123"/>
      <c r="I30" s="155"/>
      <c r="J30" s="123"/>
      <c r="M30" s="93"/>
      <c r="N30" s="1"/>
    </row>
    <row r="31" spans="2:14" x14ac:dyDescent="0.3">
      <c r="B31" s="246" t="s">
        <v>101</v>
      </c>
      <c r="C31" s="248" t="s">
        <v>176</v>
      </c>
      <c r="G31" s="123"/>
      <c r="H31" s="123"/>
      <c r="I31" s="155"/>
      <c r="J31" s="123"/>
      <c r="M31" s="93"/>
      <c r="N31" s="1"/>
    </row>
    <row r="32" spans="2:14" x14ac:dyDescent="0.3">
      <c r="B32" s="246" t="s">
        <v>232</v>
      </c>
      <c r="C32" s="282">
        <v>0</v>
      </c>
      <c r="G32" s="123"/>
      <c r="H32" s="123"/>
      <c r="I32" s="155"/>
      <c r="J32" s="123"/>
      <c r="M32" s="93"/>
      <c r="N32" s="1"/>
    </row>
    <row r="33" spans="2:14" x14ac:dyDescent="0.3">
      <c r="B33" s="278" t="s">
        <v>107</v>
      </c>
      <c r="C33" s="279">
        <v>0</v>
      </c>
      <c r="G33" s="123"/>
      <c r="H33" s="123"/>
      <c r="I33" s="155"/>
      <c r="J33" s="123"/>
      <c r="M33" s="93"/>
      <c r="N33" s="1"/>
    </row>
    <row r="34" spans="2:14" ht="13.5" thickBot="1" x14ac:dyDescent="0.35">
      <c r="B34" s="249" t="s">
        <v>340</v>
      </c>
      <c r="C34" s="250" t="s">
        <v>17</v>
      </c>
      <c r="G34" s="123"/>
      <c r="H34" s="123"/>
      <c r="I34" s="155"/>
      <c r="J34" s="123"/>
      <c r="M34" s="93"/>
      <c r="N34" s="1"/>
    </row>
    <row r="35" spans="2:14" x14ac:dyDescent="0.3">
      <c r="B35" s="227" t="s">
        <v>102</v>
      </c>
      <c r="C35" s="228"/>
      <c r="G35" s="123"/>
      <c r="H35" s="123"/>
      <c r="I35" s="155"/>
      <c r="J35" s="123"/>
      <c r="M35" s="93"/>
      <c r="N35" s="1"/>
    </row>
    <row r="36" spans="2:14" x14ac:dyDescent="0.3">
      <c r="B36" s="38" t="s">
        <v>108</v>
      </c>
      <c r="C36" s="181">
        <v>0</v>
      </c>
      <c r="G36" s="123"/>
      <c r="H36" s="123"/>
      <c r="I36" s="155"/>
      <c r="J36" s="123"/>
      <c r="M36" s="93"/>
      <c r="N36" s="1"/>
    </row>
    <row r="37" spans="2:14" x14ac:dyDescent="0.3">
      <c r="B37" s="38" t="s">
        <v>109</v>
      </c>
      <c r="C37" s="114">
        <v>0</v>
      </c>
      <c r="G37" s="123"/>
      <c r="H37" s="123"/>
      <c r="I37" s="155"/>
      <c r="J37" s="123"/>
      <c r="K37" s="12"/>
      <c r="M37" s="93"/>
      <c r="N37" s="1"/>
    </row>
    <row r="38" spans="2:14" x14ac:dyDescent="0.3">
      <c r="B38" s="38" t="s">
        <v>320</v>
      </c>
      <c r="C38" s="117">
        <v>0</v>
      </c>
      <c r="G38" s="186"/>
      <c r="H38" s="123"/>
      <c r="I38" s="155"/>
      <c r="J38" s="123"/>
      <c r="K38" s="32"/>
      <c r="M38" s="93"/>
      <c r="N38" s="1"/>
    </row>
    <row r="39" spans="2:14" x14ac:dyDescent="0.3">
      <c r="B39" s="38" t="s">
        <v>321</v>
      </c>
      <c r="C39" s="118">
        <f>((inflation_rate/100+1)*(host_real_discount_rate/100+1)-1)*100</f>
        <v>0</v>
      </c>
      <c r="G39" s="123"/>
      <c r="H39" s="123"/>
      <c r="I39" s="155"/>
      <c r="J39" s="123"/>
      <c r="K39" s="32"/>
      <c r="M39" s="93"/>
      <c r="N39" s="1"/>
    </row>
    <row r="40" spans="2:14" x14ac:dyDescent="0.3">
      <c r="B40" s="38" t="s">
        <v>335</v>
      </c>
      <c r="C40" s="117">
        <v>0</v>
      </c>
      <c r="G40" s="186"/>
      <c r="H40" s="123"/>
      <c r="I40" s="155"/>
      <c r="J40" s="123"/>
      <c r="K40" s="32"/>
      <c r="M40" s="93"/>
      <c r="N40" s="1"/>
    </row>
    <row r="41" spans="2:14" x14ac:dyDescent="0.3">
      <c r="B41" s="38" t="s">
        <v>336</v>
      </c>
      <c r="C41" s="118">
        <f>((inflation_rate/100+1)*(real_discount_rate/100+1)-1)*100</f>
        <v>0</v>
      </c>
      <c r="G41" s="123"/>
      <c r="H41" s="123"/>
      <c r="I41" s="155"/>
      <c r="J41" s="123"/>
      <c r="K41" s="32"/>
      <c r="M41" s="93"/>
      <c r="N41" s="1"/>
    </row>
    <row r="42" spans="2:14" x14ac:dyDescent="0.3">
      <c r="B42" s="29" t="s">
        <v>103</v>
      </c>
      <c r="C42" s="116"/>
      <c r="G42" s="123"/>
      <c r="H42" s="123"/>
      <c r="I42" s="155"/>
      <c r="J42" s="123"/>
      <c r="M42" s="93"/>
      <c r="N42" s="1"/>
    </row>
    <row r="43" spans="2:14" x14ac:dyDescent="0.3">
      <c r="B43" s="38" t="s">
        <v>344</v>
      </c>
      <c r="C43" s="280">
        <f>AnnualTaxFederal</f>
        <v>0</v>
      </c>
      <c r="E43" s="196"/>
      <c r="F43" s="155"/>
      <c r="G43" s="123"/>
      <c r="H43" s="123"/>
      <c r="I43" s="155"/>
      <c r="J43" s="123"/>
      <c r="K43" s="12"/>
      <c r="M43" s="93"/>
      <c r="N43" s="1"/>
    </row>
    <row r="44" spans="2:14" x14ac:dyDescent="0.3">
      <c r="B44" s="38" t="s">
        <v>345</v>
      </c>
      <c r="C44" s="280">
        <f>AnnualTaxState</f>
        <v>0</v>
      </c>
      <c r="E44" s="196"/>
      <c r="F44" s="155"/>
      <c r="G44" s="123"/>
      <c r="H44" s="123"/>
      <c r="I44" s="155"/>
      <c r="J44" s="123"/>
      <c r="K44" s="32"/>
      <c r="M44" s="93"/>
      <c r="N44" s="1"/>
    </row>
    <row r="45" spans="2:14" x14ac:dyDescent="0.3">
      <c r="B45" s="38" t="s">
        <v>155</v>
      </c>
      <c r="C45" s="119">
        <v>0</v>
      </c>
      <c r="E45" s="196"/>
      <c r="F45" s="155"/>
      <c r="G45" s="123"/>
      <c r="H45" s="123"/>
      <c r="I45" s="155"/>
      <c r="J45" s="123"/>
      <c r="K45" s="32"/>
      <c r="M45" s="93"/>
      <c r="N45" s="1"/>
    </row>
    <row r="46" spans="2:14" x14ac:dyDescent="0.3">
      <c r="B46" s="38" t="s">
        <v>106</v>
      </c>
      <c r="C46" s="119">
        <v>0</v>
      </c>
      <c r="E46" s="183"/>
      <c r="F46" s="155"/>
      <c r="G46" s="123"/>
      <c r="H46" s="123"/>
      <c r="I46" s="155"/>
      <c r="J46" s="123"/>
      <c r="M46" s="93"/>
      <c r="N46" s="1"/>
    </row>
    <row r="47" spans="2:14" x14ac:dyDescent="0.3">
      <c r="B47" s="40" t="s">
        <v>0</v>
      </c>
      <c r="C47" s="115"/>
      <c r="E47" s="183"/>
      <c r="F47" s="155"/>
      <c r="G47" s="123"/>
      <c r="H47" s="123"/>
      <c r="I47" s="155"/>
      <c r="J47" s="123"/>
      <c r="K47" s="12"/>
      <c r="M47" s="93"/>
      <c r="N47" s="1"/>
    </row>
    <row r="48" spans="2:14" x14ac:dyDescent="0.3">
      <c r="B48" s="39" t="s">
        <v>110</v>
      </c>
      <c r="C48" s="120">
        <v>0</v>
      </c>
      <c r="E48" s="183"/>
      <c r="F48" s="155"/>
      <c r="G48" s="123"/>
      <c r="H48" s="123"/>
      <c r="I48" s="155"/>
      <c r="J48" s="123"/>
      <c r="K48" s="32"/>
      <c r="M48" s="93"/>
      <c r="N48" s="1"/>
    </row>
    <row r="49" spans="2:14" x14ac:dyDescent="0.3">
      <c r="B49" s="39" t="s">
        <v>112</v>
      </c>
      <c r="C49" s="251">
        <f>total_installed_cost*prop_tax_cost_assessed_percent/100</f>
        <v>0</v>
      </c>
      <c r="E49" s="183"/>
      <c r="F49" s="155"/>
      <c r="G49" s="123"/>
      <c r="H49" s="123"/>
      <c r="I49" s="155"/>
      <c r="J49" s="123"/>
      <c r="M49" s="93"/>
      <c r="N49" s="1"/>
    </row>
    <row r="50" spans="2:14" x14ac:dyDescent="0.3">
      <c r="B50" s="39" t="s">
        <v>111</v>
      </c>
      <c r="C50" s="119">
        <v>0</v>
      </c>
      <c r="E50" s="183"/>
      <c r="F50" s="155"/>
      <c r="G50" s="123"/>
      <c r="H50" s="123"/>
      <c r="I50" s="155"/>
      <c r="J50" s="123"/>
      <c r="K50" s="1"/>
      <c r="M50" s="93"/>
      <c r="N50" s="1"/>
    </row>
    <row r="51" spans="2:14" x14ac:dyDescent="0.3">
      <c r="B51" s="39" t="s">
        <v>113</v>
      </c>
      <c r="C51" s="119">
        <v>0</v>
      </c>
      <c r="E51" s="183"/>
      <c r="F51" s="155"/>
      <c r="G51" s="123"/>
      <c r="H51" s="123"/>
      <c r="I51" s="155"/>
      <c r="J51" s="123"/>
      <c r="M51" s="93"/>
      <c r="N51" s="1"/>
    </row>
    <row r="52" spans="2:14" x14ac:dyDescent="0.3">
      <c r="B52" s="29" t="s">
        <v>48</v>
      </c>
      <c r="C52" s="115"/>
      <c r="E52" s="183"/>
      <c r="F52" s="155"/>
      <c r="G52" s="123"/>
      <c r="H52" s="123"/>
      <c r="I52" s="155"/>
      <c r="J52" s="123"/>
      <c r="M52" s="93"/>
      <c r="N52" s="1"/>
    </row>
    <row r="53" spans="2:14" x14ac:dyDescent="0.3">
      <c r="B53" s="37" t="s">
        <v>179</v>
      </c>
      <c r="C53" s="114">
        <v>0</v>
      </c>
      <c r="E53" s="183"/>
      <c r="F53" s="155"/>
      <c r="G53" s="123"/>
      <c r="H53" s="123"/>
      <c r="I53" s="155"/>
      <c r="J53" s="123"/>
      <c r="M53" s="93"/>
      <c r="N53" s="1"/>
    </row>
    <row r="54" spans="2:14" x14ac:dyDescent="0.3">
      <c r="B54" s="37" t="s">
        <v>178</v>
      </c>
      <c r="C54" s="251">
        <f>total_installed_cost*salvage_percentage/100</f>
        <v>0</v>
      </c>
      <c r="G54" s="123"/>
      <c r="H54" s="123"/>
      <c r="I54" s="155"/>
      <c r="J54" s="123"/>
      <c r="M54" s="93"/>
      <c r="N54" s="1"/>
    </row>
    <row r="55" spans="2:14" x14ac:dyDescent="0.3">
      <c r="C55" s="121"/>
      <c r="I55" s="20"/>
      <c r="M55" s="93"/>
      <c r="N55" s="1"/>
    </row>
    <row r="56" spans="2:14" ht="13.5" thickBot="1" x14ac:dyDescent="0.35">
      <c r="B56" s="219" t="s">
        <v>117</v>
      </c>
      <c r="C56" s="220"/>
      <c r="I56" s="20"/>
      <c r="M56" s="93"/>
      <c r="N56" s="1"/>
    </row>
    <row r="57" spans="2:14" x14ac:dyDescent="0.3">
      <c r="B57" s="272" t="s">
        <v>279</v>
      </c>
      <c r="C57" s="273"/>
      <c r="I57" s="20"/>
      <c r="M57" s="93"/>
      <c r="N57" s="1"/>
    </row>
    <row r="58" spans="2:14" x14ac:dyDescent="0.3">
      <c r="B58" s="246" t="s">
        <v>347</v>
      </c>
      <c r="C58" s="247" t="s">
        <v>176</v>
      </c>
      <c r="I58" s="20"/>
      <c r="M58" s="93"/>
      <c r="N58" s="1"/>
    </row>
    <row r="59" spans="2:14" x14ac:dyDescent="0.3">
      <c r="B59" s="246" t="s">
        <v>348</v>
      </c>
      <c r="C59" s="247" t="s">
        <v>271</v>
      </c>
      <c r="I59" s="20"/>
      <c r="M59" s="93"/>
      <c r="N59" s="1"/>
    </row>
    <row r="60" spans="2:14" x14ac:dyDescent="0.3">
      <c r="B60" s="246" t="s">
        <v>349</v>
      </c>
      <c r="C60" s="247">
        <v>0</v>
      </c>
      <c r="I60" s="20"/>
      <c r="M60" s="93"/>
      <c r="N60" s="1"/>
    </row>
    <row r="61" spans="2:14" x14ac:dyDescent="0.3">
      <c r="B61" s="278" t="s">
        <v>350</v>
      </c>
      <c r="C61" s="279" t="s">
        <v>17</v>
      </c>
      <c r="I61" s="20"/>
      <c r="M61" s="93"/>
      <c r="N61" s="1"/>
    </row>
    <row r="62" spans="2:14" x14ac:dyDescent="0.3">
      <c r="B62" s="278" t="s">
        <v>351</v>
      </c>
      <c r="C62" s="279">
        <v>100</v>
      </c>
      <c r="I62" s="20"/>
      <c r="M62" s="93"/>
      <c r="N62" s="1"/>
    </row>
    <row r="63" spans="2:14" ht="13.5" thickBot="1" x14ac:dyDescent="0.35">
      <c r="B63" s="249" t="s">
        <v>352</v>
      </c>
      <c r="C63" s="250" t="s">
        <v>281</v>
      </c>
      <c r="I63" s="20"/>
      <c r="M63" s="93"/>
      <c r="N63" s="1"/>
    </row>
    <row r="64" spans="2:14" x14ac:dyDescent="0.3">
      <c r="B64" s="227" t="s">
        <v>248</v>
      </c>
      <c r="C64" s="221"/>
      <c r="E64" s="121"/>
      <c r="I64" s="20"/>
      <c r="M64" s="93"/>
      <c r="N64" s="1"/>
    </row>
    <row r="65" spans="2:14" x14ac:dyDescent="0.3">
      <c r="B65" s="38" t="s">
        <v>118</v>
      </c>
      <c r="C65" s="181">
        <v>0</v>
      </c>
      <c r="D65" s="85"/>
      <c r="E65" s="121"/>
      <c r="I65" s="20"/>
      <c r="M65" s="93"/>
      <c r="N65" s="1"/>
    </row>
    <row r="66" spans="2:14" x14ac:dyDescent="0.3">
      <c r="B66" s="38" t="s">
        <v>280</v>
      </c>
      <c r="C66" s="181">
        <v>0</v>
      </c>
      <c r="D66" s="85"/>
      <c r="E66" s="121"/>
      <c r="I66" s="20"/>
      <c r="M66" s="93"/>
      <c r="N66" s="1"/>
    </row>
    <row r="67" spans="2:14" x14ac:dyDescent="0.3">
      <c r="B67" s="38" t="s">
        <v>119</v>
      </c>
      <c r="C67" s="119">
        <v>0</v>
      </c>
      <c r="D67" s="85"/>
      <c r="E67" s="121"/>
      <c r="I67" s="20"/>
      <c r="M67" s="93"/>
      <c r="N67" s="1"/>
    </row>
    <row r="68" spans="2:14" x14ac:dyDescent="0.3">
      <c r="B68" s="38" t="s">
        <v>120</v>
      </c>
      <c r="C68" s="109">
        <v>0</v>
      </c>
      <c r="D68" s="85"/>
      <c r="E68" s="159"/>
      <c r="I68" s="20"/>
      <c r="M68" s="93"/>
      <c r="N68" s="1"/>
    </row>
    <row r="69" spans="2:14" x14ac:dyDescent="0.3">
      <c r="B69" s="38" t="s">
        <v>121</v>
      </c>
      <c r="C69" s="119">
        <v>0</v>
      </c>
      <c r="D69" s="85"/>
      <c r="E69" s="159"/>
      <c r="I69" s="20"/>
      <c r="M69" s="93"/>
      <c r="N69" s="1"/>
    </row>
    <row r="70" spans="2:14" x14ac:dyDescent="0.3">
      <c r="B70" s="38" t="s">
        <v>253</v>
      </c>
      <c r="C70" s="203">
        <v>0</v>
      </c>
      <c r="D70" s="27"/>
      <c r="I70" s="20"/>
      <c r="M70" s="93"/>
      <c r="N70" s="1"/>
    </row>
    <row r="71" spans="2:14" x14ac:dyDescent="0.3">
      <c r="C71" s="102"/>
      <c r="I71" s="20"/>
      <c r="M71" s="93"/>
      <c r="N71" s="1"/>
    </row>
    <row r="72" spans="2:14" x14ac:dyDescent="0.3">
      <c r="B72" s="5" t="s">
        <v>122</v>
      </c>
      <c r="C72" s="103"/>
      <c r="I72" s="20"/>
      <c r="M72" s="93"/>
      <c r="N72" s="1"/>
    </row>
    <row r="73" spans="2:14" x14ac:dyDescent="0.3">
      <c r="B73" s="37" t="s">
        <v>123</v>
      </c>
      <c r="C73" s="104">
        <v>0</v>
      </c>
      <c r="I73" s="20"/>
      <c r="M73" s="93"/>
      <c r="N73" s="1"/>
    </row>
    <row r="74" spans="2:14" x14ac:dyDescent="0.3">
      <c r="C74" s="102"/>
      <c r="I74" s="20"/>
      <c r="M74" s="93"/>
      <c r="N74" s="1"/>
    </row>
    <row r="75" spans="2:14" x14ac:dyDescent="0.3">
      <c r="B75" s="5" t="s">
        <v>135</v>
      </c>
      <c r="C75" s="103"/>
      <c r="M75" s="93"/>
      <c r="N75" s="1"/>
    </row>
    <row r="76" spans="2:14" x14ac:dyDescent="0.3">
      <c r="B76" s="37" t="s">
        <v>180</v>
      </c>
      <c r="C76" s="104">
        <v>0</v>
      </c>
      <c r="M76" s="93"/>
      <c r="N76" s="1"/>
    </row>
    <row r="77" spans="2:14" x14ac:dyDescent="0.3">
      <c r="C77" s="105"/>
      <c r="M77" s="93"/>
      <c r="N77" s="1"/>
    </row>
    <row r="78" spans="2:14" x14ac:dyDescent="0.3">
      <c r="B78" s="5" t="s">
        <v>214</v>
      </c>
      <c r="C78" s="7"/>
      <c r="D78" s="7"/>
      <c r="E78" s="7"/>
      <c r="F78" s="7"/>
      <c r="G78" s="7"/>
      <c r="H78" s="7"/>
      <c r="I78" s="6"/>
      <c r="M78" s="93"/>
      <c r="N78" s="1"/>
    </row>
    <row r="79" spans="2:14" ht="26" x14ac:dyDescent="0.3">
      <c r="B79" s="37"/>
      <c r="C79" s="217" t="s">
        <v>129</v>
      </c>
      <c r="D79" s="216" t="s">
        <v>130</v>
      </c>
      <c r="E79" s="216" t="s">
        <v>131</v>
      </c>
      <c r="F79" s="216" t="s">
        <v>132</v>
      </c>
      <c r="G79" s="216" t="s">
        <v>24</v>
      </c>
      <c r="H79" s="216" t="s">
        <v>25</v>
      </c>
      <c r="I79" s="216" t="s">
        <v>133</v>
      </c>
      <c r="M79" s="93"/>
      <c r="N79" s="1"/>
    </row>
    <row r="80" spans="2:14" x14ac:dyDescent="0.3">
      <c r="B80" s="37" t="s">
        <v>124</v>
      </c>
      <c r="C80" s="187">
        <v>0</v>
      </c>
      <c r="D80" s="189">
        <v>0</v>
      </c>
      <c r="E80" s="158">
        <v>0</v>
      </c>
      <c r="F80" s="192">
        <v>0</v>
      </c>
      <c r="G80" s="187">
        <f>C80/100*total_installed_cost</f>
        <v>0</v>
      </c>
      <c r="H80" s="187">
        <f>G80*F80/100*E80/12*0.5</f>
        <v>0</v>
      </c>
      <c r="I80" s="187">
        <f>H80+D80/100*G80</f>
        <v>0</v>
      </c>
      <c r="M80" s="93"/>
      <c r="N80" s="1"/>
    </row>
    <row r="81" spans="2:14" x14ac:dyDescent="0.3">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3">
      <c r="B82" s="37" t="s">
        <v>126</v>
      </c>
      <c r="C82" s="187">
        <v>0</v>
      </c>
      <c r="D82" s="189">
        <v>0</v>
      </c>
      <c r="E82" s="158">
        <v>0</v>
      </c>
      <c r="F82" s="192">
        <v>0</v>
      </c>
      <c r="G82" s="187">
        <f>C82/100*total_installed_cost</f>
        <v>0</v>
      </c>
      <c r="H82" s="187">
        <f>G82*F82/100*E82/12*0.5</f>
        <v>0</v>
      </c>
      <c r="I82" s="187">
        <f t="shared" si="0"/>
        <v>0</v>
      </c>
      <c r="M82" s="93"/>
      <c r="N82" s="1"/>
    </row>
    <row r="83" spans="2:14" x14ac:dyDescent="0.3">
      <c r="B83" s="37" t="s">
        <v>127</v>
      </c>
      <c r="C83" s="187">
        <v>0</v>
      </c>
      <c r="D83" s="189">
        <v>0</v>
      </c>
      <c r="E83" s="158">
        <v>0</v>
      </c>
      <c r="F83" s="192">
        <v>0</v>
      </c>
      <c r="G83" s="187">
        <f>C83/100*total_installed_cost</f>
        <v>0</v>
      </c>
      <c r="H83" s="187">
        <f>G83*F83/100*E83/12*0.5</f>
        <v>0</v>
      </c>
      <c r="I83" s="187">
        <f t="shared" si="0"/>
        <v>0</v>
      </c>
      <c r="M83" s="93"/>
      <c r="N83" s="1"/>
    </row>
    <row r="84" spans="2:14" x14ac:dyDescent="0.3">
      <c r="B84" s="37" t="s">
        <v>128</v>
      </c>
      <c r="C84" s="188">
        <v>0</v>
      </c>
      <c r="D84" s="190">
        <v>0</v>
      </c>
      <c r="E84" s="191">
        <v>0</v>
      </c>
      <c r="F84" s="193">
        <v>0</v>
      </c>
      <c r="G84" s="187">
        <f>C84/100*total_installed_cost</f>
        <v>0</v>
      </c>
      <c r="H84" s="187">
        <f>G84*F84/100*E84/12*0.5</f>
        <v>0</v>
      </c>
      <c r="I84" s="187">
        <f t="shared" si="0"/>
        <v>0</v>
      </c>
      <c r="M84" s="93"/>
      <c r="N84" s="1"/>
    </row>
    <row r="85" spans="2:14" x14ac:dyDescent="0.3">
      <c r="B85" s="41" t="s">
        <v>134</v>
      </c>
      <c r="C85" s="42"/>
      <c r="D85" s="30"/>
      <c r="E85" s="30"/>
      <c r="F85" s="43"/>
      <c r="G85" s="44">
        <f>SUM(G80:G84)</f>
        <v>0</v>
      </c>
      <c r="H85" s="45">
        <f>SUM(H80:H84)</f>
        <v>0</v>
      </c>
      <c r="I85" s="46">
        <f>SUM(I80:I84)</f>
        <v>0</v>
      </c>
      <c r="M85" s="93"/>
      <c r="N85" s="1"/>
    </row>
    <row r="86" spans="2:14" x14ac:dyDescent="0.3">
      <c r="C86" s="105"/>
      <c r="M86" s="93"/>
      <c r="N86" s="1"/>
    </row>
    <row r="87" spans="2:14" x14ac:dyDescent="0.3">
      <c r="B87" s="5" t="s">
        <v>136</v>
      </c>
      <c r="C87" s="7"/>
      <c r="D87" s="7"/>
      <c r="E87" s="7"/>
      <c r="F87" s="160"/>
      <c r="M87" s="93"/>
      <c r="N87" s="1"/>
    </row>
    <row r="88" spans="2:14" x14ac:dyDescent="0.3">
      <c r="B88" s="37" t="s">
        <v>137</v>
      </c>
      <c r="C88" s="122">
        <v>0</v>
      </c>
      <c r="F88" s="160"/>
      <c r="M88" s="93"/>
      <c r="N88" s="1"/>
    </row>
    <row r="89" spans="2:14" x14ac:dyDescent="0.3">
      <c r="B89" s="37" t="s">
        <v>146</v>
      </c>
      <c r="C89" s="122">
        <v>0</v>
      </c>
      <c r="F89" s="160"/>
      <c r="M89" s="93"/>
      <c r="N89" s="1"/>
    </row>
    <row r="90" spans="2:14" x14ac:dyDescent="0.3">
      <c r="B90" s="9" t="s">
        <v>138</v>
      </c>
      <c r="C90" s="122">
        <v>0</v>
      </c>
      <c r="F90" s="160"/>
      <c r="M90" s="93"/>
      <c r="N90" s="1"/>
    </row>
    <row r="91" spans="2:14" x14ac:dyDescent="0.3">
      <c r="B91" s="9" t="s">
        <v>299</v>
      </c>
      <c r="C91" s="122">
        <v>0</v>
      </c>
      <c r="F91" s="160"/>
      <c r="M91" s="93"/>
      <c r="N91" s="1"/>
    </row>
    <row r="92" spans="2:14" x14ac:dyDescent="0.3">
      <c r="B92" s="37" t="s">
        <v>139</v>
      </c>
      <c r="C92" s="100" t="s">
        <v>191</v>
      </c>
      <c r="D92" s="216" t="s">
        <v>143</v>
      </c>
      <c r="E92" s="232" t="s">
        <v>144</v>
      </c>
      <c r="F92" s="160"/>
      <c r="M92" s="93"/>
      <c r="N92" s="1"/>
    </row>
    <row r="93" spans="2:14" x14ac:dyDescent="0.3">
      <c r="B93" s="50" t="s">
        <v>140</v>
      </c>
      <c r="C93" s="122">
        <v>0</v>
      </c>
      <c r="D93" s="251">
        <f>C93*system_capacity</f>
        <v>0</v>
      </c>
      <c r="E93" s="233">
        <v>0</v>
      </c>
      <c r="F93" s="160"/>
      <c r="M93" s="93"/>
      <c r="N93" s="1"/>
    </row>
    <row r="94" spans="2:14" x14ac:dyDescent="0.3">
      <c r="B94" s="38" t="s">
        <v>142</v>
      </c>
      <c r="C94" s="122">
        <v>0</v>
      </c>
      <c r="D94" s="251">
        <f>C94*system_capacity</f>
        <v>0</v>
      </c>
      <c r="E94" s="233">
        <v>0</v>
      </c>
      <c r="F94" s="160"/>
      <c r="M94" s="93"/>
      <c r="N94" s="1"/>
    </row>
    <row r="95" spans="2:14" x14ac:dyDescent="0.3">
      <c r="B95" s="61" t="s">
        <v>141</v>
      </c>
      <c r="C95" s="122">
        <v>0</v>
      </c>
      <c r="D95" s="251">
        <f>C95*system_capacity</f>
        <v>0</v>
      </c>
      <c r="E95" s="233">
        <v>0</v>
      </c>
      <c r="F95" s="160"/>
      <c r="M95" s="93"/>
      <c r="N95" s="1"/>
    </row>
    <row r="96" spans="2:14" x14ac:dyDescent="0.3">
      <c r="B96" s="40" t="s">
        <v>145</v>
      </c>
      <c r="C96" s="31"/>
      <c r="D96" s="194"/>
      <c r="E96" s="194"/>
      <c r="F96" s="160"/>
      <c r="M96" s="93"/>
      <c r="N96" s="1"/>
    </row>
    <row r="97" spans="2:14" x14ac:dyDescent="0.3">
      <c r="B97" s="48" t="s">
        <v>4</v>
      </c>
      <c r="C97" s="231" t="s">
        <v>42</v>
      </c>
      <c r="D97" s="160"/>
      <c r="F97" s="160"/>
      <c r="M97" s="93"/>
      <c r="N97" s="1"/>
    </row>
    <row r="98" spans="2:14" x14ac:dyDescent="0.3">
      <c r="B98" s="48" t="s">
        <v>5</v>
      </c>
      <c r="C98" s="231" t="s">
        <v>42</v>
      </c>
      <c r="D98" s="234"/>
      <c r="E98" s="235"/>
      <c r="F98" s="160"/>
      <c r="M98" s="93"/>
      <c r="N98" s="1"/>
    </row>
    <row r="99" spans="2:14" x14ac:dyDescent="0.3">
      <c r="M99" s="93"/>
      <c r="N99" s="1"/>
    </row>
    <row r="100" spans="2:14" x14ac:dyDescent="0.3">
      <c r="B100" s="5" t="s">
        <v>147</v>
      </c>
      <c r="C100" s="7"/>
      <c r="D100" s="7"/>
      <c r="E100" s="7"/>
      <c r="F100" s="6"/>
      <c r="M100" s="93"/>
      <c r="N100" s="1"/>
    </row>
    <row r="101" spans="2:14" x14ac:dyDescent="0.3">
      <c r="B101" s="29" t="s">
        <v>2</v>
      </c>
      <c r="C101" s="30"/>
      <c r="D101" s="51"/>
      <c r="E101" s="327" t="s">
        <v>242</v>
      </c>
      <c r="F101" s="328"/>
      <c r="M101" s="93"/>
      <c r="N101" s="1"/>
    </row>
    <row r="102" spans="2:14" x14ac:dyDescent="0.3">
      <c r="B102" s="50" t="s">
        <v>149</v>
      </c>
      <c r="C102" s="8" t="s">
        <v>211</v>
      </c>
      <c r="D102" s="60"/>
      <c r="E102" s="216" t="s">
        <v>4</v>
      </c>
      <c r="F102" s="216" t="s">
        <v>5</v>
      </c>
      <c r="M102" s="93"/>
      <c r="N102" s="1"/>
    </row>
    <row r="103" spans="2:14" x14ac:dyDescent="0.3">
      <c r="B103" s="49" t="s">
        <v>150</v>
      </c>
      <c r="C103" s="143">
        <f>SUM(D177:AQ177)</f>
        <v>0</v>
      </c>
      <c r="D103" s="33"/>
      <c r="E103" s="10" t="s">
        <v>17</v>
      </c>
      <c r="F103" s="10" t="s">
        <v>17</v>
      </c>
      <c r="M103" s="93"/>
      <c r="N103" s="1"/>
    </row>
    <row r="104" spans="2:14" x14ac:dyDescent="0.3">
      <c r="B104" s="49" t="s">
        <v>151</v>
      </c>
      <c r="C104" s="143">
        <f>SUM(D178:AQ178)</f>
        <v>0</v>
      </c>
      <c r="D104" s="53"/>
      <c r="E104" s="59" t="s">
        <v>17</v>
      </c>
      <c r="F104" s="56" t="s">
        <v>17</v>
      </c>
      <c r="M104" s="93"/>
      <c r="N104" s="1"/>
    </row>
    <row r="105" spans="2:14" x14ac:dyDescent="0.3">
      <c r="B105" s="48" t="s">
        <v>154</v>
      </c>
      <c r="C105" s="10" t="s">
        <v>7</v>
      </c>
      <c r="D105" s="13" t="s">
        <v>173</v>
      </c>
      <c r="E105" s="57"/>
      <c r="F105" s="55"/>
      <c r="M105" s="93"/>
      <c r="N105" s="1"/>
    </row>
    <row r="106" spans="2:14" x14ac:dyDescent="0.3">
      <c r="B106" s="49" t="s">
        <v>152</v>
      </c>
      <c r="C106" s="100">
        <f>SUM(D179:AQ179)</f>
        <v>0</v>
      </c>
      <c r="D106" s="47">
        <f>SUM(D180:AQ180)</f>
        <v>0</v>
      </c>
      <c r="E106" s="54" t="s">
        <v>17</v>
      </c>
      <c r="F106" s="54" t="s">
        <v>17</v>
      </c>
      <c r="M106" s="93"/>
      <c r="N106" s="1"/>
    </row>
    <row r="107" spans="2:14" ht="13.5" thickBot="1" x14ac:dyDescent="0.35">
      <c r="B107" s="78" t="s">
        <v>153</v>
      </c>
      <c r="C107" s="271">
        <f>SUM(D181:AQ181)</f>
        <v>0</v>
      </c>
      <c r="D107" s="244">
        <f>SUM(D182:AQ182)</f>
        <v>0</v>
      </c>
      <c r="E107" s="65" t="s">
        <v>17</v>
      </c>
      <c r="F107" s="65" t="s">
        <v>17</v>
      </c>
      <c r="M107" s="93"/>
      <c r="N107" s="1"/>
    </row>
    <row r="108" spans="2:14" x14ac:dyDescent="0.3">
      <c r="B108" s="79" t="s">
        <v>6</v>
      </c>
      <c r="C108" s="269" t="s">
        <v>9</v>
      </c>
      <c r="D108" s="270" t="s">
        <v>212</v>
      </c>
      <c r="E108" s="13" t="s">
        <v>210</v>
      </c>
      <c r="F108" s="160"/>
      <c r="M108" s="93"/>
      <c r="N108" s="1"/>
    </row>
    <row r="109" spans="2:14" x14ac:dyDescent="0.3">
      <c r="B109" s="48" t="s">
        <v>4</v>
      </c>
      <c r="C109" s="283">
        <v>0</v>
      </c>
      <c r="D109" s="144">
        <v>0</v>
      </c>
      <c r="E109" s="268">
        <v>0</v>
      </c>
      <c r="F109" s="160"/>
      <c r="M109" s="93"/>
      <c r="N109" s="1"/>
    </row>
    <row r="110" spans="2:14" x14ac:dyDescent="0.3">
      <c r="B110" s="48" t="s">
        <v>5</v>
      </c>
      <c r="C110" s="283">
        <v>0</v>
      </c>
      <c r="D110" s="144">
        <v>0</v>
      </c>
      <c r="E110" s="268">
        <v>0</v>
      </c>
      <c r="F110" s="160"/>
      <c r="M110" s="93"/>
      <c r="N110" s="1"/>
    </row>
    <row r="111" spans="2:14" x14ac:dyDescent="0.3">
      <c r="B111" s="22"/>
      <c r="C111" s="11"/>
      <c r="D111" s="12"/>
      <c r="M111" s="93"/>
      <c r="N111" s="1"/>
    </row>
    <row r="112" spans="2:14" x14ac:dyDescent="0.3">
      <c r="B112" s="219" t="s">
        <v>148</v>
      </c>
      <c r="C112" s="238"/>
      <c r="D112" s="238"/>
      <c r="E112" s="238"/>
      <c r="F112" s="238"/>
      <c r="G112" s="238"/>
      <c r="H112" s="239"/>
      <c r="I112" s="35"/>
      <c r="M112" s="93"/>
    </row>
    <row r="113" spans="2:14" x14ac:dyDescent="0.3">
      <c r="B113" s="29" t="s">
        <v>15</v>
      </c>
      <c r="C113" s="30"/>
      <c r="D113" s="30"/>
      <c r="E113" s="70"/>
      <c r="F113" s="70"/>
      <c r="G113" s="70"/>
      <c r="H113" s="55"/>
      <c r="M113" s="93"/>
    </row>
    <row r="114" spans="2:14" x14ac:dyDescent="0.3">
      <c r="B114" s="75" t="s">
        <v>149</v>
      </c>
      <c r="C114" s="8" t="s">
        <v>211</v>
      </c>
      <c r="D114" s="236"/>
      <c r="E114" s="58" t="s">
        <v>234</v>
      </c>
      <c r="F114" s="54" t="s">
        <v>235</v>
      </c>
      <c r="G114" s="54" t="s">
        <v>236</v>
      </c>
      <c r="H114" s="54" t="s">
        <v>237</v>
      </c>
      <c r="K114" s="69"/>
      <c r="M114" s="93"/>
      <c r="N114" s="69"/>
    </row>
    <row r="115" spans="2:14" x14ac:dyDescent="0.3">
      <c r="B115" s="49" t="s">
        <v>150</v>
      </c>
      <c r="C115" s="145">
        <v>0</v>
      </c>
      <c r="D115" s="237"/>
      <c r="E115" s="66" t="s">
        <v>17</v>
      </c>
      <c r="F115" s="66" t="s">
        <v>17</v>
      </c>
      <c r="G115" s="10" t="s">
        <v>17</v>
      </c>
      <c r="H115" s="10" t="s">
        <v>17</v>
      </c>
      <c r="M115" s="93"/>
    </row>
    <row r="116" spans="2:14" x14ac:dyDescent="0.3">
      <c r="B116" s="49" t="s">
        <v>151</v>
      </c>
      <c r="C116" s="145">
        <v>0</v>
      </c>
      <c r="D116" s="237"/>
      <c r="E116" s="66" t="s">
        <v>17</v>
      </c>
      <c r="F116" s="66" t="s">
        <v>17</v>
      </c>
      <c r="G116" s="10" t="s">
        <v>17</v>
      </c>
      <c r="H116" s="10" t="s">
        <v>17</v>
      </c>
      <c r="M116" s="93"/>
    </row>
    <row r="117" spans="2:14" x14ac:dyDescent="0.3">
      <c r="B117" s="49" t="s">
        <v>160</v>
      </c>
      <c r="C117" s="145">
        <v>0</v>
      </c>
      <c r="D117" s="237"/>
      <c r="E117" s="66" t="s">
        <v>17</v>
      </c>
      <c r="F117" s="66" t="s">
        <v>17</v>
      </c>
      <c r="G117" s="66" t="s">
        <v>17</v>
      </c>
      <c r="H117" s="10" t="s">
        <v>17</v>
      </c>
      <c r="M117" s="93"/>
    </row>
    <row r="118" spans="2:14" x14ac:dyDescent="0.3">
      <c r="B118" s="76" t="s">
        <v>161</v>
      </c>
      <c r="C118" s="146">
        <v>0</v>
      </c>
      <c r="D118" s="237"/>
      <c r="E118" s="66" t="s">
        <v>17</v>
      </c>
      <c r="F118" s="66" t="s">
        <v>17</v>
      </c>
      <c r="G118" s="56" t="s">
        <v>17</v>
      </c>
      <c r="H118" s="56" t="s">
        <v>17</v>
      </c>
      <c r="M118" s="93"/>
    </row>
    <row r="119" spans="2:14" x14ac:dyDescent="0.3">
      <c r="B119" s="48" t="s">
        <v>154</v>
      </c>
      <c r="C119" s="67" t="s">
        <v>7</v>
      </c>
      <c r="D119" s="10" t="s">
        <v>173</v>
      </c>
      <c r="E119" s="68"/>
      <c r="F119" s="71"/>
      <c r="G119" s="71"/>
      <c r="H119" s="66"/>
      <c r="I119" s="35"/>
      <c r="K119" s="1"/>
      <c r="M119" s="93"/>
      <c r="N119" s="1"/>
    </row>
    <row r="120" spans="2:14" x14ac:dyDescent="0.3">
      <c r="B120" s="49" t="s">
        <v>152</v>
      </c>
      <c r="C120" s="100">
        <v>0</v>
      </c>
      <c r="D120" s="47">
        <v>9.9999999999999998E+37</v>
      </c>
      <c r="E120" s="66" t="s">
        <v>17</v>
      </c>
      <c r="F120" s="66" t="s">
        <v>17</v>
      </c>
      <c r="G120" s="10" t="s">
        <v>17</v>
      </c>
      <c r="H120" s="66" t="s">
        <v>17</v>
      </c>
      <c r="M120" s="1"/>
    </row>
    <row r="121" spans="2:14" x14ac:dyDescent="0.3">
      <c r="B121" s="49" t="s">
        <v>153</v>
      </c>
      <c r="C121" s="100">
        <v>0</v>
      </c>
      <c r="D121" s="47">
        <v>9.9999999999999998E+37</v>
      </c>
      <c r="E121" s="66" t="s">
        <v>17</v>
      </c>
      <c r="F121" s="66" t="s">
        <v>17</v>
      </c>
      <c r="G121" s="10" t="s">
        <v>17</v>
      </c>
      <c r="H121" s="10" t="s">
        <v>17</v>
      </c>
      <c r="M121" s="1"/>
    </row>
    <row r="122" spans="2:14" x14ac:dyDescent="0.3">
      <c r="B122" s="49" t="s">
        <v>162</v>
      </c>
      <c r="C122" s="100">
        <v>0</v>
      </c>
      <c r="D122" s="47">
        <v>9.9999999999999998E+37</v>
      </c>
      <c r="E122" s="66" t="s">
        <v>17</v>
      </c>
      <c r="F122" s="66" t="s">
        <v>17</v>
      </c>
      <c r="G122" s="10" t="s">
        <v>17</v>
      </c>
      <c r="H122" s="10" t="s">
        <v>17</v>
      </c>
      <c r="M122" s="1"/>
    </row>
    <row r="123" spans="2:14" ht="13.5" thickBot="1" x14ac:dyDescent="0.35">
      <c r="B123" s="78" t="s">
        <v>163</v>
      </c>
      <c r="C123" s="147">
        <v>0</v>
      </c>
      <c r="D123" s="244">
        <v>9.9999999999999998E+37</v>
      </c>
      <c r="E123" s="65" t="s">
        <v>17</v>
      </c>
      <c r="F123" s="243" t="s">
        <v>17</v>
      </c>
      <c r="G123" s="65" t="s">
        <v>17</v>
      </c>
      <c r="H123" s="65" t="s">
        <v>17</v>
      </c>
      <c r="M123" s="1"/>
    </row>
    <row r="124" spans="2:14" x14ac:dyDescent="0.3">
      <c r="B124" s="77" t="s">
        <v>35</v>
      </c>
      <c r="C124" s="74" t="s">
        <v>168</v>
      </c>
      <c r="D124" s="54" t="s">
        <v>173</v>
      </c>
      <c r="E124" s="240"/>
      <c r="F124" s="241"/>
      <c r="G124" s="241"/>
      <c r="H124" s="242"/>
      <c r="K124" s="62"/>
      <c r="L124" s="62"/>
      <c r="M124" s="1"/>
      <c r="N124" s="62"/>
    </row>
    <row r="125" spans="2:14" x14ac:dyDescent="0.3">
      <c r="B125" s="48" t="s">
        <v>164</v>
      </c>
      <c r="C125" s="109">
        <v>0</v>
      </c>
      <c r="D125" s="47">
        <v>9.9999999999999998E+37</v>
      </c>
      <c r="E125" s="66" t="s">
        <v>17</v>
      </c>
      <c r="F125" s="66" t="s">
        <v>17</v>
      </c>
      <c r="G125" s="10" t="s">
        <v>17</v>
      </c>
      <c r="H125" s="68" t="s">
        <v>17</v>
      </c>
      <c r="I125" s="160"/>
      <c r="M125" s="1"/>
    </row>
    <row r="126" spans="2:14" x14ac:dyDescent="0.3">
      <c r="B126" s="48" t="s">
        <v>165</v>
      </c>
      <c r="C126" s="109">
        <v>0</v>
      </c>
      <c r="D126" s="47">
        <v>9.9999999999999998E+37</v>
      </c>
      <c r="E126" s="66" t="s">
        <v>17</v>
      </c>
      <c r="F126" s="66" t="s">
        <v>17</v>
      </c>
      <c r="G126" s="66" t="s">
        <v>17</v>
      </c>
      <c r="H126" s="66" t="s">
        <v>17</v>
      </c>
      <c r="M126" s="1"/>
    </row>
    <row r="127" spans="2:14" x14ac:dyDescent="0.3">
      <c r="B127" s="48" t="s">
        <v>166</v>
      </c>
      <c r="C127" s="109">
        <v>0</v>
      </c>
      <c r="D127" s="47">
        <v>9.9999999999999998E+37</v>
      </c>
      <c r="E127" s="66" t="s">
        <v>17</v>
      </c>
      <c r="F127" s="66" t="s">
        <v>17</v>
      </c>
      <c r="G127" s="10" t="s">
        <v>17</v>
      </c>
      <c r="H127" s="10" t="s">
        <v>17</v>
      </c>
      <c r="M127" s="1"/>
    </row>
    <row r="128" spans="2:14" ht="13.5" thickBot="1" x14ac:dyDescent="0.35">
      <c r="B128" s="81" t="s">
        <v>167</v>
      </c>
      <c r="C128" s="148">
        <v>0</v>
      </c>
      <c r="D128" s="244">
        <v>9.9999999999999998E+37</v>
      </c>
      <c r="E128" s="65" t="s">
        <v>17</v>
      </c>
      <c r="F128" s="243" t="s">
        <v>17</v>
      </c>
      <c r="G128" s="65" t="s">
        <v>17</v>
      </c>
      <c r="H128" s="65" t="s">
        <v>17</v>
      </c>
      <c r="M128" s="1"/>
    </row>
    <row r="129" spans="2:14" x14ac:dyDescent="0.3">
      <c r="B129" s="79" t="s">
        <v>32</v>
      </c>
      <c r="C129" s="74" t="s">
        <v>9</v>
      </c>
      <c r="D129" s="54" t="s">
        <v>212</v>
      </c>
      <c r="E129" s="54" t="s">
        <v>210</v>
      </c>
      <c r="F129" s="54" t="s">
        <v>234</v>
      </c>
      <c r="G129" s="54" t="s">
        <v>235</v>
      </c>
      <c r="H129" s="80" t="s">
        <v>233</v>
      </c>
      <c r="I129" s="1"/>
      <c r="J129" s="1"/>
      <c r="K129" s="1"/>
      <c r="L129" s="62"/>
      <c r="M129" s="1"/>
      <c r="N129" s="1"/>
    </row>
    <row r="130" spans="2:14" x14ac:dyDescent="0.3">
      <c r="B130" s="48" t="s">
        <v>169</v>
      </c>
      <c r="C130" s="109">
        <v>0</v>
      </c>
      <c r="D130" s="149">
        <v>0</v>
      </c>
      <c r="E130" s="100">
        <v>0</v>
      </c>
      <c r="F130" s="66" t="s">
        <v>17</v>
      </c>
      <c r="G130" s="66" t="s">
        <v>16</v>
      </c>
      <c r="H130" s="99" t="s">
        <v>17</v>
      </c>
      <c r="I130" s="1"/>
      <c r="J130" s="1"/>
      <c r="K130" s="1"/>
      <c r="M130" s="1"/>
      <c r="N130" s="1"/>
    </row>
    <row r="131" spans="2:14" x14ac:dyDescent="0.3">
      <c r="B131" s="48" t="s">
        <v>170</v>
      </c>
      <c r="C131" s="109">
        <v>0</v>
      </c>
      <c r="D131" s="149">
        <v>0</v>
      </c>
      <c r="E131" s="100">
        <v>0</v>
      </c>
      <c r="F131" s="10" t="s">
        <v>17</v>
      </c>
      <c r="G131" s="66" t="s">
        <v>16</v>
      </c>
      <c r="H131" s="99" t="s">
        <v>17</v>
      </c>
      <c r="I131" s="1"/>
      <c r="J131" s="1"/>
      <c r="K131" s="1"/>
      <c r="M131" s="1"/>
      <c r="N131" s="1"/>
    </row>
    <row r="132" spans="2:14" x14ac:dyDescent="0.3">
      <c r="B132" s="48" t="s">
        <v>171</v>
      </c>
      <c r="C132" s="109">
        <v>0</v>
      </c>
      <c r="D132" s="149">
        <v>0</v>
      </c>
      <c r="E132" s="100">
        <v>0</v>
      </c>
      <c r="F132" s="66" t="s">
        <v>17</v>
      </c>
      <c r="G132" s="66" t="s">
        <v>16</v>
      </c>
      <c r="H132" s="99" t="s">
        <v>17</v>
      </c>
      <c r="I132" s="1"/>
      <c r="J132" s="1"/>
      <c r="K132" s="1"/>
      <c r="L132" s="1"/>
      <c r="M132" s="1"/>
      <c r="N132" s="1"/>
    </row>
    <row r="133" spans="2:14" x14ac:dyDescent="0.3">
      <c r="B133" s="48" t="s">
        <v>172</v>
      </c>
      <c r="C133" s="109">
        <v>0</v>
      </c>
      <c r="D133" s="149">
        <v>0</v>
      </c>
      <c r="E133" s="100">
        <v>0</v>
      </c>
      <c r="F133" s="66" t="s">
        <v>17</v>
      </c>
      <c r="G133" s="66" t="s">
        <v>16</v>
      </c>
      <c r="H133" s="66" t="s">
        <v>17</v>
      </c>
      <c r="L133" s="1"/>
    </row>
    <row r="134" spans="2:14" x14ac:dyDescent="0.3">
      <c r="B134" s="22"/>
      <c r="C134" s="63"/>
      <c r="D134" s="32"/>
      <c r="E134" s="34"/>
      <c r="F134" s="62"/>
      <c r="G134" s="62"/>
      <c r="H134" s="62"/>
      <c r="L134" s="1"/>
    </row>
    <row r="135" spans="2:14" x14ac:dyDescent="0.3">
      <c r="B135" s="5" t="s">
        <v>175</v>
      </c>
      <c r="C135" s="7"/>
      <c r="D135" s="7"/>
      <c r="E135" s="7"/>
      <c r="F135" s="7"/>
      <c r="G135" s="6"/>
      <c r="H135" s="35"/>
    </row>
    <row r="136" spans="2:14" ht="12.75" customHeight="1" x14ac:dyDescent="0.3">
      <c r="B136" s="37" t="s">
        <v>174</v>
      </c>
      <c r="C136" s="67" t="s">
        <v>213</v>
      </c>
      <c r="D136" s="67" t="s">
        <v>240</v>
      </c>
      <c r="E136" s="67" t="s">
        <v>241</v>
      </c>
      <c r="F136" s="67" t="s">
        <v>238</v>
      </c>
      <c r="G136" s="67" t="s">
        <v>239</v>
      </c>
      <c r="H136" s="35"/>
      <c r="I136" s="72"/>
    </row>
    <row r="137" spans="2:14" x14ac:dyDescent="0.3">
      <c r="B137" s="48" t="s">
        <v>42</v>
      </c>
      <c r="C137" s="100">
        <v>0</v>
      </c>
      <c r="D137" s="66" t="s">
        <v>17</v>
      </c>
      <c r="E137" s="66" t="s">
        <v>17</v>
      </c>
      <c r="F137" s="66" t="s">
        <v>17</v>
      </c>
      <c r="G137" s="66" t="s">
        <v>17</v>
      </c>
      <c r="H137" s="1"/>
    </row>
    <row r="138" spans="2:14" ht="12.75" customHeight="1" x14ac:dyDescent="0.3">
      <c r="B138" s="48" t="s">
        <v>43</v>
      </c>
      <c r="C138" s="100">
        <v>0</v>
      </c>
      <c r="D138" s="66" t="s">
        <v>17</v>
      </c>
      <c r="E138" s="10" t="s">
        <v>17</v>
      </c>
      <c r="F138" s="10" t="s">
        <v>17</v>
      </c>
      <c r="G138" s="10" t="s">
        <v>17</v>
      </c>
      <c r="H138" s="1"/>
    </row>
    <row r="139" spans="2:14" x14ac:dyDescent="0.3">
      <c r="B139" s="48" t="s">
        <v>44</v>
      </c>
      <c r="C139" s="100">
        <v>0</v>
      </c>
      <c r="D139" s="66" t="s">
        <v>17</v>
      </c>
      <c r="E139" s="10" t="s">
        <v>17</v>
      </c>
      <c r="F139" s="10" t="s">
        <v>17</v>
      </c>
      <c r="G139" s="10" t="s">
        <v>17</v>
      </c>
      <c r="H139" s="1"/>
    </row>
    <row r="140" spans="2:14" x14ac:dyDescent="0.3">
      <c r="B140" s="48" t="s">
        <v>45</v>
      </c>
      <c r="C140" s="100">
        <v>0</v>
      </c>
      <c r="D140" s="10" t="s">
        <v>17</v>
      </c>
      <c r="E140" s="10" t="s">
        <v>17</v>
      </c>
      <c r="F140" s="10" t="s">
        <v>17</v>
      </c>
      <c r="G140" s="10" t="s">
        <v>17</v>
      </c>
      <c r="H140" s="1"/>
    </row>
    <row r="141" spans="2:14" x14ac:dyDescent="0.3">
      <c r="B141" s="48" t="s">
        <v>46</v>
      </c>
      <c r="C141" s="100">
        <v>0</v>
      </c>
      <c r="D141" s="10" t="s">
        <v>17</v>
      </c>
      <c r="E141" s="10" t="s">
        <v>17</v>
      </c>
      <c r="F141" s="10" t="s">
        <v>17</v>
      </c>
      <c r="G141" s="10" t="s">
        <v>17</v>
      </c>
      <c r="H141" s="1"/>
    </row>
    <row r="142" spans="2:14" x14ac:dyDescent="0.3">
      <c r="B142" s="48" t="s">
        <v>47</v>
      </c>
      <c r="C142" s="100">
        <v>0</v>
      </c>
      <c r="D142" s="56" t="s">
        <v>17</v>
      </c>
      <c r="E142" s="56" t="s">
        <v>17</v>
      </c>
      <c r="F142" s="56" t="s">
        <v>17</v>
      </c>
      <c r="G142" s="56" t="s">
        <v>17</v>
      </c>
      <c r="H142" s="1"/>
    </row>
    <row r="143" spans="2:14" x14ac:dyDescent="0.3">
      <c r="B143" s="48" t="s">
        <v>367</v>
      </c>
      <c r="C143" s="100">
        <v>0</v>
      </c>
      <c r="D143" s="56" t="s">
        <v>17</v>
      </c>
      <c r="E143" s="56" t="s">
        <v>17</v>
      </c>
      <c r="F143" s="56" t="s">
        <v>17</v>
      </c>
      <c r="G143" s="56" t="s">
        <v>17</v>
      </c>
      <c r="H143" s="1"/>
    </row>
    <row r="144" spans="2:14" ht="12" customHeight="1" x14ac:dyDescent="0.3">
      <c r="B144" s="48" t="s">
        <v>193</v>
      </c>
      <c r="C144" s="152">
        <f>100-C145</f>
        <v>100</v>
      </c>
      <c r="D144" s="195">
        <v>0</v>
      </c>
      <c r="E144" s="195">
        <v>0</v>
      </c>
      <c r="F144" s="194"/>
      <c r="G144" s="194"/>
      <c r="H144" s="1"/>
    </row>
    <row r="145" spans="2:43" x14ac:dyDescent="0.3">
      <c r="B145" s="48" t="s">
        <v>13</v>
      </c>
      <c r="C145" s="152">
        <f>SUM(C137:C143)</f>
        <v>0</v>
      </c>
      <c r="D145" s="160"/>
      <c r="G145" s="27"/>
      <c r="H145" s="1"/>
    </row>
    <row r="146" spans="2:43" x14ac:dyDescent="0.3">
      <c r="E146" s="73"/>
    </row>
    <row r="147" spans="2:43" x14ac:dyDescent="0.3">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3">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3">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3">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3">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3">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3">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3">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3">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3">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3">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3">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3">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3">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3">
      <c r="B161" s="260" t="s">
        <v>337</v>
      </c>
    </row>
    <row r="162" spans="2:43" ht="13.5" customHeight="1" x14ac:dyDescent="0.3">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3">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3">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3">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3">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3">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3">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3">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3">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3">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3">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3">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3">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3">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3">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3">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3">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3">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3">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3">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3">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3">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3">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3">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3">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3">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3">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3">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3">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3">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3">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3">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3">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3">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3">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3">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3">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3">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3">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3">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3">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3">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3">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3">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3">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3">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3">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3">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3">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3">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3">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3">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24" t="s">
        <v>322</v>
      </c>
      <c r="B1" s="218"/>
      <c r="C1" s="224"/>
    </row>
    <row r="2" spans="1:42" x14ac:dyDescent="0.3">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3">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3">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3">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3">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3">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3">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3">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3">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3">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3">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3">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3">
      <c r="A15" s="4" t="s">
        <v>312</v>
      </c>
      <c r="B15" s="123">
        <f>B13-B14</f>
        <v>0</v>
      </c>
      <c r="C15" s="123">
        <f t="shared" ref="C15:AP15" si="2">C13-C14</f>
        <v>0</v>
      </c>
      <c r="D15" s="123">
        <f t="shared" si="2"/>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3">
      <c r="A16" s="4" t="s">
        <v>328</v>
      </c>
      <c r="B16" s="201">
        <f>IF(B$5=0,0,B15*100/B$5)</f>
        <v>0</v>
      </c>
      <c r="C16" s="201">
        <f t="shared" ref="C16:AP16" si="3">IF(C$5=0,0,C15*100/C$5)</f>
        <v>0</v>
      </c>
      <c r="D16" s="201">
        <f t="shared" si="3"/>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3">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3">
      <c r="A18" s="22" t="s">
        <v>382</v>
      </c>
      <c r="B18" s="123">
        <f>B$5</f>
        <v>0</v>
      </c>
      <c r="C18" s="123">
        <f t="shared" ref="C18:AP18" si="4">C$5</f>
        <v>0</v>
      </c>
      <c r="D18" s="123">
        <f t="shared" si="4"/>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3">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3">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3">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3">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3">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3">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3">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3">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3">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3">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3">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3">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3">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3">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3">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3">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3">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3">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3">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3">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3">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3">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3">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3">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3">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3">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3">
      <c r="A45" s="20" t="s">
        <v>325</v>
      </c>
      <c r="C45" s="15"/>
      <c r="D45" s="15"/>
      <c r="E45" s="15"/>
      <c r="F45" s="15"/>
      <c r="G45" s="15"/>
      <c r="H45" s="15"/>
      <c r="I45" s="15"/>
      <c r="J45" s="15"/>
      <c r="K45" s="15"/>
      <c r="L45" s="15"/>
      <c r="M45" s="15"/>
      <c r="N45" s="15"/>
      <c r="O45" s="15"/>
      <c r="P45" s="15"/>
      <c r="Q45" s="15"/>
      <c r="R45" s="15"/>
      <c r="S45" s="15"/>
    </row>
    <row r="46" spans="1:42" x14ac:dyDescent="0.3">
      <c r="A46" s="4" t="s">
        <v>225</v>
      </c>
      <c r="C46" s="15"/>
      <c r="D46" s="15"/>
      <c r="E46" s="15"/>
      <c r="F46" s="15"/>
      <c r="G46" s="15"/>
      <c r="H46" s="15"/>
      <c r="I46" s="15"/>
      <c r="J46" s="15"/>
      <c r="K46" s="15"/>
      <c r="L46" s="15"/>
      <c r="M46" s="15"/>
      <c r="N46" s="15"/>
      <c r="O46" s="15"/>
      <c r="P46" s="15"/>
      <c r="Q46" s="15"/>
      <c r="R46" s="15"/>
      <c r="S46" s="15"/>
    </row>
    <row r="47" spans="1:42" x14ac:dyDescent="0.3">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3">
      <c r="A48" s="90" t="s">
        <v>227</v>
      </c>
    </row>
    <row r="49" spans="1:42" x14ac:dyDescent="0.3">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3">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3">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3">
      <c r="A52" s="90" t="s">
        <v>228</v>
      </c>
    </row>
    <row r="53" spans="1:42" x14ac:dyDescent="0.3">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3">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3">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3">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3">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3">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3">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3">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3">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3">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3">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3">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3">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3">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3">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3">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3">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3">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3">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3">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3">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3">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3">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3">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3">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3">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3">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3">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3">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3">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3">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3">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3">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3">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3">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3">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3">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3">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3">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3">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3">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3">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3">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3">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3">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3">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3">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3">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3">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3">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3">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3">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3">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3">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3">
      <c r="A109" s="18" t="s">
        <v>245</v>
      </c>
    </row>
    <row r="110" spans="1:42" x14ac:dyDescent="0.3">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3">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3">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3">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3">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3">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3">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3">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3">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3">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3">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3">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3">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3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3">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3">
      <c r="A125" s="20" t="s">
        <v>267</v>
      </c>
    </row>
    <row r="126" spans="1:42" x14ac:dyDescent="0.3">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3">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3">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3">
      <c r="A129" s="18"/>
    </row>
    <row r="130" spans="1:42" x14ac:dyDescent="0.3">
      <c r="A130" s="20" t="s">
        <v>268</v>
      </c>
    </row>
    <row r="131" spans="1:42" x14ac:dyDescent="0.3">
      <c r="A131" s="90" t="s">
        <v>2</v>
      </c>
    </row>
    <row r="132" spans="1:42" x14ac:dyDescent="0.3">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3">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3">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3">
      <c r="A135" s="90" t="s">
        <v>6</v>
      </c>
    </row>
    <row r="136" spans="1:42" x14ac:dyDescent="0.3">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3">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3">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3">
      <c r="A139" s="90" t="s">
        <v>78</v>
      </c>
    </row>
    <row r="140" spans="1:42" x14ac:dyDescent="0.3">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3">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3">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3">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3">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3">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3">
      <c r="A146" s="91"/>
    </row>
    <row r="147" spans="1:42" x14ac:dyDescent="0.3">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3">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3">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3">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3">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3">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3">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3">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3">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3">
      <c r="A158" s="4" t="s">
        <v>202</v>
      </c>
      <c r="B158" s="151">
        <f>-(B154+NPV(NominalDiscountRate/100,C154:AP154))</f>
        <v>0</v>
      </c>
      <c r="C158" s="123"/>
      <c r="D158" s="123"/>
    </row>
    <row r="159" spans="1:42" x14ac:dyDescent="0.3">
      <c r="A159" s="4" t="s">
        <v>201</v>
      </c>
      <c r="B159" s="151">
        <f>NPV(NominalDiscountRate/100,C156:AP156)</f>
        <v>0</v>
      </c>
    </row>
    <row r="160" spans="1:42" x14ac:dyDescent="0.3">
      <c r="A160" s="4" t="s">
        <v>389</v>
      </c>
      <c r="B160" s="209">
        <f>IF(B159=0,0,B158/B159*100)</f>
        <v>0</v>
      </c>
    </row>
    <row r="161" spans="1:42" x14ac:dyDescent="0.3">
      <c r="B161" s="201"/>
    </row>
    <row r="162" spans="1:42" x14ac:dyDescent="0.3">
      <c r="A162" s="4" t="s">
        <v>209</v>
      </c>
      <c r="B162" s="151">
        <f>NPV(NominalDiscountRate/100,C155:AP155)</f>
        <v>0</v>
      </c>
    </row>
    <row r="163" spans="1:42" x14ac:dyDescent="0.3">
      <c r="A163" s="4" t="s">
        <v>201</v>
      </c>
      <c r="B163" s="151">
        <f>B159</f>
        <v>0</v>
      </c>
    </row>
    <row r="164" spans="1:42" x14ac:dyDescent="0.3">
      <c r="A164" s="4" t="s">
        <v>246</v>
      </c>
      <c r="B164" s="209">
        <f>IF(B163=0,0,B162/B163*100)</f>
        <v>0</v>
      </c>
    </row>
    <row r="165" spans="1:42" x14ac:dyDescent="0.3">
      <c r="B165" s="112"/>
    </row>
    <row r="166" spans="1:42" x14ac:dyDescent="0.3">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3">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3">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3">
      <c r="A170" s="4" t="s">
        <v>371</v>
      </c>
      <c r="B170" s="179">
        <f>(B167+NPV(NominalDiscountRate/100,C167:AP167))</f>
        <v>0</v>
      </c>
    </row>
    <row r="171" spans="1:42" x14ac:dyDescent="0.3">
      <c r="A171" s="4" t="s">
        <v>372</v>
      </c>
      <c r="B171" s="179">
        <f>NPV(NominalDiscountRate/100,C168:AP168)</f>
        <v>0</v>
      </c>
    </row>
    <row r="172" spans="1:42" x14ac:dyDescent="0.3">
      <c r="A172" s="4" t="s">
        <v>373</v>
      </c>
      <c r="B172" s="110">
        <f>IF(B171=0,0,B170/B171*100)</f>
        <v>0</v>
      </c>
    </row>
    <row r="174" spans="1:42" x14ac:dyDescent="0.3">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3">
      <c r="A175" s="20" t="s">
        <v>40</v>
      </c>
    </row>
    <row r="176" spans="1:42" x14ac:dyDescent="0.3">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3">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3">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3">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3">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3">
      <c r="A181" s="90" t="str">
        <f>Inputs!B113</f>
        <v>Investment Based Incentive (IBI)</v>
      </c>
    </row>
    <row r="182" spans="1:42" x14ac:dyDescent="0.3">
      <c r="A182" s="91" t="str">
        <f>Inputs!B114</f>
        <v>As fixed amount</v>
      </c>
    </row>
    <row r="183" spans="1:42" x14ac:dyDescent="0.3">
      <c r="A183" s="82" t="s">
        <v>4</v>
      </c>
      <c r="C183" s="123">
        <f>IF(ibi_fed_amount_tax_sta="Yes",C556,0)</f>
        <v>0</v>
      </c>
    </row>
    <row r="184" spans="1:42" x14ac:dyDescent="0.3">
      <c r="A184" s="82" t="s">
        <v>5</v>
      </c>
      <c r="C184" s="123">
        <f>IF(ibi_sta_amount_tax_sta="Yes",C557,0)</f>
        <v>0</v>
      </c>
    </row>
    <row r="185" spans="1:42" x14ac:dyDescent="0.3">
      <c r="A185" s="82" t="s">
        <v>182</v>
      </c>
      <c r="C185" s="123">
        <f>IF(ibi_uti_amount_tax_sta="Yes",C558,0)</f>
        <v>0</v>
      </c>
    </row>
    <row r="186" spans="1:42" x14ac:dyDescent="0.3">
      <c r="A186" s="82" t="s">
        <v>183</v>
      </c>
      <c r="C186" s="124">
        <f>IF(ibi_oth_amount_tax_sta="Yes",C559,0)</f>
        <v>0</v>
      </c>
    </row>
    <row r="187" spans="1:42" x14ac:dyDescent="0.3">
      <c r="A187" s="82" t="s">
        <v>13</v>
      </c>
      <c r="C187" s="123">
        <f>SUM(C183:C186)</f>
        <v>0</v>
      </c>
    </row>
    <row r="188" spans="1:42" x14ac:dyDescent="0.3">
      <c r="A188" s="91" t="str">
        <f>Inputs!B119</f>
        <v>As percentage</v>
      </c>
      <c r="C188" s="15"/>
    </row>
    <row r="189" spans="1:42" x14ac:dyDescent="0.3">
      <c r="A189" s="82" t="s">
        <v>4</v>
      </c>
      <c r="C189" s="123">
        <f>IF(ibi_fed_percent_tax_sta="Yes",C562,0)</f>
        <v>0</v>
      </c>
    </row>
    <row r="190" spans="1:42" x14ac:dyDescent="0.3">
      <c r="A190" s="82" t="s">
        <v>5</v>
      </c>
      <c r="C190" s="123">
        <f>IF(ibi_fed_percent_tax_sta="Yes",C563,0)</f>
        <v>0</v>
      </c>
    </row>
    <row r="191" spans="1:42" x14ac:dyDescent="0.3">
      <c r="A191" s="82" t="s">
        <v>182</v>
      </c>
      <c r="C191" s="123">
        <f>IF(ibi_fed_percent_tax_sta="Yes",C564,0)</f>
        <v>0</v>
      </c>
    </row>
    <row r="192" spans="1:42" x14ac:dyDescent="0.3">
      <c r="A192" s="82" t="s">
        <v>183</v>
      </c>
      <c r="C192" s="124">
        <f>IF(ibi_fed_percent_tax_sta="Yes",C565,0)</f>
        <v>0</v>
      </c>
    </row>
    <row r="193" spans="1:42" x14ac:dyDescent="0.3">
      <c r="A193" s="82" t="s">
        <v>13</v>
      </c>
      <c r="C193" s="123">
        <f>SUM(C189:C192)</f>
        <v>0</v>
      </c>
    </row>
    <row r="194" spans="1:42" x14ac:dyDescent="0.3">
      <c r="A194" s="90" t="str">
        <f>Inputs!B124</f>
        <v>Capacity Based Incentive (CBI)</v>
      </c>
    </row>
    <row r="195" spans="1:42" x14ac:dyDescent="0.3">
      <c r="A195" s="91" t="s">
        <v>4</v>
      </c>
      <c r="C195" s="123">
        <f>IF(cbi_fed_tax_sta="Yes",C569,0)</f>
        <v>0</v>
      </c>
    </row>
    <row r="196" spans="1:42" x14ac:dyDescent="0.3">
      <c r="A196" s="91" t="s">
        <v>5</v>
      </c>
      <c r="C196" s="123">
        <f>IF(cbi_fed_tax_sta="Yes",C570,0)</f>
        <v>0</v>
      </c>
    </row>
    <row r="197" spans="1:42" x14ac:dyDescent="0.3">
      <c r="A197" s="91" t="s">
        <v>182</v>
      </c>
      <c r="C197" s="123">
        <f>IF(cbi_fed_tax_sta="Yes",C571,0)</f>
        <v>0</v>
      </c>
    </row>
    <row r="198" spans="1:42" x14ac:dyDescent="0.3">
      <c r="A198" s="91" t="s">
        <v>183</v>
      </c>
      <c r="C198" s="124">
        <f>IF(cbi_fed_tax_sta="Yes",C572,0)</f>
        <v>0</v>
      </c>
    </row>
    <row r="199" spans="1:42" x14ac:dyDescent="0.3">
      <c r="A199" s="91" t="s">
        <v>13</v>
      </c>
      <c r="C199" s="123">
        <f>SUM(C195:C198)</f>
        <v>0</v>
      </c>
    </row>
    <row r="200" spans="1:42" x14ac:dyDescent="0.3">
      <c r="A200" s="90" t="str">
        <f>Inputs!B129</f>
        <v>Production Based Incentive (PBI)</v>
      </c>
      <c r="C200" s="15"/>
    </row>
    <row r="201" spans="1:42" x14ac:dyDescent="0.3">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3">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3">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3">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3">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3">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3">
      <c r="A207" s="91"/>
    </row>
    <row r="208" spans="1:42" x14ac:dyDescent="0.3">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3">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3">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3">
      <c r="A212" s="20" t="s">
        <v>30</v>
      </c>
    </row>
    <row r="213" spans="1:42" x14ac:dyDescent="0.3">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3">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3">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3">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3">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3">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3">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3">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3">
      <c r="A221" s="90" t="str">
        <f>Inputs!B113</f>
        <v>Investment Based Incentive (IBI)</v>
      </c>
    </row>
    <row r="222" spans="1:42" x14ac:dyDescent="0.3">
      <c r="A222" s="91" t="str">
        <f>Inputs!B114</f>
        <v>As fixed amount</v>
      </c>
    </row>
    <row r="223" spans="1:42" x14ac:dyDescent="0.3">
      <c r="A223" s="82" t="s">
        <v>4</v>
      </c>
      <c r="C223" s="161">
        <f>IF(ibi_fed_amount_tax_fed="Yes",C556,0)</f>
        <v>0</v>
      </c>
    </row>
    <row r="224" spans="1:42" x14ac:dyDescent="0.3">
      <c r="A224" s="82" t="s">
        <v>5</v>
      </c>
      <c r="C224" s="161">
        <f>IF(ibi_sta_amount_tax_fed="Yes",C557,0)</f>
        <v>0</v>
      </c>
    </row>
    <row r="225" spans="1:42" x14ac:dyDescent="0.3">
      <c r="A225" s="82" t="s">
        <v>182</v>
      </c>
      <c r="C225" s="161">
        <f>IF(ibi_uti_amount_tax_fed="Yes",C558,0)</f>
        <v>0</v>
      </c>
    </row>
    <row r="226" spans="1:42" x14ac:dyDescent="0.3">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3">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3">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3">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3">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3">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3">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3">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3">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3">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3">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3">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3">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3">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3">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3">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3">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3">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3">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3">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3">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3">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3">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3">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3">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3">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3">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3">
      <c r="A253" s="20" t="s">
        <v>93</v>
      </c>
    </row>
    <row r="254" spans="1:42" x14ac:dyDescent="0.3">
      <c r="A254" s="4" t="s">
        <v>231</v>
      </c>
      <c r="G254" s="329" t="s">
        <v>63</v>
      </c>
      <c r="H254" s="330"/>
      <c r="I254" s="330"/>
      <c r="J254" s="331"/>
      <c r="K254" s="332" t="s">
        <v>64</v>
      </c>
      <c r="L254" s="333"/>
    </row>
    <row r="255" spans="1:42" ht="52" x14ac:dyDescent="0.3">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3">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3">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3">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3">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3">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3">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3">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3">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3">
      <c r="A265" s="4" t="s">
        <v>62</v>
      </c>
    </row>
    <row r="266" spans="1:17" x14ac:dyDescent="0.3">
      <c r="A266" s="90" t="str">
        <f>A554</f>
        <v>Investment Based Incentive (IBI)</v>
      </c>
    </row>
    <row r="267" spans="1:17" x14ac:dyDescent="0.3">
      <c r="A267" s="22" t="str">
        <f t="shared" ref="A267:A278" si="111">A555</f>
        <v>As fixed amount</v>
      </c>
    </row>
    <row r="268" spans="1:17" x14ac:dyDescent="0.3">
      <c r="A268" s="91" t="str">
        <f t="shared" si="111"/>
        <v>Federal ($)</v>
      </c>
      <c r="B268" s="161">
        <f>IF(ibi_fed_amount_deprbas_sta="Yes",ibi_fed_amount,0)</f>
        <v>0</v>
      </c>
    </row>
    <row r="269" spans="1:17" x14ac:dyDescent="0.3">
      <c r="A269" s="91" t="str">
        <f t="shared" si="111"/>
        <v>State ($)</v>
      </c>
      <c r="B269" s="161">
        <f>IF(ibi_sta_amount_deprbas_sta="Yes",ibi_sta_amount,0)</f>
        <v>0</v>
      </c>
    </row>
    <row r="270" spans="1:17" x14ac:dyDescent="0.3">
      <c r="A270" s="91" t="str">
        <f t="shared" si="111"/>
        <v>Utility ($)</v>
      </c>
      <c r="B270" s="161">
        <f>IF(ibi_uti_amount_deprbas_sta="Yes",ibi_uti_amount,0)</f>
        <v>0</v>
      </c>
    </row>
    <row r="271" spans="1:17" x14ac:dyDescent="0.3">
      <c r="A271" s="91" t="str">
        <f t="shared" si="111"/>
        <v>Other ($)</v>
      </c>
      <c r="B271" s="162">
        <f>IF(ibi_oth_amount_deprbas_sta="Yes",ibi_oth_amount,0)</f>
        <v>0</v>
      </c>
    </row>
    <row r="272" spans="1:17" x14ac:dyDescent="0.3">
      <c r="A272" s="91" t="str">
        <f t="shared" si="111"/>
        <v>Total</v>
      </c>
      <c r="B272" s="161">
        <f>SUM(B268:B271)</f>
        <v>0</v>
      </c>
    </row>
    <row r="273" spans="1:2" x14ac:dyDescent="0.3">
      <c r="A273" s="22" t="str">
        <f t="shared" si="111"/>
        <v>As percentage</v>
      </c>
    </row>
    <row r="274" spans="1:2" x14ac:dyDescent="0.3">
      <c r="A274" s="91" t="str">
        <f t="shared" si="111"/>
        <v>Federal (% of total installed cost)</v>
      </c>
      <c r="B274" s="161">
        <f>IF(ibi_fed_percent_deprbas_sta="Yes",C562,0)</f>
        <v>0</v>
      </c>
    </row>
    <row r="275" spans="1:2" x14ac:dyDescent="0.3">
      <c r="A275" s="91" t="str">
        <f>A563</f>
        <v>State (% of total installed cost)</v>
      </c>
      <c r="B275" s="161">
        <f>IF(ibi_sta_percent_deprbas_sta="Yes",C563,0)</f>
        <v>0</v>
      </c>
    </row>
    <row r="276" spans="1:2" x14ac:dyDescent="0.3">
      <c r="A276" s="91" t="str">
        <f t="shared" si="111"/>
        <v>Utility (% of total installed cost)</v>
      </c>
      <c r="B276" s="161">
        <f>IF(ibi_uti_percent_deprbas_sta="Yes",C564,0)</f>
        <v>0</v>
      </c>
    </row>
    <row r="277" spans="1:2" x14ac:dyDescent="0.3">
      <c r="A277" s="91" t="str">
        <f t="shared" si="111"/>
        <v>Other (% of total installed cost)</v>
      </c>
      <c r="B277" s="162">
        <f>IF(ibi_oth_percent_deprbas_sta="Yes",C565,0)</f>
        <v>0</v>
      </c>
    </row>
    <row r="278" spans="1:2" x14ac:dyDescent="0.3">
      <c r="A278" s="91" t="str">
        <f t="shared" si="111"/>
        <v>Total</v>
      </c>
      <c r="B278" s="161">
        <f>SUM(B274:B277)</f>
        <v>0</v>
      </c>
    </row>
    <row r="279" spans="1:2" x14ac:dyDescent="0.3">
      <c r="A279" s="90" t="str">
        <f t="shared" ref="A279:A284" si="112">A568</f>
        <v>Capacity Based Incentive (CBI)</v>
      </c>
    </row>
    <row r="280" spans="1:2" x14ac:dyDescent="0.3">
      <c r="A280" s="22" t="str">
        <f t="shared" si="112"/>
        <v>Federal ($/W)</v>
      </c>
      <c r="B280" s="161">
        <f>IF(cbi_fed_deprbas_sta="Yes",C569,0)</f>
        <v>0</v>
      </c>
    </row>
    <row r="281" spans="1:2" x14ac:dyDescent="0.3">
      <c r="A281" s="22" t="str">
        <f t="shared" si="112"/>
        <v>State ($/W)</v>
      </c>
      <c r="B281" s="161">
        <f>IF(cbi_sta_deprbas_sta="Yes",C570,0)</f>
        <v>0</v>
      </c>
    </row>
    <row r="282" spans="1:2" x14ac:dyDescent="0.3">
      <c r="A282" s="22" t="str">
        <f t="shared" si="112"/>
        <v>Utility ($/W)</v>
      </c>
      <c r="B282" s="161">
        <f>IF(cbi_uti_deprbas_sta="Yes",C571,0)</f>
        <v>0</v>
      </c>
    </row>
    <row r="283" spans="1:2" x14ac:dyDescent="0.3">
      <c r="A283" s="22" t="str">
        <f t="shared" si="112"/>
        <v>Other ($/W)</v>
      </c>
      <c r="B283" s="161">
        <f>IF(cbi_oth_deprbas_sta="Yes",C572,0)</f>
        <v>0</v>
      </c>
    </row>
    <row r="284" spans="1:2" x14ac:dyDescent="0.3">
      <c r="A284" s="22" t="str">
        <f t="shared" si="112"/>
        <v>Total</v>
      </c>
      <c r="B284" s="164">
        <f>SUM(B280:B283)</f>
        <v>0</v>
      </c>
    </row>
    <row r="285" spans="1:2" x14ac:dyDescent="0.3">
      <c r="A285" s="90" t="s">
        <v>50</v>
      </c>
      <c r="B285" s="161">
        <f>B272+B278+B284</f>
        <v>0</v>
      </c>
    </row>
    <row r="287" spans="1:2" x14ac:dyDescent="0.3">
      <c r="A287" s="4" t="s">
        <v>80</v>
      </c>
    </row>
    <row r="288" spans="1:2" x14ac:dyDescent="0.3">
      <c r="A288" s="22" t="s">
        <v>56</v>
      </c>
    </row>
    <row r="289" spans="1:42" x14ac:dyDescent="0.3">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3">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3">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3">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3">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3">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3">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3">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3">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3">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3">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3">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3">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3">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3">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3">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3">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3">
      <c r="A306" s="22"/>
    </row>
    <row r="307" spans="1:42" x14ac:dyDescent="0.3">
      <c r="A307" s="18" t="s">
        <v>72</v>
      </c>
    </row>
    <row r="308" spans="1:42" x14ac:dyDescent="0.3">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3">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3">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3">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3">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3">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3">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3">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3">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3">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3">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3">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3">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3">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3">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3">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3">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3">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3">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3">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3">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3">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3">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3">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3">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3">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3">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3">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3">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3">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3">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3">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3">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3">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3">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3">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3">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3">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3">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3">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3">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3">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3">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3">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3">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3">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3">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3">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3">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3">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3">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3">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3">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3">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3">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3">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3">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3">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3">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3">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3">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3">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3">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3">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3">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3">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3">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3">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3">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3">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3">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3">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3">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3">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3">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3">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3">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3">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3">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3">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3">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3">
      <c r="A389" s="20" t="s">
        <v>94</v>
      </c>
    </row>
    <row r="390" spans="1:42" x14ac:dyDescent="0.3">
      <c r="A390" s="4" t="s">
        <v>21</v>
      </c>
      <c r="G390" s="329" t="s">
        <v>63</v>
      </c>
      <c r="H390" s="330"/>
      <c r="I390" s="330"/>
      <c r="J390" s="331"/>
      <c r="K390" s="332" t="s">
        <v>64</v>
      </c>
      <c r="L390" s="333"/>
    </row>
    <row r="391" spans="1:42" ht="52" x14ac:dyDescent="0.3">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3">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3">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3">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3">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3">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3">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3">
      <c r="A398" s="22" t="s">
        <v>367</v>
      </c>
      <c r="B398" s="211">
        <f>IF(Inputs!$C$145=0,0,depr_alloc_custom_percent*100/Inputs!$C$141)</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3">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3">
      <c r="A401" s="4" t="s">
        <v>62</v>
      </c>
    </row>
    <row r="402" spans="1:2" x14ac:dyDescent="0.3">
      <c r="A402" s="90" t="str">
        <f>A266</f>
        <v>Investment Based Incentive (IBI)</v>
      </c>
    </row>
    <row r="403" spans="1:2" x14ac:dyDescent="0.3">
      <c r="A403" s="22" t="str">
        <f>A267</f>
        <v>As fixed amount</v>
      </c>
    </row>
    <row r="404" spans="1:2" x14ac:dyDescent="0.3">
      <c r="A404" s="91" t="s">
        <v>4</v>
      </c>
      <c r="B404" s="161">
        <f>IF(ibi_fed_amount_deprbas_fed="Yes",ibi_fed_amount,0)</f>
        <v>0</v>
      </c>
    </row>
    <row r="405" spans="1:2" x14ac:dyDescent="0.3">
      <c r="A405" s="91" t="s">
        <v>5</v>
      </c>
      <c r="B405" s="161">
        <f>IF(ibi_sta_amount_deprbas_fed="Yes",ibi_sta_amount,0)</f>
        <v>0</v>
      </c>
    </row>
    <row r="406" spans="1:2" x14ac:dyDescent="0.3">
      <c r="A406" s="91" t="s">
        <v>182</v>
      </c>
      <c r="B406" s="161">
        <f>IF(ibi_uti_amount_deprbas_fed="Yes",ibi_uti_amount,0)</f>
        <v>0</v>
      </c>
    </row>
    <row r="407" spans="1:2" x14ac:dyDescent="0.3">
      <c r="A407" s="91" t="s">
        <v>183</v>
      </c>
      <c r="B407" s="162">
        <f>IF(ibi_oth_amount_deprbas_fed="Yes",ibi_oth_amount,0)</f>
        <v>0</v>
      </c>
    </row>
    <row r="408" spans="1:2" x14ac:dyDescent="0.3">
      <c r="A408" s="91" t="str">
        <f>A272</f>
        <v>Total</v>
      </c>
      <c r="B408" s="161">
        <f>SUM(B404:B407)</f>
        <v>0</v>
      </c>
    </row>
    <row r="409" spans="1:2" x14ac:dyDescent="0.3">
      <c r="A409" s="22" t="str">
        <f>A273</f>
        <v>As percentage</v>
      </c>
    </row>
    <row r="410" spans="1:2" x14ac:dyDescent="0.3">
      <c r="A410" s="91" t="s">
        <v>4</v>
      </c>
      <c r="B410" s="161">
        <f>IF(ibi_fed_percent_deprbas_fed="Yes",C562,0)</f>
        <v>0</v>
      </c>
    </row>
    <row r="411" spans="1:2" x14ac:dyDescent="0.3">
      <c r="A411" s="91" t="s">
        <v>5</v>
      </c>
      <c r="B411" s="161">
        <f>IF(ibi_sta_percent_deprbas_fed="Yes",C563,0)</f>
        <v>0</v>
      </c>
    </row>
    <row r="412" spans="1:2" x14ac:dyDescent="0.3">
      <c r="A412" s="91" t="s">
        <v>182</v>
      </c>
      <c r="B412" s="161">
        <f>IF(ibi_uti_percent_deprbas_fed="Yes",C564,0)</f>
        <v>0</v>
      </c>
    </row>
    <row r="413" spans="1:2" x14ac:dyDescent="0.3">
      <c r="A413" s="91" t="s">
        <v>183</v>
      </c>
      <c r="B413" s="162">
        <f>IF(ibi_oth_percent_deprbas_fed="Yes",C565,0)</f>
        <v>0</v>
      </c>
    </row>
    <row r="414" spans="1:2" x14ac:dyDescent="0.3">
      <c r="A414" s="91" t="str">
        <f>A278</f>
        <v>Total</v>
      </c>
      <c r="B414" s="161">
        <f>SUM(B410:B413)</f>
        <v>0</v>
      </c>
    </row>
    <row r="415" spans="1:2" x14ac:dyDescent="0.3">
      <c r="A415" s="90" t="str">
        <f>A279</f>
        <v>Capacity Based Incentive (CBI)</v>
      </c>
    </row>
    <row r="416" spans="1:2" x14ac:dyDescent="0.3">
      <c r="A416" s="22" t="s">
        <v>4</v>
      </c>
      <c r="B416" s="161">
        <f>IF(cbi_fed_deprbas_fed="Yes",C569,0)</f>
        <v>0</v>
      </c>
    </row>
    <row r="417" spans="1:42" x14ac:dyDescent="0.3">
      <c r="A417" s="22" t="s">
        <v>5</v>
      </c>
      <c r="B417" s="161">
        <f>IF(cbi_sta_deprbas_fed="Yes",C570,0)</f>
        <v>0</v>
      </c>
    </row>
    <row r="418" spans="1:42" x14ac:dyDescent="0.3">
      <c r="A418" s="22" t="s">
        <v>182</v>
      </c>
      <c r="B418" s="161">
        <f>IF(cbi_uti_deprbas_fed="Yes",C571,0)</f>
        <v>0</v>
      </c>
    </row>
    <row r="419" spans="1:42" x14ac:dyDescent="0.3">
      <c r="A419" s="22" t="s">
        <v>183</v>
      </c>
      <c r="B419" s="162">
        <f>IF(cbi_oth_deprbas_fed="Yes",C572,0)</f>
        <v>0</v>
      </c>
    </row>
    <row r="420" spans="1:42" x14ac:dyDescent="0.3">
      <c r="A420" s="22" t="str">
        <f>A284</f>
        <v>Total</v>
      </c>
      <c r="B420" s="162">
        <f>SUM(B416:B419)</f>
        <v>0</v>
      </c>
    </row>
    <row r="421" spans="1:42" x14ac:dyDescent="0.3">
      <c r="A421" s="90" t="str">
        <f>A285</f>
        <v>Total Basis Reduction</v>
      </c>
      <c r="B421" s="161">
        <f>B408+B414+B420</f>
        <v>0</v>
      </c>
    </row>
    <row r="423" spans="1:42" x14ac:dyDescent="0.3">
      <c r="A423" s="4" t="s">
        <v>81</v>
      </c>
    </row>
    <row r="424" spans="1:42" x14ac:dyDescent="0.3">
      <c r="A424" s="22" t="s">
        <v>56</v>
      </c>
    </row>
    <row r="425" spans="1:42" x14ac:dyDescent="0.3">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3">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3">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3">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3">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3">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3">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3">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3">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3">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3">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3">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3">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3">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3">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3">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3">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3">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3">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3">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3">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3">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3">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3">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3">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3">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3">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3">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3">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3">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3">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3">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3">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3">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3">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3">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3">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3">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3">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3">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3">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3">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3">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3">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3">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3">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3">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3">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3">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3">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3">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3">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3">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3">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3">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3">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3">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3">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3">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3">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3">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3">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3">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3">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3">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3">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3">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3">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3">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3">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3">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3">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3">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3">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3">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3">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3">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3">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3">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3">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3">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3">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3">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3">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3">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3">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3">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3">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3">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3">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3">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3">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3">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3">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3">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3">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3">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3">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3">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3">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3">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3">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3">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3">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3">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3">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3">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3">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3">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3">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3">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3">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3">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3">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3">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3">
      <c r="A540" s="20"/>
    </row>
    <row r="541" spans="1:42" x14ac:dyDescent="0.3">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3">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3">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3">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3">
      <c r="A545" s="22" t="s">
        <v>68</v>
      </c>
      <c r="C545" s="124">
        <f>C$10/1000</f>
        <v>0</v>
      </c>
      <c r="D545" s="124">
        <f>D$10/1000</f>
        <v>0</v>
      </c>
      <c r="E545" s="124">
        <f t="shared" ref="E545:AP545" si="275">E$10/1000</f>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3">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3">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3">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3">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3">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3">
      <c r="A551" s="22" t="s">
        <v>68</v>
      </c>
      <c r="C551" s="124">
        <f>C$10/1000</f>
        <v>0</v>
      </c>
      <c r="D551" s="124">
        <f>D$10/1000</f>
        <v>0</v>
      </c>
      <c r="E551" s="124">
        <f t="shared" ref="E551:AP551" si="278">E$10/1000</f>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3">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3">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3">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3">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3">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3">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3">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3">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3">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3">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3">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3">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3">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3">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3">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3">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3">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3">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3">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3">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3">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3">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3">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3">
      <c r="A575" s="20" t="s">
        <v>32</v>
      </c>
    </row>
    <row r="576" spans="1:42" x14ac:dyDescent="0.3">
      <c r="A576" s="18" t="str">
        <f>Inputs!B130</f>
        <v>Federal ($/kWh)</v>
      </c>
    </row>
    <row r="577" spans="1:42" x14ac:dyDescent="0.3">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3">
      <c r="A578" s="22" t="s">
        <v>34</v>
      </c>
      <c r="C578" s="124">
        <f>C$10</f>
        <v>0</v>
      </c>
      <c r="D578" s="124">
        <f t="shared" ref="D578:AP578" si="280">D$10</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3">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3">
      <c r="A580" s="18" t="str">
        <f>Inputs!B131</f>
        <v>State ($/kWh)</v>
      </c>
    </row>
    <row r="581" spans="1:42" x14ac:dyDescent="0.3">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3">
      <c r="A582" s="22" t="s">
        <v>34</v>
      </c>
      <c r="C582" s="124">
        <f>C$10</f>
        <v>0</v>
      </c>
      <c r="D582" s="124">
        <f t="shared" ref="D582:AP582" si="282">D$10</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3">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3">
      <c r="A584" s="18" t="str">
        <f>Inputs!B132</f>
        <v>Utility ($/kWh)</v>
      </c>
    </row>
    <row r="585" spans="1:42" x14ac:dyDescent="0.3">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3">
      <c r="A586" s="22" t="s">
        <v>34</v>
      </c>
      <c r="C586" s="124">
        <f>C$10</f>
        <v>0</v>
      </c>
      <c r="D586" s="124">
        <f t="shared" ref="D586:AP586" si="284">D$10</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3">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3">
      <c r="A588" s="18" t="str">
        <f>Inputs!B133</f>
        <v>Other ($/kWh)</v>
      </c>
    </row>
    <row r="589" spans="1:42" x14ac:dyDescent="0.3">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3">
      <c r="A590" s="22" t="s">
        <v>34</v>
      </c>
      <c r="C590" s="124">
        <f>C$10</f>
        <v>0</v>
      </c>
      <c r="D590" s="124">
        <f t="shared" ref="D590:AP590" si="286">D$10</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3">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3">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3">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3">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3">
      <c r="A596" s="18" t="s">
        <v>23</v>
      </c>
    </row>
    <row r="597" spans="1:42" x14ac:dyDescent="0.3">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3">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3">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3">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3">
      <c r="B601" s="123"/>
      <c r="C601" s="123"/>
    </row>
    <row r="602" spans="1:42" x14ac:dyDescent="0.3">
      <c r="A602" s="18" t="s">
        <v>257</v>
      </c>
    </row>
    <row r="603" spans="1:42" x14ac:dyDescent="0.3">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3">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3">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3">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3">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3">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3">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3">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3">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3">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3">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3">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3">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3">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3">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3">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3">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3">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3">
      <c r="A621" s="23"/>
      <c r="B621" s="182"/>
    </row>
    <row r="622" spans="1:42" x14ac:dyDescent="0.3">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3">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3">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3">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3">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3">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3">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3">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3">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3">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3">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3">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3">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3">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3">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3">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3">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3">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3">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3">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3">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3">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3">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3">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3">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3">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3">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3">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3">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3">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3">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3">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3">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3">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3">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3">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3">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3">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3">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3">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3">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3">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3">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3">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3">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3">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3">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3">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3">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3">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3">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3">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3">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3">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3">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3">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3">
      <c r="A679" s="4" t="s">
        <v>292</v>
      </c>
    </row>
    <row r="680" spans="1:42" x14ac:dyDescent="0.3">
      <c r="A680" s="4" t="s">
        <v>293</v>
      </c>
    </row>
    <row r="681" spans="1:42" x14ac:dyDescent="0.3">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3">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3">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3">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3">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3">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3">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3">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3">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3">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3">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3">
      <c r="A692" s="4" t="s">
        <v>294</v>
      </c>
    </row>
    <row r="693" spans="1:42" x14ac:dyDescent="0.3">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3">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3">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3">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3">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3">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3">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3">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3">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3">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3">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3">
      <c r="A705" s="20" t="s">
        <v>298</v>
      </c>
    </row>
    <row r="706" spans="1:42" x14ac:dyDescent="0.3">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3">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3">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3">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3">
      <c r="A711" s="4" t="s">
        <v>292</v>
      </c>
    </row>
    <row r="712" spans="1:42" x14ac:dyDescent="0.3">
      <c r="A712" s="4" t="s">
        <v>293</v>
      </c>
    </row>
    <row r="713" spans="1:42" x14ac:dyDescent="0.3">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3">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3">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3">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3">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3">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3">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3">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3">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3">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3">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3">
      <c r="A724" s="4" t="s">
        <v>294</v>
      </c>
    </row>
    <row r="725" spans="1:42" x14ac:dyDescent="0.3">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3">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3">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3">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3">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3">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3">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3">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3">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3">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3">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3">
      <c r="A737" s="4" t="s">
        <v>295</v>
      </c>
    </row>
    <row r="738" spans="1:42" x14ac:dyDescent="0.3">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3">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224" t="s">
        <v>224</v>
      </c>
      <c r="B1" s="225"/>
      <c r="C1" s="226"/>
      <c r="D1" s="225"/>
      <c r="E1" s="252"/>
      <c r="F1" s="252"/>
      <c r="G1" s="253"/>
    </row>
    <row r="2" spans="1:7" s="1" customFormat="1" ht="13" x14ac:dyDescent="0.3">
      <c r="A2" s="2" t="s">
        <v>75</v>
      </c>
      <c r="B2" s="3" t="s">
        <v>42</v>
      </c>
      <c r="C2" s="3" t="s">
        <v>43</v>
      </c>
      <c r="D2" s="3" t="s">
        <v>44</v>
      </c>
      <c r="E2" s="3" t="s">
        <v>45</v>
      </c>
      <c r="F2" s="3" t="s">
        <v>46</v>
      </c>
      <c r="G2" s="254" t="s">
        <v>47</v>
      </c>
    </row>
    <row r="3" spans="1:7" s="1" customFormat="1" ht="13" x14ac:dyDescent="0.3">
      <c r="A3" s="96">
        <v>1</v>
      </c>
      <c r="B3" s="165">
        <v>20</v>
      </c>
      <c r="C3" s="171">
        <v>5</v>
      </c>
      <c r="D3" s="165">
        <v>10</v>
      </c>
      <c r="E3" s="165">
        <v>3.33</v>
      </c>
      <c r="F3" s="165">
        <v>2.5</v>
      </c>
      <c r="G3" s="165">
        <f>2.56410256410256*0.5</f>
        <v>1.2820512820512799</v>
      </c>
    </row>
    <row r="4" spans="1:7" s="1" customFormat="1" ht="13" x14ac:dyDescent="0.3">
      <c r="A4" s="97">
        <v>2</v>
      </c>
      <c r="B4" s="165">
        <v>32</v>
      </c>
      <c r="C4" s="172">
        <v>9.5</v>
      </c>
      <c r="D4" s="167">
        <v>20</v>
      </c>
      <c r="E4" s="167">
        <v>6.67</v>
      </c>
      <c r="F4" s="167">
        <v>5</v>
      </c>
      <c r="G4" s="167">
        <v>2.5641025641025599</v>
      </c>
    </row>
    <row r="5" spans="1:7" s="1" customFormat="1" ht="13" x14ac:dyDescent="0.3">
      <c r="A5" s="97">
        <v>3</v>
      </c>
      <c r="B5" s="165">
        <v>19.2</v>
      </c>
      <c r="C5" s="167">
        <v>8.5500000000000007</v>
      </c>
      <c r="D5" s="167">
        <v>20</v>
      </c>
      <c r="E5" s="167">
        <v>6.67</v>
      </c>
      <c r="F5" s="167">
        <v>5</v>
      </c>
      <c r="G5" s="167">
        <v>2.5641025641025599</v>
      </c>
    </row>
    <row r="6" spans="1:7" s="1" customFormat="1" ht="13" x14ac:dyDescent="0.3">
      <c r="A6" s="97">
        <v>4</v>
      </c>
      <c r="B6" s="165">
        <v>11.52</v>
      </c>
      <c r="C6" s="167">
        <v>7.7</v>
      </c>
      <c r="D6" s="167">
        <v>20</v>
      </c>
      <c r="E6" s="167">
        <v>6.67</v>
      </c>
      <c r="F6" s="167">
        <v>5</v>
      </c>
      <c r="G6" s="167">
        <v>2.5641025641025599</v>
      </c>
    </row>
    <row r="7" spans="1:7" s="1" customFormat="1" ht="13" x14ac:dyDescent="0.3">
      <c r="A7" s="97">
        <v>5</v>
      </c>
      <c r="B7" s="165">
        <v>11.52</v>
      </c>
      <c r="C7" s="167">
        <v>6.93</v>
      </c>
      <c r="D7" s="167">
        <v>20</v>
      </c>
      <c r="E7" s="167">
        <v>6.67</v>
      </c>
      <c r="F7" s="167">
        <v>5</v>
      </c>
      <c r="G7" s="167">
        <v>2.5641025641025599</v>
      </c>
    </row>
    <row r="8" spans="1:7" s="1" customFormat="1" ht="13" x14ac:dyDescent="0.3">
      <c r="A8" s="97">
        <v>6</v>
      </c>
      <c r="B8" s="165">
        <v>5.76</v>
      </c>
      <c r="C8" s="167">
        <v>6.23</v>
      </c>
      <c r="D8" s="167">
        <v>10</v>
      </c>
      <c r="E8" s="167">
        <v>6.67</v>
      </c>
      <c r="F8" s="167">
        <v>5</v>
      </c>
      <c r="G8" s="167">
        <v>2.5641025641025599</v>
      </c>
    </row>
    <row r="9" spans="1:7" s="1" customFormat="1" ht="13" x14ac:dyDescent="0.3">
      <c r="A9" s="97">
        <v>7</v>
      </c>
      <c r="B9" s="166">
        <v>0</v>
      </c>
      <c r="C9" s="167">
        <v>5.9</v>
      </c>
      <c r="D9" s="167">
        <v>0</v>
      </c>
      <c r="E9" s="167">
        <v>6.67</v>
      </c>
      <c r="F9" s="167">
        <v>5</v>
      </c>
      <c r="G9" s="167">
        <v>2.5641025641025599</v>
      </c>
    </row>
    <row r="10" spans="1:7" s="1" customFormat="1" ht="13" x14ac:dyDescent="0.3">
      <c r="A10" s="97">
        <v>8</v>
      </c>
      <c r="B10" s="167">
        <v>0</v>
      </c>
      <c r="C10" s="167">
        <v>5.9</v>
      </c>
      <c r="D10" s="167">
        <v>0</v>
      </c>
      <c r="E10" s="167">
        <v>6.67</v>
      </c>
      <c r="F10" s="167">
        <v>5</v>
      </c>
      <c r="G10" s="167">
        <v>2.5641025641025599</v>
      </c>
    </row>
    <row r="11" spans="1:7" s="1" customFormat="1" ht="13" x14ac:dyDescent="0.3">
      <c r="A11" s="97">
        <v>9</v>
      </c>
      <c r="B11" s="167">
        <v>0</v>
      </c>
      <c r="C11" s="167">
        <v>5.91</v>
      </c>
      <c r="D11" s="167">
        <v>0</v>
      </c>
      <c r="E11" s="167">
        <v>6.67</v>
      </c>
      <c r="F11" s="167">
        <v>5</v>
      </c>
      <c r="G11" s="167">
        <v>2.5641025641025599</v>
      </c>
    </row>
    <row r="12" spans="1:7" s="1" customFormat="1" ht="13" x14ac:dyDescent="0.3">
      <c r="A12" s="97">
        <v>10</v>
      </c>
      <c r="B12" s="167">
        <v>0</v>
      </c>
      <c r="C12" s="167">
        <v>5.9</v>
      </c>
      <c r="D12" s="167">
        <v>0</v>
      </c>
      <c r="E12" s="167">
        <v>6.67</v>
      </c>
      <c r="F12" s="167">
        <v>5</v>
      </c>
      <c r="G12" s="167">
        <v>2.5641025641025599</v>
      </c>
    </row>
    <row r="13" spans="1:7" s="1" customFormat="1" ht="13" x14ac:dyDescent="0.3">
      <c r="A13" s="97">
        <v>11</v>
      </c>
      <c r="B13" s="167">
        <v>0</v>
      </c>
      <c r="C13" s="167">
        <v>5.91</v>
      </c>
      <c r="D13" s="167">
        <v>0</v>
      </c>
      <c r="E13" s="167">
        <v>6.67</v>
      </c>
      <c r="F13" s="167">
        <v>5</v>
      </c>
      <c r="G13" s="167">
        <v>2.5641025641025599</v>
      </c>
    </row>
    <row r="14" spans="1:7" s="1" customFormat="1" ht="13" x14ac:dyDescent="0.3">
      <c r="A14" s="97">
        <v>12</v>
      </c>
      <c r="B14" s="167">
        <v>0</v>
      </c>
      <c r="C14" s="167">
        <v>5.9</v>
      </c>
      <c r="D14" s="167">
        <v>0</v>
      </c>
      <c r="E14" s="167">
        <v>6.66</v>
      </c>
      <c r="F14" s="167">
        <v>5</v>
      </c>
      <c r="G14" s="167">
        <v>2.5641025641025599</v>
      </c>
    </row>
    <row r="15" spans="1:7" s="1" customFormat="1" ht="13" x14ac:dyDescent="0.3">
      <c r="A15" s="97">
        <v>13</v>
      </c>
      <c r="B15" s="167">
        <v>0</v>
      </c>
      <c r="C15" s="167">
        <v>5.91</v>
      </c>
      <c r="D15" s="167">
        <v>0</v>
      </c>
      <c r="E15" s="167">
        <v>6.67</v>
      </c>
      <c r="F15" s="167">
        <v>5</v>
      </c>
      <c r="G15" s="167">
        <v>2.5641025641025599</v>
      </c>
    </row>
    <row r="16" spans="1:7" s="1" customFormat="1" ht="13" x14ac:dyDescent="0.3">
      <c r="A16" s="97">
        <v>14</v>
      </c>
      <c r="B16" s="167">
        <v>0</v>
      </c>
      <c r="C16" s="167">
        <v>5.9</v>
      </c>
      <c r="D16" s="167">
        <v>0</v>
      </c>
      <c r="E16" s="167">
        <v>6.66</v>
      </c>
      <c r="F16" s="167">
        <v>5</v>
      </c>
      <c r="G16" s="167">
        <v>2.5641025641025599</v>
      </c>
    </row>
    <row r="17" spans="1:7" s="1" customFormat="1" ht="13" x14ac:dyDescent="0.3">
      <c r="A17" s="97">
        <v>15</v>
      </c>
      <c r="B17" s="167">
        <v>0</v>
      </c>
      <c r="C17" s="167">
        <v>5.9</v>
      </c>
      <c r="D17" s="167">
        <v>0</v>
      </c>
      <c r="E17" s="167">
        <v>6.67</v>
      </c>
      <c r="F17" s="167">
        <v>5</v>
      </c>
      <c r="G17" s="167">
        <v>2.5641025641025599</v>
      </c>
    </row>
    <row r="18" spans="1:7" s="1" customFormat="1" ht="13" x14ac:dyDescent="0.3">
      <c r="A18" s="97">
        <v>16</v>
      </c>
      <c r="B18" s="167">
        <v>0</v>
      </c>
      <c r="C18" s="167">
        <v>2.95</v>
      </c>
      <c r="D18" s="167">
        <v>0</v>
      </c>
      <c r="E18" s="167">
        <v>3.33</v>
      </c>
      <c r="F18" s="167">
        <v>5</v>
      </c>
      <c r="G18" s="167">
        <v>2.5641025641025599</v>
      </c>
    </row>
    <row r="19" spans="1:7" s="1" customFormat="1" ht="13" x14ac:dyDescent="0.3">
      <c r="A19" s="97">
        <v>17</v>
      </c>
      <c r="B19" s="167">
        <v>0</v>
      </c>
      <c r="C19" s="167">
        <v>0</v>
      </c>
      <c r="D19" s="167">
        <v>0</v>
      </c>
      <c r="E19" s="167">
        <v>0</v>
      </c>
      <c r="F19" s="167">
        <v>5</v>
      </c>
      <c r="G19" s="167">
        <v>2.5641025641025599</v>
      </c>
    </row>
    <row r="20" spans="1:7" s="1" customFormat="1" ht="13" x14ac:dyDescent="0.3">
      <c r="A20" s="97">
        <v>18</v>
      </c>
      <c r="B20" s="167">
        <v>0</v>
      </c>
      <c r="C20" s="167">
        <v>0</v>
      </c>
      <c r="D20" s="167">
        <v>0</v>
      </c>
      <c r="E20" s="167">
        <v>0</v>
      </c>
      <c r="F20" s="167">
        <v>5</v>
      </c>
      <c r="G20" s="167">
        <v>2.5641025641025599</v>
      </c>
    </row>
    <row r="21" spans="1:7" s="1" customFormat="1" ht="13" x14ac:dyDescent="0.3">
      <c r="A21" s="97">
        <v>19</v>
      </c>
      <c r="B21" s="167">
        <v>0</v>
      </c>
      <c r="C21" s="167">
        <v>0</v>
      </c>
      <c r="D21" s="167">
        <v>0</v>
      </c>
      <c r="E21" s="167">
        <v>0</v>
      </c>
      <c r="F21" s="167">
        <v>5</v>
      </c>
      <c r="G21" s="167">
        <v>2.5641025641025599</v>
      </c>
    </row>
    <row r="22" spans="1:7" s="1" customFormat="1" ht="13" x14ac:dyDescent="0.3">
      <c r="A22" s="97">
        <v>20</v>
      </c>
      <c r="B22" s="167">
        <v>0</v>
      </c>
      <c r="C22" s="167">
        <v>0</v>
      </c>
      <c r="D22" s="167">
        <v>0</v>
      </c>
      <c r="E22" s="167">
        <v>0</v>
      </c>
      <c r="F22" s="167">
        <v>5</v>
      </c>
      <c r="G22" s="167">
        <v>2.5641025641025599</v>
      </c>
    </row>
    <row r="23" spans="1:7" s="1" customFormat="1" ht="13" x14ac:dyDescent="0.3">
      <c r="A23" s="97">
        <v>21</v>
      </c>
      <c r="B23" s="167">
        <v>0</v>
      </c>
      <c r="C23" s="167">
        <v>0</v>
      </c>
      <c r="D23" s="167">
        <v>0</v>
      </c>
      <c r="E23" s="167">
        <v>0</v>
      </c>
      <c r="F23" s="167">
        <v>2.5</v>
      </c>
      <c r="G23" s="167">
        <v>2.5641025641025599</v>
      </c>
    </row>
    <row r="24" spans="1:7" s="1" customFormat="1" ht="12.75" customHeight="1" x14ac:dyDescent="0.3">
      <c r="A24" s="97">
        <v>22</v>
      </c>
      <c r="B24" s="167">
        <v>0</v>
      </c>
      <c r="C24" s="167">
        <v>0</v>
      </c>
      <c r="D24" s="167">
        <v>0</v>
      </c>
      <c r="E24" s="167">
        <v>0</v>
      </c>
      <c r="F24" s="167">
        <v>0</v>
      </c>
      <c r="G24" s="167">
        <v>2.5641025641025599</v>
      </c>
    </row>
    <row r="25" spans="1:7" s="1" customFormat="1" ht="12.75" customHeight="1" x14ac:dyDescent="0.3">
      <c r="A25" s="97">
        <v>23</v>
      </c>
      <c r="B25" s="167">
        <v>0</v>
      </c>
      <c r="C25" s="167">
        <v>0</v>
      </c>
      <c r="D25" s="167">
        <v>0</v>
      </c>
      <c r="E25" s="167">
        <v>0</v>
      </c>
      <c r="F25" s="167">
        <v>0</v>
      </c>
      <c r="G25" s="167">
        <v>2.5641025641025599</v>
      </c>
    </row>
    <row r="26" spans="1:7" s="1" customFormat="1" ht="12.75" customHeight="1" x14ac:dyDescent="0.3">
      <c r="A26" s="97">
        <v>24</v>
      </c>
      <c r="B26" s="167">
        <v>0</v>
      </c>
      <c r="C26" s="167">
        <v>0</v>
      </c>
      <c r="D26" s="167">
        <v>0</v>
      </c>
      <c r="E26" s="167">
        <v>0</v>
      </c>
      <c r="F26" s="167">
        <v>0</v>
      </c>
      <c r="G26" s="167">
        <v>2.5641025641025599</v>
      </c>
    </row>
    <row r="27" spans="1:7" s="1" customFormat="1" ht="12.75" customHeight="1" x14ac:dyDescent="0.3">
      <c r="A27" s="97">
        <v>25</v>
      </c>
      <c r="B27" s="167">
        <v>0</v>
      </c>
      <c r="C27" s="167">
        <v>0</v>
      </c>
      <c r="D27" s="167">
        <v>0</v>
      </c>
      <c r="E27" s="167">
        <v>0</v>
      </c>
      <c r="F27" s="167">
        <v>0</v>
      </c>
      <c r="G27" s="167">
        <v>2.5641025641025599</v>
      </c>
    </row>
    <row r="28" spans="1:7" s="1" customFormat="1" ht="12.75" customHeight="1" x14ac:dyDescent="0.3">
      <c r="A28" s="97">
        <v>26</v>
      </c>
      <c r="B28" s="167">
        <v>0</v>
      </c>
      <c r="C28" s="167">
        <v>0</v>
      </c>
      <c r="D28" s="167">
        <v>0</v>
      </c>
      <c r="E28" s="167">
        <v>0</v>
      </c>
      <c r="F28" s="167">
        <v>0</v>
      </c>
      <c r="G28" s="167">
        <v>2.5641025641025599</v>
      </c>
    </row>
    <row r="29" spans="1:7" s="1" customFormat="1" ht="12.75" customHeight="1" x14ac:dyDescent="0.3">
      <c r="A29" s="97">
        <v>27</v>
      </c>
      <c r="B29" s="167">
        <v>0</v>
      </c>
      <c r="C29" s="167">
        <v>0</v>
      </c>
      <c r="D29" s="167">
        <v>0</v>
      </c>
      <c r="E29" s="167">
        <v>0</v>
      </c>
      <c r="F29" s="167">
        <v>0</v>
      </c>
      <c r="G29" s="167">
        <v>2.5641025641025599</v>
      </c>
    </row>
    <row r="30" spans="1:7" ht="12.75" customHeight="1" x14ac:dyDescent="0.35">
      <c r="A30" s="97">
        <v>28</v>
      </c>
      <c r="B30" s="167">
        <v>0</v>
      </c>
      <c r="C30" s="167">
        <v>0</v>
      </c>
      <c r="D30" s="167">
        <v>0</v>
      </c>
      <c r="E30" s="167">
        <v>0</v>
      </c>
      <c r="F30" s="167">
        <v>0</v>
      </c>
      <c r="G30" s="167">
        <v>2.5641025641025599</v>
      </c>
    </row>
    <row r="31" spans="1:7" ht="12.75" customHeight="1" x14ac:dyDescent="0.35">
      <c r="A31" s="97">
        <v>29</v>
      </c>
      <c r="B31" s="167">
        <v>0</v>
      </c>
      <c r="C31" s="167">
        <v>0</v>
      </c>
      <c r="D31" s="167">
        <v>0</v>
      </c>
      <c r="E31" s="167">
        <v>0</v>
      </c>
      <c r="F31" s="167">
        <v>0</v>
      </c>
      <c r="G31" s="167">
        <v>2.5641025641025599</v>
      </c>
    </row>
    <row r="32" spans="1:7" ht="12.75" customHeight="1" x14ac:dyDescent="0.35">
      <c r="A32" s="97">
        <v>30</v>
      </c>
      <c r="B32" s="167">
        <v>0</v>
      </c>
      <c r="C32" s="167">
        <v>0</v>
      </c>
      <c r="D32" s="167">
        <v>0</v>
      </c>
      <c r="E32" s="167">
        <v>0</v>
      </c>
      <c r="F32" s="167">
        <v>0</v>
      </c>
      <c r="G32" s="167">
        <v>2.5641025641025599</v>
      </c>
    </row>
    <row r="33" spans="1:7" ht="12.75" customHeight="1" x14ac:dyDescent="0.35">
      <c r="A33" s="97">
        <v>31</v>
      </c>
      <c r="B33" s="167">
        <v>0</v>
      </c>
      <c r="C33" s="167">
        <v>0</v>
      </c>
      <c r="D33" s="167">
        <v>0</v>
      </c>
      <c r="E33" s="167">
        <v>0</v>
      </c>
      <c r="F33" s="167">
        <v>0</v>
      </c>
      <c r="G33" s="167">
        <v>2.5641025641025599</v>
      </c>
    </row>
    <row r="34" spans="1:7" ht="12.75" customHeight="1" x14ac:dyDescent="0.35">
      <c r="A34" s="97">
        <v>32</v>
      </c>
      <c r="B34" s="167">
        <v>0</v>
      </c>
      <c r="C34" s="167">
        <v>0</v>
      </c>
      <c r="D34" s="167">
        <v>0</v>
      </c>
      <c r="E34" s="167">
        <v>0</v>
      </c>
      <c r="F34" s="167">
        <v>0</v>
      </c>
      <c r="G34" s="167">
        <v>2.5641025641025599</v>
      </c>
    </row>
    <row r="35" spans="1:7" ht="12.75" customHeight="1" x14ac:dyDescent="0.35">
      <c r="A35" s="97">
        <v>33</v>
      </c>
      <c r="B35" s="167">
        <v>0</v>
      </c>
      <c r="C35" s="167">
        <v>0</v>
      </c>
      <c r="D35" s="167">
        <v>0</v>
      </c>
      <c r="E35" s="167">
        <v>0</v>
      </c>
      <c r="F35" s="167">
        <v>0</v>
      </c>
      <c r="G35" s="167">
        <v>2.5641025641025599</v>
      </c>
    </row>
    <row r="36" spans="1:7" ht="12.75" customHeight="1" x14ac:dyDescent="0.35">
      <c r="A36" s="97">
        <v>34</v>
      </c>
      <c r="B36" s="167">
        <v>0</v>
      </c>
      <c r="C36" s="167">
        <v>0</v>
      </c>
      <c r="D36" s="167">
        <v>0</v>
      </c>
      <c r="E36" s="167">
        <v>0</v>
      </c>
      <c r="F36" s="167">
        <v>0</v>
      </c>
      <c r="G36" s="167">
        <v>2.5641025641025599</v>
      </c>
    </row>
    <row r="37" spans="1:7" ht="12.75" customHeight="1" x14ac:dyDescent="0.35">
      <c r="A37" s="97">
        <v>35</v>
      </c>
      <c r="B37" s="167">
        <v>0</v>
      </c>
      <c r="C37" s="167">
        <v>0</v>
      </c>
      <c r="D37" s="167">
        <v>0</v>
      </c>
      <c r="E37" s="167">
        <v>0</v>
      </c>
      <c r="F37" s="167">
        <v>0</v>
      </c>
      <c r="G37" s="167">
        <v>2.5641025641025599</v>
      </c>
    </row>
    <row r="38" spans="1:7" ht="12.75" customHeight="1" x14ac:dyDescent="0.35">
      <c r="A38" s="97">
        <v>36</v>
      </c>
      <c r="B38" s="167">
        <v>0</v>
      </c>
      <c r="C38" s="167">
        <v>0</v>
      </c>
      <c r="D38" s="167">
        <v>0</v>
      </c>
      <c r="E38" s="167">
        <v>0</v>
      </c>
      <c r="F38" s="167">
        <v>0</v>
      </c>
      <c r="G38" s="167">
        <v>2.5641025641025599</v>
      </c>
    </row>
    <row r="39" spans="1:7" ht="12.75" customHeight="1" x14ac:dyDescent="0.35">
      <c r="A39" s="97">
        <v>37</v>
      </c>
      <c r="B39" s="167">
        <v>0</v>
      </c>
      <c r="C39" s="167">
        <v>0</v>
      </c>
      <c r="D39" s="167">
        <v>0</v>
      </c>
      <c r="E39" s="167">
        <v>0</v>
      </c>
      <c r="F39" s="167">
        <v>0</v>
      </c>
      <c r="G39" s="167">
        <v>2.5641025641025599</v>
      </c>
    </row>
    <row r="40" spans="1:7" ht="12.75" customHeight="1" x14ac:dyDescent="0.35">
      <c r="A40" s="97">
        <v>38</v>
      </c>
      <c r="B40" s="167">
        <v>0</v>
      </c>
      <c r="C40" s="167">
        <v>0</v>
      </c>
      <c r="D40" s="167">
        <v>0</v>
      </c>
      <c r="E40" s="167">
        <v>0</v>
      </c>
      <c r="F40" s="167">
        <v>0</v>
      </c>
      <c r="G40" s="167">
        <v>2.5641025641025599</v>
      </c>
    </row>
    <row r="41" spans="1:7" ht="12.75" customHeight="1" x14ac:dyDescent="0.35">
      <c r="A41" s="97">
        <v>39</v>
      </c>
      <c r="B41" s="167">
        <v>0</v>
      </c>
      <c r="C41" s="167">
        <v>0</v>
      </c>
      <c r="D41" s="167">
        <v>0</v>
      </c>
      <c r="E41" s="167">
        <v>0</v>
      </c>
      <c r="F41" s="167">
        <v>0</v>
      </c>
      <c r="G41" s="167">
        <v>2.5641025641025599</v>
      </c>
    </row>
    <row r="42" spans="1:7" ht="12.75" customHeight="1" x14ac:dyDescent="0.35">
      <c r="A42" s="98">
        <v>40</v>
      </c>
      <c r="B42" s="168">
        <v>0</v>
      </c>
      <c r="C42" s="168">
        <v>0</v>
      </c>
      <c r="D42" s="168">
        <v>0</v>
      </c>
      <c r="E42" s="168">
        <v>0</v>
      </c>
      <c r="F42" s="168">
        <v>0</v>
      </c>
      <c r="G42" s="168">
        <f>2.56410256410256*0.5</f>
        <v>1.2820512820512799</v>
      </c>
    </row>
    <row r="43" spans="1:7" x14ac:dyDescent="0.35">
      <c r="A43" s="95" t="s">
        <v>186</v>
      </c>
      <c r="B43" s="95"/>
      <c r="C43" s="95"/>
      <c r="D43" s="95"/>
      <c r="E43" s="95"/>
      <c r="F43" s="95"/>
      <c r="G43" s="95"/>
    </row>
    <row r="44" spans="1:7" x14ac:dyDescent="0.3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2023-09-14T17:08:15Z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