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xi\Documents\Jupyter\Solar-for-Industry-Process-Heat-master\Solar-for-Industry-Process-Heat-master\process_parity_calc\calculation_data\"/>
    </mc:Choice>
  </mc:AlternateContent>
  <xr:revisionPtr revIDLastSave="0" documentId="13_ncr:1_{8CCF18B4-BDF3-4515-8986-47302E1933A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Overview" sheetId="10" r:id="rId1"/>
    <sheet name="Mass and energy flow" sheetId="1" r:id="rId2"/>
    <sheet name="Replacement" sheetId="8" r:id="rId3"/>
    <sheet name="Replacement-calcs" sheetId="12" r:id="rId4"/>
    <sheet name="Measurements" sheetId="4" r:id="rId5"/>
    <sheet name="Theoretical thermal" sheetId="2" r:id="rId6"/>
    <sheet name="NG boiler" sheetId="9" r:id="rId7"/>
    <sheet name="IAC" sheetId="7" r:id="rId8"/>
    <sheet name="Cost data" sheetId="6" r:id="rId9"/>
    <sheet name="108 book" sheetId="3" r:id="rId10"/>
    <sheet name="References" sheetId="5" r:id="rId11"/>
  </sheets>
  <externalReferences>
    <externalReference r:id="rId12"/>
  </externalReferences>
  <definedNames>
    <definedName name="_xlnm._FilterDatabase" localSheetId="4" hidden="1">Measurements!$B$97:$N$99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2" l="1"/>
  <c r="E54" i="8"/>
  <c r="AI36" i="9" l="1"/>
  <c r="H5" i="8" l="1"/>
  <c r="C4" i="8"/>
  <c r="C63" i="1"/>
  <c r="G47" i="8" l="1"/>
  <c r="C51" i="8" l="1"/>
  <c r="A47" i="8"/>
  <c r="A48" i="8"/>
  <c r="A49" i="8"/>
  <c r="A50" i="8"/>
  <c r="A51" i="8"/>
  <c r="A52" i="8"/>
  <c r="C7" i="6"/>
  <c r="C47" i="8" l="1"/>
  <c r="C20" i="8"/>
  <c r="B35" i="8"/>
  <c r="G52" i="8" l="1"/>
  <c r="G51" i="8"/>
  <c r="G50" i="8"/>
  <c r="G49" i="8"/>
  <c r="G48" i="8"/>
  <c r="J51" i="8" l="1"/>
  <c r="J52" i="8"/>
  <c r="D52" i="8"/>
  <c r="D51" i="8"/>
  <c r="D50" i="8"/>
  <c r="D49" i="8"/>
  <c r="D48" i="8"/>
  <c r="D47" i="8"/>
  <c r="C52" i="8"/>
  <c r="C50" i="8"/>
  <c r="C49" i="8"/>
  <c r="C48" i="8"/>
  <c r="C19" i="4" l="1"/>
  <c r="C12" i="4"/>
  <c r="W6" i="9" l="1"/>
  <c r="X6" i="9" s="1"/>
  <c r="X5" i="9"/>
  <c r="X4" i="9"/>
  <c r="X3" i="9"/>
  <c r="Q7" i="9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B2" i="8"/>
  <c r="F36" i="4"/>
  <c r="F8" i="4"/>
  <c r="C9" i="4"/>
  <c r="W7" i="9" l="1"/>
  <c r="W8" i="9" s="1"/>
  <c r="E2" i="8"/>
  <c r="C2" i="8"/>
  <c r="D2" i="8" s="1"/>
  <c r="E9" i="4"/>
  <c r="W9" i="9"/>
  <c r="X8" i="9"/>
  <c r="X7" i="9"/>
  <c r="H48" i="8" l="1"/>
  <c r="W10" i="9"/>
  <c r="X9" i="9"/>
  <c r="X10" i="9" l="1"/>
  <c r="W11" i="9"/>
  <c r="X11" i="9" l="1"/>
  <c r="W12" i="9"/>
  <c r="X12" i="9" l="1"/>
  <c r="W13" i="9"/>
  <c r="W14" i="9" l="1"/>
  <c r="X13" i="9"/>
  <c r="X14" i="9" l="1"/>
  <c r="W15" i="9"/>
  <c r="X15" i="9" l="1"/>
  <c r="W16" i="9"/>
  <c r="X16" i="9" l="1"/>
  <c r="W17" i="9"/>
  <c r="W18" i="9" l="1"/>
  <c r="X17" i="9"/>
  <c r="X18" i="9" l="1"/>
  <c r="W19" i="9"/>
  <c r="X19" i="9" l="1"/>
  <c r="W20" i="9"/>
  <c r="I28" i="7"/>
  <c r="I29" i="7"/>
  <c r="I30" i="7"/>
  <c r="I31" i="7"/>
  <c r="I27" i="7"/>
  <c r="K31" i="7" s="1"/>
  <c r="F40" i="4" s="1"/>
  <c r="L19" i="7"/>
  <c r="F42" i="4"/>
  <c r="F34" i="4"/>
  <c r="J20" i="7"/>
  <c r="J19" i="7"/>
  <c r="J18" i="7"/>
  <c r="J17" i="7"/>
  <c r="J16" i="7"/>
  <c r="L7" i="7"/>
  <c r="J7" i="7"/>
  <c r="L6" i="7"/>
  <c r="L5" i="7"/>
  <c r="J5" i="7"/>
  <c r="L4" i="7"/>
  <c r="J4" i="7"/>
  <c r="L3" i="7"/>
  <c r="C17" i="4"/>
  <c r="E17" i="4" s="1"/>
  <c r="E47" i="4"/>
  <c r="E22" i="4"/>
  <c r="E36" i="4"/>
  <c r="E44" i="4"/>
  <c r="E11" i="4"/>
  <c r="W21" i="9" l="1"/>
  <c r="X20" i="9"/>
  <c r="E12" i="4"/>
  <c r="W22" i="9" l="1"/>
  <c r="X22" i="9" s="1"/>
  <c r="X21" i="9"/>
  <c r="E8" i="4" l="1"/>
  <c r="C8" i="6"/>
  <c r="C9" i="6"/>
  <c r="C10" i="6"/>
  <c r="C11" i="6"/>
  <c r="C12" i="6"/>
  <c r="C13" i="6"/>
  <c r="C14" i="6"/>
  <c r="C15" i="6"/>
  <c r="C16" i="6"/>
  <c r="F27" i="4"/>
  <c r="C45" i="4"/>
  <c r="C43" i="4"/>
  <c r="C40" i="4"/>
  <c r="G40" i="4" s="1"/>
  <c r="I40" i="4" s="1"/>
  <c r="C37" i="4"/>
  <c r="C35" i="4"/>
  <c r="C26" i="4"/>
  <c r="C23" i="4"/>
  <c r="E19" i="4"/>
  <c r="C18" i="4"/>
  <c r="C16" i="4"/>
  <c r="C15" i="4"/>
  <c r="C14" i="4"/>
  <c r="C13" i="4"/>
  <c r="F11" i="4"/>
  <c r="G11" i="4" s="1"/>
  <c r="I11" i="4" s="1"/>
  <c r="C7" i="4"/>
  <c r="G7" i="4" s="1"/>
  <c r="B47" i="8" l="1"/>
  <c r="E47" i="8" s="1"/>
  <c r="F47" i="8" s="1"/>
  <c r="B51" i="8"/>
  <c r="E51" i="8" s="1"/>
  <c r="F51" i="8" s="1"/>
  <c r="B52" i="8"/>
  <c r="E52" i="8" s="1"/>
  <c r="F52" i="8" s="1"/>
  <c r="B50" i="8"/>
  <c r="E50" i="8" s="1"/>
  <c r="F50" i="8" s="1"/>
  <c r="B49" i="8"/>
  <c r="E49" i="8" s="1"/>
  <c r="F49" i="8" s="1"/>
  <c r="B48" i="8"/>
  <c r="E48" i="8" s="1"/>
  <c r="F48" i="8" s="1"/>
  <c r="I7" i="4"/>
  <c r="H7" i="4"/>
  <c r="L7" i="4" s="1"/>
  <c r="J11" i="4"/>
  <c r="M11" i="4" s="1"/>
  <c r="J40" i="4"/>
  <c r="M40" i="4" s="1"/>
  <c r="G8" i="4"/>
  <c r="I8" i="4" s="1"/>
  <c r="G9" i="4"/>
  <c r="E16" i="4"/>
  <c r="E15" i="4"/>
  <c r="E23" i="4"/>
  <c r="E13" i="4"/>
  <c r="G13" i="4"/>
  <c r="E14" i="4"/>
  <c r="G14" i="4"/>
  <c r="H11" i="4"/>
  <c r="H40" i="4"/>
  <c r="L40" i="4" s="1"/>
  <c r="G22" i="4"/>
  <c r="G12" i="4"/>
  <c r="I12" i="4" s="1"/>
  <c r="G36" i="4"/>
  <c r="I36" i="4" s="1"/>
  <c r="M36" i="4" s="1"/>
  <c r="G17" i="4"/>
  <c r="I17" i="4" s="1"/>
  <c r="J17" i="4" s="1"/>
  <c r="E43" i="4"/>
  <c r="G43" i="4"/>
  <c r="E35" i="4"/>
  <c r="G35" i="4"/>
  <c r="I35" i="4" s="1"/>
  <c r="M35" i="4" s="1"/>
  <c r="E37" i="4"/>
  <c r="G37" i="4"/>
  <c r="I37" i="4" s="1"/>
  <c r="M37" i="4" s="1"/>
  <c r="E45" i="4"/>
  <c r="G45" i="4"/>
  <c r="I45" i="4" s="1"/>
  <c r="E18" i="4"/>
  <c r="G18" i="4"/>
  <c r="I18" i="4" s="1"/>
  <c r="J18" i="4" s="1"/>
  <c r="E26" i="4"/>
  <c r="G26" i="4"/>
  <c r="C41" i="4"/>
  <c r="E40" i="4"/>
  <c r="E7" i="4"/>
  <c r="J45" i="4" l="1"/>
  <c r="M45" i="4" s="1"/>
  <c r="J12" i="4"/>
  <c r="M12" i="4"/>
  <c r="J8" i="4"/>
  <c r="M8" i="4"/>
  <c r="I26" i="4"/>
  <c r="H26" i="4"/>
  <c r="L26" i="4" s="1"/>
  <c r="H43" i="4"/>
  <c r="I43" i="4"/>
  <c r="H22" i="4"/>
  <c r="I22" i="4"/>
  <c r="H9" i="4"/>
  <c r="I9" i="4"/>
  <c r="I14" i="4"/>
  <c r="H14" i="4"/>
  <c r="H13" i="4"/>
  <c r="I13" i="4"/>
  <c r="H12" i="4"/>
  <c r="L12" i="4" s="1"/>
  <c r="H37" i="4"/>
  <c r="L37" i="4" s="1"/>
  <c r="L43" i="4"/>
  <c r="H18" i="4"/>
  <c r="L18" i="4" s="1"/>
  <c r="H35" i="4"/>
  <c r="L35" i="4" s="1"/>
  <c r="H17" i="4"/>
  <c r="H8" i="4"/>
  <c r="L8" i="4" s="1"/>
  <c r="H45" i="4"/>
  <c r="L45" i="4" s="1"/>
  <c r="H36" i="4"/>
  <c r="E41" i="4"/>
  <c r="G41" i="4"/>
  <c r="I41" i="4" s="1"/>
  <c r="J13" i="4" l="1"/>
  <c r="M13" i="4"/>
  <c r="J7" i="4"/>
  <c r="M7" i="4" s="1"/>
  <c r="J43" i="4"/>
  <c r="M43" i="4"/>
  <c r="J26" i="4"/>
  <c r="M26" i="4" s="1"/>
  <c r="J22" i="4"/>
  <c r="M22" i="4"/>
  <c r="J14" i="4"/>
  <c r="M14" i="4"/>
  <c r="J41" i="4"/>
  <c r="M41" i="4" s="1"/>
  <c r="J9" i="4"/>
  <c r="M9" i="4" s="1"/>
  <c r="L13" i="4"/>
  <c r="L36" i="4"/>
  <c r="L9" i="4"/>
  <c r="L14" i="4"/>
  <c r="L17" i="4"/>
  <c r="L22" i="4"/>
  <c r="L11" i="4"/>
  <c r="H41" i="4"/>
  <c r="L41" i="4" l="1"/>
  <c r="P9" i="3" l="1"/>
  <c r="B41" i="1" s="1"/>
  <c r="B56" i="1"/>
  <c r="C12" i="3"/>
  <c r="C11" i="3"/>
  <c r="Q10" i="3"/>
  <c r="P10" i="3"/>
  <c r="B52" i="1" s="1"/>
  <c r="C10" i="3"/>
  <c r="Q9" i="3"/>
  <c r="M9" i="3"/>
  <c r="C9" i="3"/>
  <c r="G8" i="3"/>
  <c r="C8" i="3"/>
  <c r="C7" i="3"/>
  <c r="Q6" i="3"/>
  <c r="M6" i="3"/>
  <c r="C6" i="3"/>
  <c r="Q5" i="3"/>
  <c r="M5" i="3"/>
  <c r="G5" i="3"/>
  <c r="C5" i="3"/>
  <c r="Q4" i="3"/>
  <c r="Q13" i="3" s="1"/>
  <c r="R5" i="3" s="1"/>
  <c r="M4" i="3"/>
  <c r="G4" i="3"/>
  <c r="C4" i="3"/>
  <c r="B57" i="1" l="1"/>
  <c r="D26" i="4" s="1"/>
  <c r="C27" i="4"/>
  <c r="B46" i="1"/>
  <c r="B3" i="8"/>
  <c r="C21" i="4"/>
  <c r="B61" i="1"/>
  <c r="R10" i="3"/>
  <c r="R9" i="3"/>
  <c r="R6" i="3"/>
  <c r="R4" i="3"/>
  <c r="L14" i="2"/>
  <c r="M14" i="2"/>
  <c r="J14" i="2"/>
  <c r="B30" i="1"/>
  <c r="B34" i="1" s="1"/>
  <c r="B39" i="1" s="1"/>
  <c r="B44" i="1" s="1"/>
  <c r="B50" i="1"/>
  <c r="B45" i="1"/>
  <c r="B11" i="1"/>
  <c r="B8" i="1"/>
  <c r="M11" i="2"/>
  <c r="L11" i="2"/>
  <c r="J6" i="2"/>
  <c r="J10" i="2" s="1"/>
  <c r="M5" i="2"/>
  <c r="M9" i="2" s="1"/>
  <c r="M13" i="2" s="1"/>
  <c r="C52" i="1" s="1"/>
  <c r="L5" i="2"/>
  <c r="L9" i="2" s="1"/>
  <c r="L13" i="2" s="1"/>
  <c r="C41" i="1" s="1"/>
  <c r="K5" i="2"/>
  <c r="K9" i="2" s="1"/>
  <c r="J5" i="2"/>
  <c r="J9" i="2" s="1"/>
  <c r="C46" i="4" l="1"/>
  <c r="C39" i="4"/>
  <c r="C42" i="4"/>
  <c r="C34" i="4"/>
  <c r="B17" i="1"/>
  <c r="B24" i="1" s="1"/>
  <c r="C3" i="8"/>
  <c r="D3" i="8" s="1"/>
  <c r="B36" i="8" s="1"/>
  <c r="E3" i="8"/>
  <c r="D21" i="4"/>
  <c r="G21" i="4"/>
  <c r="E21" i="4"/>
  <c r="D22" i="4"/>
  <c r="D23" i="4"/>
  <c r="D27" i="4"/>
  <c r="E27" i="4"/>
  <c r="G27" i="4"/>
  <c r="J13" i="2"/>
  <c r="C7" i="1" s="1"/>
  <c r="C61" i="1"/>
  <c r="K12" i="2"/>
  <c r="K14" i="2" s="1"/>
  <c r="K13" i="2"/>
  <c r="D39" i="8" l="1"/>
  <c r="D38" i="8"/>
  <c r="D36" i="8"/>
  <c r="D37" i="8"/>
  <c r="H21" i="4"/>
  <c r="L21" i="4" s="1"/>
  <c r="I21" i="4"/>
  <c r="E34" i="4"/>
  <c r="G34" i="4"/>
  <c r="H47" i="8"/>
  <c r="H49" i="8"/>
  <c r="B54" i="8" s="1"/>
  <c r="H50" i="8"/>
  <c r="H51" i="8"/>
  <c r="B55" i="8" s="1"/>
  <c r="H52" i="8"/>
  <c r="B39" i="8"/>
  <c r="F3" i="8"/>
  <c r="B22" i="8" s="1"/>
  <c r="F2" i="8"/>
  <c r="B21" i="8" s="1"/>
  <c r="C58" i="8"/>
  <c r="B37" i="8"/>
  <c r="B38" i="8"/>
  <c r="G42" i="4"/>
  <c r="E42" i="4"/>
  <c r="G39" i="4"/>
  <c r="E39" i="4"/>
  <c r="I27" i="4"/>
  <c r="J27" i="4" s="1"/>
  <c r="M27" i="4" s="1"/>
  <c r="H27" i="4"/>
  <c r="L27" i="4" s="1"/>
  <c r="E46" i="4"/>
  <c r="G46" i="4"/>
  <c r="B26" i="1"/>
  <c r="D19" i="4" s="1"/>
  <c r="B13" i="1"/>
  <c r="D8" i="4"/>
  <c r="B62" i="1"/>
  <c r="D9" i="4"/>
  <c r="D7" i="4"/>
  <c r="N13" i="2"/>
  <c r="I34" i="4" l="1"/>
  <c r="M34" i="4" s="1"/>
  <c r="H34" i="4"/>
  <c r="L34" i="4"/>
  <c r="J21" i="4"/>
  <c r="M21" i="4" s="1"/>
  <c r="C21" i="8"/>
  <c r="I46" i="4"/>
  <c r="H46" i="4"/>
  <c r="L46" i="4" s="1"/>
  <c r="B25" i="8"/>
  <c r="B26" i="8"/>
  <c r="C22" i="8"/>
  <c r="B23" i="8"/>
  <c r="B28" i="8" s="1"/>
  <c r="D16" i="4"/>
  <c r="D13" i="4"/>
  <c r="D15" i="4"/>
  <c r="D18" i="4"/>
  <c r="I39" i="4"/>
  <c r="J39" i="4" s="1"/>
  <c r="M39" i="4" s="1"/>
  <c r="H39" i="4"/>
  <c r="L39" i="4" s="1"/>
  <c r="D14" i="4"/>
  <c r="D17" i="4"/>
  <c r="I42" i="4"/>
  <c r="H42" i="4"/>
  <c r="L42" i="4" s="1"/>
  <c r="D12" i="4"/>
  <c r="C55" i="8"/>
  <c r="D11" i="4"/>
  <c r="B23" i="1"/>
  <c r="B58" i="8" l="1"/>
  <c r="D58" i="8"/>
  <c r="J42" i="4"/>
  <c r="M42" i="4"/>
  <c r="B27" i="8"/>
  <c r="J46" i="4"/>
  <c r="M46" i="4"/>
  <c r="C23" i="8"/>
  <c r="C24" i="8" s="1"/>
  <c r="B29" i="8"/>
  <c r="B60" i="8" l="1"/>
  <c r="D60" i="8"/>
  <c r="B59" i="8"/>
  <c r="D59" i="8"/>
  <c r="B63" i="8"/>
  <c r="B30" i="8"/>
  <c r="B64" i="8" l="1"/>
  <c r="D64" i="8"/>
  <c r="B65" i="8"/>
  <c r="D65" i="8"/>
  <c r="B61" i="8"/>
  <c r="D61" i="8"/>
  <c r="E61" i="8" s="1"/>
  <c r="C59" i="8" s="1"/>
  <c r="B66" i="8"/>
  <c r="D66" i="8"/>
  <c r="B67" i="8" l="1"/>
  <c r="D67" i="8"/>
  <c r="C6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Jingyi Zhang</author>
  </authors>
  <commentList>
    <comment ref="B4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hot water can be reused</t>
        </r>
      </text>
    </comment>
    <comment ref="B5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hot water can be reused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Jingyi Zhang</author>
  </authors>
  <commentList>
    <comment ref="C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Combustion of spent grain can generate ash and P2O5 content, which can be used in other processes.</t>
        </r>
      </text>
    </comment>
    <comment ref="D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It exceeds 100% and this is due to the incineration generates useful thermal energy</t>
        </r>
      </text>
    </comment>
    <comment ref="K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Biomass furnace
</t>
        </r>
      </text>
    </comment>
    <comment ref="F1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payback time is &gt; 2 years, we assume it is ~3.5 years
</t>
        </r>
      </text>
    </comment>
    <comment ref="D1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original data was based on a 2.8 million hl brewery and here the data doesn't make sense </t>
        </r>
      </text>
    </comment>
    <comment ref="F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the payback time is &lt;=3 years, and here we assume is 3 years
</t>
        </r>
      </text>
    </comment>
    <comment ref="K2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based on rought estimation</t>
        </r>
      </text>
    </comment>
    <comment ref="C5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Combustion of spent grain can generate ash and P2O5 content, which can be used in other processes.</t>
        </r>
      </text>
    </comment>
    <comment ref="K5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Biomass furnace
</t>
        </r>
      </text>
    </comment>
    <comment ref="D7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cannot use this data</t>
        </r>
      </text>
    </comment>
    <comment ref="F74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Jingyi Zhang:</t>
        </r>
        <r>
          <rPr>
            <sz val="9"/>
            <color indexed="81"/>
            <rFont val="Tahoma"/>
            <family val="2"/>
          </rPr>
          <t xml:space="preserve">
the payback time is &lt;=3 years, and here we assume is 3 years
</t>
        </r>
      </text>
    </comment>
  </commentList>
</comments>
</file>

<file path=xl/sharedStrings.xml><?xml version="1.0" encoding="utf-8"?>
<sst xmlns="http://schemas.openxmlformats.org/spreadsheetml/2006/main" count="812" uniqueCount="418">
  <si>
    <t>Mass/Energy balance</t>
  </si>
  <si>
    <t>Brewery size: 250,000 hl</t>
  </si>
  <si>
    <t>small to medium</t>
  </si>
  <si>
    <t>Mashing and Lautering</t>
  </si>
  <si>
    <t>Input</t>
  </si>
  <si>
    <t>Values</t>
  </si>
  <si>
    <t>Theoretical minimum</t>
  </si>
  <si>
    <t>Malted grain</t>
  </si>
  <si>
    <t>Water</t>
  </si>
  <si>
    <t>kg/hl</t>
  </si>
  <si>
    <t>Given in [1]</t>
  </si>
  <si>
    <t>Unit</t>
  </si>
  <si>
    <t>Note</t>
  </si>
  <si>
    <t>Thermal energy</t>
  </si>
  <si>
    <t>MJ/hl</t>
  </si>
  <si>
    <t>Mashing</t>
  </si>
  <si>
    <t>Wort boiling</t>
  </si>
  <si>
    <t>Cleaning</t>
  </si>
  <si>
    <t>Pasteurization</t>
  </si>
  <si>
    <t>Heat required to increase the temperature</t>
  </si>
  <si>
    <t>Initial temperature (oC)</t>
  </si>
  <si>
    <t>[4]</t>
  </si>
  <si>
    <t>Final temperature (oC)</t>
  </si>
  <si>
    <t>References of temperatures</t>
  </si>
  <si>
    <t>[1]</t>
  </si>
  <si>
    <t>m1 (kg/hl)</t>
  </si>
  <si>
    <t>c- specifice heat of water</t>
  </si>
  <si>
    <t>kJ/kg/K</t>
  </si>
  <si>
    <t>m2 (kg/hl)</t>
  </si>
  <si>
    <t>m - mass of water</t>
  </si>
  <si>
    <t>c1 (kJ/kg/K)</t>
  </si>
  <si>
    <t>T1 - initial temperature of process, oC</t>
  </si>
  <si>
    <t>c2 (kJ/kg/K)</t>
  </si>
  <si>
    <t>T2 - final temperature of process, oC</t>
  </si>
  <si>
    <t>q1,m1 (MJ/hl)</t>
  </si>
  <si>
    <t>P - conversion factor 1000, to MJ</t>
  </si>
  <si>
    <t>q1,m2 (MJ/hl)</t>
  </si>
  <si>
    <t>q2 (MJ/hl)</t>
  </si>
  <si>
    <t>q3 (MJ/hl)</t>
  </si>
  <si>
    <t>Heat conduction from the wall</t>
  </si>
  <si>
    <t>q total</t>
  </si>
  <si>
    <t>It is noticeable that the final thermal energy consumption can be smaller than this theoretical value if biogas gneration or incineration of spent grain measurements are used!</t>
  </si>
  <si>
    <t>From [9], the minimum thermal energy consumption from brewhouse should be 20-25 MJ/hl. Our calculation is a bit higher 33.2 MJ/hl (should be due to the temperature choices in inlet and outlet)</t>
  </si>
  <si>
    <t>1/αsi - thermal resistance of internal surface of the tank, m2 K/W</t>
  </si>
  <si>
    <t>1/αse - thermal resistance of external surface of the tank, m2 K/W</t>
  </si>
  <si>
    <t>δ - thickness of material layer in the tank wall, m</t>
  </si>
  <si>
    <t>λ - heat conductivity of a material layer in the tank wall, W/(m*k), valuum insulation pannel = 0.01</t>
  </si>
  <si>
    <t>n - amount of different layers in the tank wall</t>
  </si>
  <si>
    <t>S - area of tank walls</t>
  </si>
  <si>
    <t>Twort - temperature of wort, oC</t>
  </si>
  <si>
    <t>Tin - ambient temperature, oC</t>
  </si>
  <si>
    <t>τ - duration of the process</t>
  </si>
  <si>
    <t>Heat loss due to evaporation</t>
  </si>
  <si>
    <t>m evap - evaporated amount of water from wort, kg - ranges from 4% to 15%</t>
  </si>
  <si>
    <t>L - specific heat of evaporation of water, 2258 kJ/kg</t>
  </si>
  <si>
    <t>p - conversion factor</t>
  </si>
  <si>
    <t>Recovered heat from wort boiling</t>
  </si>
  <si>
    <t>Output</t>
  </si>
  <si>
    <t>Mash</t>
  </si>
  <si>
    <t>Spend grains</t>
  </si>
  <si>
    <t>Waste heat</t>
  </si>
  <si>
    <t>Mash is heated from 10oC to 75oC, capacity of mash is 1.05 kJ/kg/K and capacity of malted grain is 1.59 kJ/kg/K [3]</t>
  </si>
  <si>
    <t>Hops</t>
  </si>
  <si>
    <t>Mainly it is water boiling and capacity is 4.1 KJ/kg/K. Temperature increases from 75oC to 100oC</t>
  </si>
  <si>
    <t>Wort</t>
  </si>
  <si>
    <t>Trub (debris)</t>
  </si>
  <si>
    <t>Steam evaporation</t>
  </si>
  <si>
    <t>Waste heat recovery for hot liquor tank</t>
  </si>
  <si>
    <t>Given in [1], theoretical value</t>
  </si>
  <si>
    <t>Brewery size: 25,000 hl</t>
  </si>
  <si>
    <t>small size to medium</t>
  </si>
  <si>
    <t>800,000-1,000,000 hl/year  - medium size</t>
  </si>
  <si>
    <t>Total thermal energy consumption: 170 MJ/hl</t>
  </si>
  <si>
    <t>20,000 - 50,000 hl/year - small size</t>
  </si>
  <si>
    <t>Efficiency improvement methods already applied:</t>
  </si>
  <si>
    <t>Injection mashing instead of decoction mashing</t>
  </si>
  <si>
    <t>[2]</t>
  </si>
  <si>
    <t>High gravity brewing</t>
  </si>
  <si>
    <t>[3]</t>
  </si>
  <si>
    <t>Heat exchanger applied in wort cooling process</t>
  </si>
  <si>
    <t>Fermentation</t>
  </si>
  <si>
    <t>Beer</t>
  </si>
  <si>
    <t>Wasted heat (spontaneous)</t>
  </si>
  <si>
    <t>Beer filling</t>
  </si>
  <si>
    <t>Thermal energy in hot water</t>
  </si>
  <si>
    <t xml:space="preserve">Output </t>
  </si>
  <si>
    <t>Waste water</t>
  </si>
  <si>
    <t>Wasted heat</t>
  </si>
  <si>
    <t>waste heat for conditioning is 0.52 [1], this waste heat should be from hot water cleaning and pasteurization. Assume 60% of this waste heat comes from pasteurization and 40% comes from cleaning, theoretical value</t>
  </si>
  <si>
    <t>In keg packaging the cleaning of kegs shows the largest hot water requirement and respectively a large waste water stream at significant temperature.</t>
  </si>
  <si>
    <t>0.16 L/L for good practice, 0.08L/L for best practice [2]</t>
  </si>
  <si>
    <t xml:space="preserve">Thermal energy </t>
  </si>
  <si>
    <t>Pasteurization temperature increases from 62oC to 82oC and keep it at 82oC for 15 min, heat capacity of beer is 4.18 KJ/kg/K</t>
  </si>
  <si>
    <t>beer density = 1060 kg/m3</t>
  </si>
  <si>
    <t>Theoretical value</t>
  </si>
  <si>
    <t>Total thermal energy consumption</t>
  </si>
  <si>
    <t>49.5-170 MJ/hl from literature</t>
  </si>
  <si>
    <t>Theoretical waste heat is 0.1 MJ/hl [1]</t>
  </si>
  <si>
    <t>Evaporation ratio ~ 4.2%</t>
  </si>
  <si>
    <t>Hot water</t>
  </si>
  <si>
    <t>Hot water for cleaning</t>
  </si>
  <si>
    <t>Hot water for pasteurization</t>
  </si>
  <si>
    <t>Assuming the water used for cleaning is 1 L/L, (returnable glass bottle 1.3-3.5L/L, avg is 2.4L/L, non-retunable glass bottle 0.7-1.4, avg is 1 L/L) [13]</t>
  </si>
  <si>
    <t>NAICS</t>
  </si>
  <si>
    <t>Brewery</t>
  </si>
  <si>
    <t>Commercial Bakeries</t>
  </si>
  <si>
    <t>SIC</t>
  </si>
  <si>
    <t>Malt beverage</t>
  </si>
  <si>
    <t>Unit process</t>
  </si>
  <si>
    <t>Proc. Temp (F)</t>
  </si>
  <si>
    <t>Proc. Temp (C)</t>
  </si>
  <si>
    <t>Prod. Flow 1 (lb)</t>
  </si>
  <si>
    <t>Prod. Flow 2 (lb)</t>
  </si>
  <si>
    <t>STEAM Temp (F)</t>
  </si>
  <si>
    <t>STEAM Temp (C)</t>
  </si>
  <si>
    <t>STEAM Mass (lb)</t>
  </si>
  <si>
    <t>STEAM Energy (Btu)</t>
  </si>
  <si>
    <t>FUEL Energy (Btu)</t>
  </si>
  <si>
    <t>ELEC Energy (Btu)</t>
  </si>
  <si>
    <t>HW Temp (F)</t>
  </si>
  <si>
    <t>HW Temp (C)</t>
  </si>
  <si>
    <t>HW Mass (lb)</t>
  </si>
  <si>
    <t>HW Energy (Btu)</t>
  </si>
  <si>
    <t>Total thermal</t>
  </si>
  <si>
    <t>Percentage</t>
  </si>
  <si>
    <t>Cooking</t>
  </si>
  <si>
    <t>Mash Tun</t>
  </si>
  <si>
    <t>Filter Laughter Tub</t>
  </si>
  <si>
    <t>Drier</t>
  </si>
  <si>
    <t>Brewing</t>
  </si>
  <si>
    <t>On site elec gen</t>
  </si>
  <si>
    <t>Boiler</t>
  </si>
  <si>
    <t xml:space="preserve">Pasteurization energy demand might range from 3 - 17 MJ/hl depending if flash or tunnel pasteurization is applied [4]. </t>
  </si>
  <si>
    <t>Measurements</t>
  </si>
  <si>
    <t>Waste heat recovery from mash or hot water tank (75oC)</t>
  </si>
  <si>
    <t xml:space="preserve">Hot water of 200-210ºF (95-98°C) generated from heat recovery </t>
  </si>
  <si>
    <t>Use of compression filter</t>
  </si>
  <si>
    <t>Improvement of insulation (hot liquor tank)</t>
  </si>
  <si>
    <t>Invenstment cost($/hl)</t>
  </si>
  <si>
    <t>Annual O&amp;M cost ($/hl)</t>
  </si>
  <si>
    <t>Useful life (years)</t>
  </si>
  <si>
    <t>High-grade heat may be recovered from kettle vapors using either spray condensers or heat exchangers</t>
  </si>
  <si>
    <t>preheat of raw water with condensate</t>
  </si>
  <si>
    <t>Wort boiling using thermal vapor recompression.</t>
  </si>
  <si>
    <t xml:space="preserve">Wort boiling using mechanical vapor recompression (MVR). </t>
  </si>
  <si>
    <t>Low pressure wort boiling</t>
  </si>
  <si>
    <t>Wort stripping systems</t>
  </si>
  <si>
    <t>Additional heat recovery from wort cooling</t>
  </si>
  <si>
    <t>Heat wort from heat storage</t>
  </si>
  <si>
    <t>Wort vapor compression with a CHP plant</t>
  </si>
  <si>
    <t>Wort kettle with internal boiler and heat recovery from wort boiliing using a vapor condenser in combinaton with an energy storage system</t>
  </si>
  <si>
    <t>Bottle cleaning/washing</t>
  </si>
  <si>
    <t>Cleaning efficiency improvement</t>
  </si>
  <si>
    <t>Insulation of the filling plants</t>
  </si>
  <si>
    <t>Can be replaced by microfiltering</t>
  </si>
  <si>
    <t>Use flash pasteurization to replace tunnel pasteurization.</t>
  </si>
  <si>
    <t>Immobilizaed yeast fermenter</t>
  </si>
  <si>
    <t>Heat recovery</t>
  </si>
  <si>
    <t>New CO2 recovery system</t>
  </si>
  <si>
    <t>Incineration spent grain</t>
  </si>
  <si>
    <t>Biogas generation</t>
  </si>
  <si>
    <t>Boiler maintenance</t>
  </si>
  <si>
    <t xml:space="preserve">Blowdown steam recovery from high-pressure boiler tank to remove impurities </t>
  </si>
  <si>
    <t>Energy consumption reduction (MJ/hl)</t>
  </si>
  <si>
    <t>Average payback time (years)</t>
  </si>
  <si>
    <t xml:space="preserve">Water temperature from 51.7oC to 71 oC. Assumption: the thermal energy </t>
  </si>
  <si>
    <t>n/a</t>
  </si>
  <si>
    <t>Steam trap maintenance</t>
  </si>
  <si>
    <t>Automatic steam trap monitoring</t>
  </si>
  <si>
    <t>Leak repair</t>
  </si>
  <si>
    <t>Condensate return</t>
  </si>
  <si>
    <t>Steam distribution system</t>
  </si>
  <si>
    <t>Improved insulation of steam distribution systesm</t>
  </si>
  <si>
    <t>CHP</t>
  </si>
  <si>
    <t>Install CHP</t>
  </si>
  <si>
    <t>CHP combined with absoprtion cooling: waste heat from CHP can be used to operate cooling systems</t>
  </si>
  <si>
    <t>Saving as % of total NG use (%)</t>
  </si>
  <si>
    <t>Ref</t>
  </si>
  <si>
    <t>References</t>
  </si>
  <si>
    <t xml:space="preserve">[1] </t>
  </si>
  <si>
    <t>Sturm, B., Hugenschmidt, S., Joyce, S., Hofacker, W. and Roskilly, A.P., 2013. Opportunities and barriers for efficient energy use in a medium-sized brewery. Applied Thermal Engineering, 53(2), pp.397-404.</t>
  </si>
  <si>
    <t xml:space="preserve">[2] </t>
  </si>
  <si>
    <t>Walker, C., Beretta, C., Sanjuán, N. and Hellweg, S., 2018. Calculating the energy and water use in food processing and assessing the resulting impacts. The International Journal of Life Cycle Assessment, 23(4), pp.824-839.</t>
  </si>
  <si>
    <t xml:space="preserve">[3] </t>
  </si>
  <si>
    <t>HomebrewTalk, Specific Heat of grain, https://www.homebrewtalk.com/threads/specific-heat-of-grain.246356/#:~:text=First%2C%20to%20answer%20the%20original,1.0%20Btu%2Flb%C2%B0F.</t>
  </si>
  <si>
    <t xml:space="preserve">[4] </t>
  </si>
  <si>
    <t>Zogla, L., Zogla, G., Beloborodko, A. and Rosa, M., 2015. Process benchmark for evaluation energy performance in breweries. Energy Procedia, 72(202), p.e208.</t>
  </si>
  <si>
    <t xml:space="preserve">[5] </t>
  </si>
  <si>
    <t>Galitsky, C., Martin, N., Worrell, E. and Lehman, B., 2003. Energy efficiency improvement and cost saving opportunities for breweries: An ENERGY STAR (R) guide for energy and plant managers (No. LBNL-50934). Lawrence Berkeley National Lab.(LBNL), Berkeley, CA (United States).</t>
  </si>
  <si>
    <t>[6]</t>
  </si>
  <si>
    <t>Schleich, J., Boede, U., Ostertag, K., Radgen, P. and Fraunhofer-Institut fuer Systemtechnik und Innovationsforschung (ISI), Karlsruhe (Germany);, 2000. Reducing barriers to energy efficiency in the German brewing sector. Executive Summary.</t>
  </si>
  <si>
    <t>[7]</t>
  </si>
  <si>
    <t>Scheller, L., Michel, R. and Funk, U., 2008. Efficient use of energy in the brewhouse. MBAA TQ, 45(3), pp.263-267.</t>
  </si>
  <si>
    <t>[8]</t>
  </si>
  <si>
    <r>
      <t>Prevention, I.P., 2006. Control Reference Document on Best Available Techniques in the Food, Drink and Milk Industries. </t>
    </r>
    <r>
      <rPr>
        <i/>
        <sz val="11"/>
        <color rgb="FF222222"/>
        <rFont val="Arial"/>
        <family val="2"/>
      </rPr>
      <t>European Comission, August</t>
    </r>
    <r>
      <rPr>
        <sz val="11"/>
        <color rgb="FF222222"/>
        <rFont val="Arial"/>
        <family val="2"/>
      </rPr>
      <t>.</t>
    </r>
  </si>
  <si>
    <t>[9]</t>
  </si>
  <si>
    <r>
      <t>Muster-Slawitsch, B., Weiss, W., Schnitzer, H. and Brunner, C., 2011. The green brewery concept–energy efficiency and the use of renewable energy sources in breweries. </t>
    </r>
    <r>
      <rPr>
        <i/>
        <sz val="11"/>
        <color rgb="FF222222"/>
        <rFont val="Arial"/>
        <family val="2"/>
      </rPr>
      <t>Applied Thermal Engineering</t>
    </r>
    <r>
      <rPr>
        <sz val="11"/>
        <color rgb="FF222222"/>
        <rFont val="Arial"/>
        <family val="2"/>
      </rPr>
      <t>, </t>
    </r>
    <r>
      <rPr>
        <i/>
        <sz val="11"/>
        <color rgb="FF222222"/>
        <rFont val="Arial"/>
        <family val="2"/>
      </rPr>
      <t>31</t>
    </r>
    <r>
      <rPr>
        <sz val="11"/>
        <color rgb="FF222222"/>
        <rFont val="Arial"/>
        <family val="2"/>
      </rPr>
      <t>(13), pp.2123-2134.</t>
    </r>
  </si>
  <si>
    <t>[10]</t>
  </si>
  <si>
    <r>
      <t>Cordella, M., Tugnoli, A., Spadoni, G., Santarelli, F. and Zangrando, T., 2008. LCA of an Italian lager beer. </t>
    </r>
    <r>
      <rPr>
        <i/>
        <sz val="11"/>
        <color rgb="FF222222"/>
        <rFont val="Arial"/>
        <family val="2"/>
      </rPr>
      <t>The International Journal of Life Cycle Assessment</t>
    </r>
    <r>
      <rPr>
        <sz val="11"/>
        <color rgb="FF222222"/>
        <rFont val="Arial"/>
        <family val="2"/>
      </rPr>
      <t>, </t>
    </r>
    <r>
      <rPr>
        <i/>
        <sz val="11"/>
        <color rgb="FF222222"/>
        <rFont val="Arial"/>
        <family val="2"/>
      </rPr>
      <t>13</t>
    </r>
    <r>
      <rPr>
        <sz val="11"/>
        <color rgb="FF222222"/>
        <rFont val="Arial"/>
        <family val="2"/>
      </rPr>
      <t>(2), p.133.</t>
    </r>
  </si>
  <si>
    <t>[11]</t>
  </si>
  <si>
    <r>
      <t>De Marco, I., Miranda, S., Riemma, S. and Iannone, R., 2016. Life cycle assessment of ale and lager beers production. </t>
    </r>
    <r>
      <rPr>
        <i/>
        <sz val="11"/>
        <color rgb="FF222222"/>
        <rFont val="Arial"/>
        <family val="2"/>
      </rPr>
      <t>Chemical Engineering Transactions</t>
    </r>
    <r>
      <rPr>
        <sz val="11"/>
        <color rgb="FF222222"/>
        <rFont val="Arial"/>
        <family val="2"/>
      </rPr>
      <t>, </t>
    </r>
    <r>
      <rPr>
        <i/>
        <sz val="11"/>
        <color rgb="FF222222"/>
        <rFont val="Arial"/>
        <family val="2"/>
      </rPr>
      <t>49</t>
    </r>
    <r>
      <rPr>
        <sz val="11"/>
        <color rgb="FF222222"/>
        <rFont val="Arial"/>
        <family val="2"/>
      </rPr>
      <t>, pp.337-342.</t>
    </r>
  </si>
  <si>
    <t>[12]</t>
  </si>
  <si>
    <t>IEA-ETSAP, 2010, Industrial Combustion Boilers, available from https://iea-etsap.org/E-TechDS/PDF/I01-ind_boilers-GS-AD-gct.pdf</t>
  </si>
  <si>
    <t>[13]</t>
  </si>
  <si>
    <r>
      <t>Walker, C., Beretta, C., Sanjuán, N. and Hellweg, S., 2018. Calculating the energy and water use in food processing and assessing the resulting impacts. </t>
    </r>
    <r>
      <rPr>
        <i/>
        <sz val="11"/>
        <color rgb="FF222222"/>
        <rFont val="Arial"/>
        <family val="2"/>
      </rPr>
      <t>The International Journal of Life Cycle Assessment</t>
    </r>
    <r>
      <rPr>
        <sz val="11"/>
        <color rgb="FF222222"/>
        <rFont val="Arial"/>
        <family val="2"/>
      </rPr>
      <t>, </t>
    </r>
    <r>
      <rPr>
        <i/>
        <sz val="11"/>
        <color rgb="FF222222"/>
        <rFont val="Arial"/>
        <family val="2"/>
      </rPr>
      <t>23</t>
    </r>
    <r>
      <rPr>
        <sz val="11"/>
        <color rgb="FF222222"/>
        <rFont val="Arial"/>
        <family val="2"/>
      </rPr>
      <t>(4), pp.824-839.</t>
    </r>
  </si>
  <si>
    <t>[5]</t>
  </si>
  <si>
    <t>Year</t>
  </si>
  <si>
    <t>$/thoushand cubic ft</t>
  </si>
  <si>
    <t>Data source</t>
  </si>
  <si>
    <t>EIA, Natural gas, available from https://www.eia.gov/dnav/ng/hist/n3035us3a.htm</t>
  </si>
  <si>
    <t>[14]</t>
  </si>
  <si>
    <t>$/MJ</t>
  </si>
  <si>
    <t>[15]</t>
  </si>
  <si>
    <t>MidTerm_NG_Measure_PNL_Feb2010</t>
  </si>
  <si>
    <t>[5], [15]</t>
  </si>
  <si>
    <t>IAC, Search IAC Recommendations, available from https://iac.university/searchRecommendations</t>
  </si>
  <si>
    <t>2.123 in Breweries (312120) boiler mainteinance</t>
  </si>
  <si>
    <t>ID</t>
  </si>
  <si>
    <t>#</t>
  </si>
  <si>
    <t>Products</t>
  </si>
  <si>
    <t>Savings</t>
  </si>
  <si>
    <t>Cost</t>
  </si>
  <si>
    <t>Status</t>
  </si>
  <si>
    <t>Payback time (year)</t>
  </si>
  <si>
    <t>UU0147</t>
  </si>
  <si>
    <t>ANALYZE FLUE GAS FOR PROPER AIR/FUEL RATIO</t>
  </si>
  <si>
    <t>Implemented</t>
  </si>
  <si>
    <t>UD0983</t>
  </si>
  <si>
    <t>BBL</t>
  </si>
  <si>
    <t>hl</t>
  </si>
  <si>
    <t>UU0115</t>
  </si>
  <si>
    <t>WV0473</t>
  </si>
  <si>
    <t>Gallon</t>
  </si>
  <si>
    <t>UM0352</t>
  </si>
  <si>
    <t>close to our production capacity example</t>
  </si>
  <si>
    <t>2.213 in breweries (312120) leak repair</t>
  </si>
  <si>
    <t>LS1810</t>
  </si>
  <si>
    <t>INSTALL / REPAIR INSULATION ON STEAM LINES</t>
  </si>
  <si>
    <t>DL0137</t>
  </si>
  <si>
    <t>SD0481</t>
  </si>
  <si>
    <t>REPAIR AND ELIMINATE STEAM LEAKS</t>
  </si>
  <si>
    <t>CO0677</t>
  </si>
  <si>
    <t>DL0015</t>
  </si>
  <si>
    <t>Improved flue gas monitoring/process control</t>
  </si>
  <si>
    <t>Repair or rreplace steam traps</t>
  </si>
  <si>
    <t>AM0782</t>
  </si>
  <si>
    <t>REPAIR OR REPLACE STEAM TRAPS</t>
  </si>
  <si>
    <t>NC0477</t>
  </si>
  <si>
    <t>NC0473</t>
  </si>
  <si>
    <t>NC0471</t>
  </si>
  <si>
    <t>LE0267</t>
  </si>
  <si>
    <t>no data available for breweries and they are all from sector 312</t>
  </si>
  <si>
    <t>Carbon beverage</t>
  </si>
  <si>
    <t>Tabbaco</t>
  </si>
  <si>
    <t>Bottled water</t>
  </si>
  <si>
    <t>*It is assumed that brewery has similar payback time with beverages</t>
  </si>
  <si>
    <t>[5], [16]</t>
  </si>
  <si>
    <t>[16]</t>
  </si>
  <si>
    <t>Assumptions</t>
  </si>
  <si>
    <t>if the capex is relatively high, the O&amp;M takes up 4% of capex (&gt;0.1)</t>
  </si>
  <si>
    <t>If the capex is relatively low, the O&amp;M cost takes up 1% of capex (0.0)</t>
  </si>
  <si>
    <t>If the capex is in the medium range, the O&amp;M cost takes up 2% of capex (0.0-0.1)</t>
  </si>
  <si>
    <t>[5], [17]</t>
  </si>
  <si>
    <t>[17]</t>
  </si>
  <si>
    <t>Brewing Industry Guide, Mash filters: down to the very last drop, available from https://brewingindustryguide.com/mash-filters-down-to-the-very-last-drop/</t>
  </si>
  <si>
    <t>Heat recovery in pasteurization (heat exchanger)</t>
  </si>
  <si>
    <t>Heat recovery from washing (heat exchanger)</t>
  </si>
  <si>
    <t>No lifetime informatio about TVR, and the life time is assumed to be ~15 years</t>
  </si>
  <si>
    <t>No lifetime informatio about MVR, and life time is assumed to be ~15 years</t>
  </si>
  <si>
    <t>No lifetime data for wort stripping, and it is assumed the life time is ~15 years</t>
  </si>
  <si>
    <t>No lifetime data for energy storage system, and it is assumed the life time is about 15 years</t>
  </si>
  <si>
    <t>Discount rate</t>
  </si>
  <si>
    <t>Assumed discount rate for CCE calculations</t>
  </si>
  <si>
    <t>[18]</t>
  </si>
  <si>
    <t>[7], [18]</t>
  </si>
  <si>
    <t xml:space="preserve">combustion of spent grain can generate thermal energy ~12.6 MJ/kg. </t>
  </si>
  <si>
    <r>
      <t>Manyuchi, M.M., Frank, R., Mbohwa, C. and Muzenda, E., 2017. Potential to use sorghum brewers spent grains as a boiler fuel. </t>
    </r>
    <r>
      <rPr>
        <i/>
        <sz val="11"/>
        <color rgb="FF222222"/>
        <rFont val="Arial"/>
        <family val="2"/>
      </rPr>
      <t>BioResources</t>
    </r>
    <r>
      <rPr>
        <sz val="11"/>
        <color rgb="FF222222"/>
        <rFont val="Arial"/>
        <family val="2"/>
      </rPr>
      <t>, </t>
    </r>
    <r>
      <rPr>
        <i/>
        <sz val="11"/>
        <color rgb="FF222222"/>
        <rFont val="Arial"/>
        <family val="2"/>
      </rPr>
      <t>12</t>
    </r>
    <r>
      <rPr>
        <sz val="11"/>
        <color rgb="FF222222"/>
        <rFont val="Arial"/>
        <family val="2"/>
      </rPr>
      <t>(4), pp.7228-7240.</t>
    </r>
  </si>
  <si>
    <t>Sorting data</t>
  </si>
  <si>
    <t>Thermal energy (MJ/hl)</t>
  </si>
  <si>
    <t>Thermal energy (MJ/a.)</t>
  </si>
  <si>
    <t>Fuel usage (MMBtu/hr)</t>
  </si>
  <si>
    <t>Steam required</t>
  </si>
  <si>
    <t>Steam required for hot water</t>
  </si>
  <si>
    <t>Brewery size</t>
  </si>
  <si>
    <t>Operation availability per year</t>
  </si>
  <si>
    <t>Steam to hot water conversion efficiency</t>
  </si>
  <si>
    <t>Some fake number ***</t>
  </si>
  <si>
    <t>Distribution efficiency</t>
  </si>
  <si>
    <t xml:space="preserve">Electric boiler efficiency </t>
  </si>
  <si>
    <t>Some fake number *** no storage tank</t>
  </si>
  <si>
    <t>Code</t>
  </si>
  <si>
    <t>PPIs for measure capital investment</t>
  </si>
  <si>
    <t>Maximum natural gas boiler efficiency</t>
  </si>
  <si>
    <t>Ref: [15]</t>
  </si>
  <si>
    <t>Efficiency, %</t>
  </si>
  <si>
    <t>Table 7</t>
  </si>
  <si>
    <t>Partial load</t>
  </si>
  <si>
    <t>Boiler size</t>
  </si>
  <si>
    <t>BHp = boiler horsepower</t>
  </si>
  <si>
    <t>Ref: [16]</t>
  </si>
  <si>
    <t>https://www.raypak.com/support/tech-corner/modulation/</t>
  </si>
  <si>
    <t>Ref: [17]</t>
  </si>
  <si>
    <t>Replacement ratio</t>
  </si>
  <si>
    <t>Estimated efficiency</t>
  </si>
  <si>
    <t>CleaverBrooks, Boiler Efficiency Guide, available from http://cleaverbrooks.com/reference-center/insights/Boiler%20Efficiency%20Guide.pdf</t>
  </si>
  <si>
    <t>[19]</t>
  </si>
  <si>
    <t>Without economizer</t>
  </si>
  <si>
    <t>7%&lt;=partial load&lt;=10%</t>
  </si>
  <si>
    <t>10%&lt;partial load&lt;=20%</t>
  </si>
  <si>
    <t>20%&lt;partial load&lt;=100%</t>
  </si>
  <si>
    <t>Required natural gas</t>
  </si>
  <si>
    <t>Required electricity</t>
  </si>
  <si>
    <t>Efficiency</t>
  </si>
  <si>
    <t>Input parameters</t>
  </si>
  <si>
    <t>Thermal energy provided by solar thermal technologies (hot water)</t>
  </si>
  <si>
    <t>Thermal energy provided by solar thermal technologies (steam)</t>
  </si>
  <si>
    <t>MMBtu/hr</t>
  </si>
  <si>
    <t>kW</t>
  </si>
  <si>
    <t>Fuel usage (MMBtu/hl)</t>
  </si>
  <si>
    <t>kWh/hl</t>
  </si>
  <si>
    <t>MMBtu/hl</t>
  </si>
  <si>
    <t>Required solar energy (hot water)</t>
  </si>
  <si>
    <t>Required solar energy (steam)</t>
  </si>
  <si>
    <t>Solar thermal efficiency (hot water)</t>
  </si>
  <si>
    <t>Solar thermal efficiency (steam)</t>
  </si>
  <si>
    <t>Improvement measurements</t>
  </si>
  <si>
    <t>Fixed parameters</t>
  </si>
  <si>
    <t>Recommended improvement measurement from CCE</t>
  </si>
  <si>
    <t>Cost saving ($/hl)</t>
  </si>
  <si>
    <t>Invenstment cost ($/hl)</t>
  </si>
  <si>
    <t>O&amp;M cost ($/hl)</t>
  </si>
  <si>
    <t>One example***William may have other methods to calculate</t>
  </si>
  <si>
    <t>Delta cost ($/hl)</t>
  </si>
  <si>
    <t>Year 2010</t>
  </si>
  <si>
    <t>*blue color cells are input cells that the users can change</t>
  </si>
  <si>
    <t>*green color cells are output cells that calculated based on input parameters and fixed parameters</t>
  </si>
  <si>
    <t>Saving as % of NG in each process (check the energy saving will not exceed the energy output)</t>
  </si>
  <si>
    <t>Theoretical waste heat is about 6.6 MJ/hl with the heat for recovery [1]. In this step, wort is cooled down to room temperature and the waste heat is the sum from this step and from mashing</t>
  </si>
  <si>
    <t>Overview</t>
  </si>
  <si>
    <t>"Mass and energy flow" tab contains the energy and mass flow balance for a typical brewery in UK and its capacity is 250,000hl</t>
  </si>
  <si>
    <t>"Theoretical thermal" contains the thermodynamic calculation of theoretical minimum thermal energy values of each process that involves process heating.</t>
  </si>
  <si>
    <t>"Measurements" contains a summary of improvement methods to enhance the efficiency or reduce the thermal energy consumption that can be applied to the brewery.</t>
  </si>
  <si>
    <t>"Replacement" tab contains the fixed parameterse, input parameters, and output parameters for natural gas boiler, e-boiler, and solar thermal technologies.</t>
  </si>
  <si>
    <t>Users can change the percentages in blue colored cells and the energy required for each technology will show in green colored cells.</t>
  </si>
  <si>
    <t>"NG boiler" contains the efficiency curve with different loads</t>
  </si>
  <si>
    <t>"IAC" tab contains the information of measurement cost for particular measurements</t>
  </si>
  <si>
    <t>Total waste heat</t>
  </si>
  <si>
    <t>Insulation</t>
  </si>
  <si>
    <t>326140</t>
  </si>
  <si>
    <t>Compression filter</t>
  </si>
  <si>
    <t>Data source: [20], [21]</t>
  </si>
  <si>
    <t>332410</t>
  </si>
  <si>
    <t>3324101</t>
  </si>
  <si>
    <t>Incineration furnace</t>
  </si>
  <si>
    <t>331110</t>
  </si>
  <si>
    <t>Heat pumps</t>
  </si>
  <si>
    <t>Energy storage</t>
  </si>
  <si>
    <t>Steam trap</t>
  </si>
  <si>
    <t>Steam trap monitoring</t>
  </si>
  <si>
    <t>334290</t>
  </si>
  <si>
    <t>334519</t>
  </si>
  <si>
    <t>Heat exchanger</t>
  </si>
  <si>
    <t>Condenser</t>
  </si>
  <si>
    <t>Pasteurization equipment</t>
  </si>
  <si>
    <t>Process control</t>
  </si>
  <si>
    <t>Year 2010 CCE (levelized cost of conserved energy) ($/hl)</t>
  </si>
  <si>
    <t>Year 2019</t>
  </si>
  <si>
    <t>2010</t>
  </si>
  <si>
    <t>2019</t>
  </si>
  <si>
    <t>[20]</t>
  </si>
  <si>
    <t>United States Census Bureau, North American Industry Classification System, available from https://www.census.gov/cgi-bin/sssd/naics/naicsrch</t>
  </si>
  <si>
    <t>[21]</t>
  </si>
  <si>
    <t>U.S Bureau of Labor Statistics, Producer Price Indexes, available from https://www.bls.gov/ppi/data.htm</t>
  </si>
  <si>
    <t>"Cost data" tab contains discount rate, natural gas price from 2010 to 2019, and producer price indexes (ppi) for different measurements</t>
  </si>
  <si>
    <t>"108 book" tab contains the mass and energy flow of beer production from the 108 industrial process book.</t>
  </si>
  <si>
    <t>Unconvered waste heat</t>
  </si>
  <si>
    <t>Year 2019 CCE ($/hl)</t>
  </si>
  <si>
    <t>Energy saving (MJ/hl)</t>
  </si>
  <si>
    <t>Fuel usage reduction (MMBtu/hr)</t>
  </si>
  <si>
    <t>Thermal energy provided by natural gas boilers</t>
  </si>
  <si>
    <t>Thermal energy provided by e-boilers</t>
  </si>
  <si>
    <t>Overall reduction of energy consumption for steam generation</t>
  </si>
  <si>
    <t>Overall reduction of energy consumption for hot water generation</t>
  </si>
  <si>
    <t>Percentage of hot water provided by natural gas boilers</t>
  </si>
  <si>
    <t>Percentage of steam provided by natural gas boilers</t>
  </si>
  <si>
    <t>Percentage of hot water provided by e-boilers</t>
  </si>
  <si>
    <t>With natural gas boilers, the percentage of hot water supply</t>
  </si>
  <si>
    <t>With natural gas boilers, the percentage of steam supply</t>
  </si>
  <si>
    <t>With e-boilers, the percentage of hot water supply</t>
  </si>
  <si>
    <t>With e-boilers, the percentage of steam supply</t>
  </si>
  <si>
    <t>*Percentage of hot water provided by natural gas boiler</t>
  </si>
  <si>
    <t>*Percentage of steam provided by natural gas boiler</t>
  </si>
  <si>
    <t>*Percentage of hot water provided by e-boilers</t>
  </si>
  <si>
    <t>Percentage of steam provided by e-boilers</t>
  </si>
  <si>
    <t>Percentage of hot water provided by solar thermal technology</t>
  </si>
  <si>
    <t>Percentage of steam provided by solar thermal technology</t>
  </si>
  <si>
    <t>*for checking purpose C55 = E60</t>
  </si>
  <si>
    <t>Flue gas heat recovery from boilers (economizer)</t>
  </si>
  <si>
    <t>Flue gas heat recovery from boilers (economizer)**</t>
  </si>
  <si>
    <t xml:space="preserve">** Based on IL TRM for energy efficiency: </t>
  </si>
  <si>
    <t xml:space="preserve">Stack economizer for boilers serving process loads are designed to recover heat from hot boiler flue gases </t>
  </si>
  <si>
    <t>[22]</t>
  </si>
  <si>
    <t>Illinois Commerce Commission, 2021. Illinois Statewide Technical Reference Manual for Energy Efficiency Version 9.0: Volume 2: Commercial and Industrial Measures Draft.</t>
  </si>
  <si>
    <t>[23]</t>
  </si>
  <si>
    <t>EIA, Electricity data, Table 2.4. Average price, available from https://www.eia.gov/electricity/annual/html/epa_01_02.html</t>
  </si>
  <si>
    <r>
      <rPr>
        <sz val="11"/>
        <color theme="1"/>
        <rFont val="Calibri"/>
        <family val="2"/>
      </rPr>
      <t>ȼ</t>
    </r>
    <r>
      <rPr>
        <sz val="11"/>
        <color theme="1"/>
        <rFont val="Calibri"/>
        <family val="2"/>
        <scheme val="minor"/>
      </rPr>
      <t>/kWh</t>
    </r>
  </si>
  <si>
    <t>[24]</t>
  </si>
  <si>
    <t>Statista, 2020, Average retail electricity price for industrial consumers in the U.S. from 1970 to 2019, available from https://www.statista.com/statistics/190680/us-industrial-consumer-price-estimates-for-retail-electricity-since-1970/#:~:text=In%202019%2C%20industrial%20consumers%20paid,per%20kilowatt%20hour%20of%20electricity.</t>
  </si>
  <si>
    <t>*only applicable to natural gas boilers</t>
  </si>
  <si>
    <t>based on 2019</t>
  </si>
  <si>
    <t>LCOH ($/MJ)</t>
  </si>
  <si>
    <t>Boiler - only for natural gas boilers</t>
  </si>
  <si>
    <t>Notes*</t>
  </si>
  <si>
    <t>All natural gas boilers, electric boilers, and solar thermal technologies</t>
  </si>
  <si>
    <t>MJ</t>
  </si>
  <si>
    <t>Roughly n500_999 size</t>
  </si>
  <si>
    <t>county 55063</t>
  </si>
  <si>
    <t>electric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</si>
</sst>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164" formatCode="0.0"/>
    <numFmt numFmtId="165" formatCode="0.000"/>
    <numFmt numFmtId="166" formatCode="0.0%"/>
    <numFmt numFmtId="167" formatCode="0.0000"/>
    <numFmt numFmtId="168" formatCode="yyyy"/>
    <numFmt numFmtId="169" formatCode="#0.0"/>
    <numFmt numFmtId="170" formatCode="0.0E+00"/>
    <numFmt numFmtId="171" formatCode="0.000000"/>
    <numFmt numFmtId="172" formatCode="0.0000E+00"/>
    <numFmt numFmtId="173" formatCode="0.00000000E+00"/>
    <numFmt numFmtId="175" formatCode="0.0000000000"/>
    <numFmt numFmtId="181" formatCode="0.000000000"/>
    <numFmt numFmtId="186" formatCode="0.0000000000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b/>
      <sz val="8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8"/>
      <color rgb="FF212529"/>
      <name val="Arial"/>
      <family val="2"/>
    </font>
    <font>
      <sz val="6"/>
      <color rgb="FF212529"/>
      <name val="Arial"/>
      <family val="2"/>
    </font>
    <font>
      <sz val="6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333333"/>
      <name val="Times New Roman"/>
      <family val="1"/>
    </font>
    <font>
      <b/>
      <sz val="11"/>
      <color rgb="FFFF0000"/>
      <name val="Calibri"/>
      <family val="2"/>
      <scheme val="minor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7EED8"/>
        <bgColor indexed="64"/>
      </patternFill>
    </fill>
    <fill>
      <patternFill patternType="solid">
        <fgColor rgb="FFB3E8C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98DFB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1" fillId="0" borderId="0" xfId="0" applyFont="1"/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/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0" fontId="0" fillId="0" borderId="0" xfId="0" applyNumberForma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0" xfId="0" applyFont="1"/>
    <xf numFmtId="167" fontId="0" fillId="0" borderId="0" xfId="0" applyNumberFormat="1"/>
    <xf numFmtId="2" fontId="0" fillId="0" borderId="0" xfId="0" applyNumberFormat="1" applyAlignment="1">
      <alignment horizontal="left" vertical="top"/>
    </xf>
    <xf numFmtId="0" fontId="9" fillId="0" borderId="3" xfId="0" applyFont="1" applyBorder="1" applyAlignment="1">
      <alignment horizontal="center" wrapText="1"/>
    </xf>
    <xf numFmtId="0" fontId="10" fillId="3" borderId="4" xfId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11" fillId="3" borderId="4" xfId="0" applyFont="1" applyFill="1" applyBorder="1" applyAlignment="1">
      <alignment vertical="top" wrapText="1"/>
    </xf>
    <xf numFmtId="0" fontId="12" fillId="3" borderId="4" xfId="0" applyFont="1" applyFill="1" applyBorder="1" applyAlignment="1">
      <alignment horizontal="left" vertical="top" wrapText="1"/>
    </xf>
    <xf numFmtId="6" fontId="11" fillId="3" borderId="4" xfId="0" applyNumberFormat="1" applyFont="1" applyFill="1" applyBorder="1" applyAlignment="1">
      <alignment vertical="top" wrapText="1"/>
    </xf>
    <xf numFmtId="3" fontId="0" fillId="0" borderId="0" xfId="0" applyNumberFormat="1"/>
    <xf numFmtId="11" fontId="0" fillId="0" borderId="0" xfId="0" applyNumberFormat="1"/>
    <xf numFmtId="3" fontId="1" fillId="0" borderId="0" xfId="0" applyNumberFormat="1" applyFont="1"/>
    <xf numFmtId="0" fontId="13" fillId="3" borderId="4" xfId="0" applyFont="1" applyFill="1" applyBorder="1" applyAlignment="1">
      <alignment horizontal="left" vertical="top" wrapText="1"/>
    </xf>
    <xf numFmtId="0" fontId="10" fillId="4" borderId="4" xfId="1" applyFill="1" applyBorder="1" applyAlignment="1">
      <alignment horizontal="center" vertical="top" wrapText="1"/>
    </xf>
    <xf numFmtId="0" fontId="9" fillId="4" borderId="4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vertical="top" wrapText="1"/>
    </xf>
    <xf numFmtId="0" fontId="12" fillId="4" borderId="4" xfId="0" applyFont="1" applyFill="1" applyBorder="1" applyAlignment="1">
      <alignment horizontal="left" vertical="top" wrapText="1"/>
    </xf>
    <xf numFmtId="6" fontId="11" fillId="4" borderId="4" xfId="0" applyNumberFormat="1" applyFont="1" applyFill="1" applyBorder="1" applyAlignment="1">
      <alignment vertical="top" wrapText="1"/>
    </xf>
    <xf numFmtId="9" fontId="0" fillId="0" borderId="5" xfId="0" applyNumberFormat="1" applyBorder="1" applyAlignment="1">
      <alignment horizontal="left" vertical="top"/>
    </xf>
    <xf numFmtId="164" fontId="4" fillId="0" borderId="0" xfId="0" applyNumberFormat="1" applyFont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164" fontId="2" fillId="5" borderId="0" xfId="0" applyNumberFormat="1" applyFont="1" applyFill="1" applyAlignment="1">
      <alignment horizontal="left" vertical="top"/>
    </xf>
    <xf numFmtId="166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164" fontId="2" fillId="5" borderId="0" xfId="0" applyNumberFormat="1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166" fontId="2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3" fontId="0" fillId="0" borderId="0" xfId="0" applyNumberFormat="1" applyAlignment="1">
      <alignment horizontal="left" vertical="top"/>
    </xf>
    <xf numFmtId="168" fontId="0" fillId="0" borderId="0" xfId="0" applyNumberFormat="1"/>
    <xf numFmtId="169" fontId="16" fillId="0" borderId="0" xfId="0" applyNumberFormat="1" applyFont="1" applyFill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9" fontId="0" fillId="0" borderId="0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0" fillId="0" borderId="0" xfId="1"/>
    <xf numFmtId="0" fontId="0" fillId="0" borderId="5" xfId="0" applyBorder="1" applyAlignment="1">
      <alignment horizontal="left" vertical="top"/>
    </xf>
    <xf numFmtId="9" fontId="0" fillId="0" borderId="11" xfId="0" applyNumberFormat="1" applyBorder="1" applyAlignment="1">
      <alignment horizontal="left" vertical="top"/>
    </xf>
    <xf numFmtId="9" fontId="0" fillId="0" borderId="12" xfId="0" applyNumberFormat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170" fontId="0" fillId="0" borderId="0" xfId="0" applyNumberFormat="1" applyAlignment="1">
      <alignment horizontal="left" vertical="top"/>
    </xf>
    <xf numFmtId="0" fontId="0" fillId="0" borderId="5" xfId="0" applyBorder="1" applyAlignment="1">
      <alignment horizontal="left"/>
    </xf>
    <xf numFmtId="166" fontId="0" fillId="7" borderId="5" xfId="0" applyNumberFormat="1" applyFill="1" applyBorder="1" applyAlignment="1">
      <alignment horizontal="left" vertical="top"/>
    </xf>
    <xf numFmtId="166" fontId="0" fillId="8" borderId="5" xfId="0" applyNumberFormat="1" applyFill="1" applyBorder="1" applyAlignment="1">
      <alignment horizontal="left"/>
    </xf>
    <xf numFmtId="164" fontId="0" fillId="8" borderId="5" xfId="0" applyNumberFormat="1" applyFill="1" applyBorder="1" applyAlignment="1">
      <alignment horizontal="left"/>
    </xf>
    <xf numFmtId="2" fontId="0" fillId="8" borderId="5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0" xfId="0" applyFont="1" applyAlignment="1">
      <alignment horizontal="left" vertical="top"/>
    </xf>
    <xf numFmtId="168" fontId="0" fillId="0" borderId="0" xfId="0" applyNumberFormat="1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169" fontId="17" fillId="0" borderId="0" xfId="0" applyNumberFormat="1" applyFont="1" applyFill="1" applyAlignment="1">
      <alignment horizontal="left" vertical="top"/>
    </xf>
    <xf numFmtId="166" fontId="4" fillId="0" borderId="0" xfId="0" applyNumberFormat="1" applyFont="1" applyAlignment="1">
      <alignment horizontal="left" vertical="top" wrapText="1"/>
    </xf>
    <xf numFmtId="166" fontId="2" fillId="5" borderId="0" xfId="0" applyNumberFormat="1" applyFont="1" applyFill="1" applyAlignment="1">
      <alignment horizontal="left" vertical="top"/>
    </xf>
    <xf numFmtId="0" fontId="0" fillId="0" borderId="0" xfId="0" applyFill="1"/>
    <xf numFmtId="49" fontId="0" fillId="0" borderId="0" xfId="0" applyNumberFormat="1"/>
    <xf numFmtId="0" fontId="0" fillId="0" borderId="2" xfId="0" applyNumberFormat="1" applyBorder="1" applyAlignment="1">
      <alignment horizontal="left" vertical="top"/>
    </xf>
    <xf numFmtId="2" fontId="0" fillId="0" borderId="2" xfId="0" applyNumberFormat="1" applyBorder="1" applyAlignment="1">
      <alignment horizontal="left" vertical="top"/>
    </xf>
    <xf numFmtId="2" fontId="2" fillId="0" borderId="7" xfId="0" applyNumberFormat="1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169" fontId="20" fillId="0" borderId="0" xfId="0" applyNumberFormat="1" applyFont="1" applyFill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 vertical="top" wrapText="1"/>
    </xf>
    <xf numFmtId="49" fontId="19" fillId="0" borderId="1" xfId="0" quotePrefix="1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9" fillId="0" borderId="2" xfId="0" applyFont="1" applyFill="1" applyBorder="1" applyAlignment="1">
      <alignment horizontal="left" vertical="top" wrapText="1"/>
    </xf>
    <xf numFmtId="169" fontId="20" fillId="0" borderId="2" xfId="0" applyNumberFormat="1" applyFont="1" applyFill="1" applyBorder="1" applyAlignment="1">
      <alignment horizontal="left" vertical="top" wrapText="1"/>
    </xf>
    <xf numFmtId="2" fontId="0" fillId="0" borderId="0" xfId="0" quotePrefix="1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6" fontId="0" fillId="0" borderId="0" xfId="0" applyNumberFormat="1" applyFill="1" applyBorder="1" applyAlignment="1">
      <alignment horizontal="left" vertical="top"/>
    </xf>
    <xf numFmtId="166" fontId="0" fillId="0" borderId="5" xfId="0" applyNumberFormat="1" applyFill="1" applyBorder="1" applyAlignment="1">
      <alignment horizontal="left" vertical="top"/>
    </xf>
    <xf numFmtId="0" fontId="0" fillId="0" borderId="5" xfId="0" applyBorder="1"/>
    <xf numFmtId="166" fontId="0" fillId="0" borderId="5" xfId="0" applyNumberForma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10" fontId="0" fillId="0" borderId="5" xfId="0" applyNumberFormat="1" applyBorder="1" applyAlignment="1">
      <alignment horizontal="left" vertical="top"/>
    </xf>
    <xf numFmtId="171" fontId="0" fillId="0" borderId="0" xfId="0" applyNumberFormat="1"/>
    <xf numFmtId="0" fontId="0" fillId="0" borderId="0" xfId="0" applyFill="1" applyBorder="1" applyAlignment="1">
      <alignment horizontal="left" wrapText="1"/>
    </xf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9" borderId="5" xfId="0" applyNumberFormat="1" applyFill="1" applyBorder="1" applyAlignment="1">
      <alignment horizontal="left" vertical="top"/>
    </xf>
    <xf numFmtId="0" fontId="22" fillId="0" borderId="0" xfId="0" applyFont="1"/>
    <xf numFmtId="172" fontId="0" fillId="0" borderId="0" xfId="0" applyNumberFormat="1" applyAlignment="1">
      <alignment horizontal="left" vertical="top"/>
    </xf>
    <xf numFmtId="173" fontId="0" fillId="0" borderId="0" xfId="0" applyNumberFormat="1" applyAlignment="1">
      <alignment horizontal="left" vertical="top"/>
    </xf>
    <xf numFmtId="0" fontId="23" fillId="0" borderId="0" xfId="0" applyFont="1"/>
    <xf numFmtId="175" fontId="0" fillId="0" borderId="0" xfId="0" applyNumberFormat="1" applyAlignment="1">
      <alignment horizontal="left" vertical="top"/>
    </xf>
    <xf numFmtId="181" fontId="0" fillId="0" borderId="0" xfId="0" applyNumberFormat="1" applyAlignment="1">
      <alignment horizontal="left" vertical="top"/>
    </xf>
    <xf numFmtId="186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boiler efficiency curve (20%-100%)</a:t>
            </a:r>
          </a:p>
        </c:rich>
      </c:tx>
      <c:layout>
        <c:manualLayout>
          <c:xMode val="edge"/>
          <c:yMode val="edge"/>
          <c:x val="0.2044444444444444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gas boiler efficiency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48993875765531"/>
                  <c:y val="0.11985746573345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'NG boiler'!$W$6:$W$22</c:f>
              <c:numCache>
                <c:formatCode>0%</c:formatCode>
                <c:ptCount val="17"/>
                <c:pt idx="0" formatCode="0.0%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0.39999999999999997</c:v>
                </c:pt>
                <c:pt idx="5">
                  <c:v>0.44999999999999996</c:v>
                </c:pt>
                <c:pt idx="6">
                  <c:v>0.49999999999999994</c:v>
                </c:pt>
                <c:pt idx="7">
                  <c:v>0.54999999999999993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  <c:pt idx="11">
                  <c:v>0.75000000000000011</c:v>
                </c:pt>
                <c:pt idx="12">
                  <c:v>0.80000000000000016</c:v>
                </c:pt>
                <c:pt idx="13">
                  <c:v>0.8500000000000002</c:v>
                </c:pt>
                <c:pt idx="14">
                  <c:v>0.90000000000000024</c:v>
                </c:pt>
                <c:pt idx="15">
                  <c:v>0.95000000000000029</c:v>
                </c:pt>
                <c:pt idx="16">
                  <c:v>1.0000000000000002</c:v>
                </c:pt>
              </c:numCache>
            </c:numRef>
          </c:xVal>
          <c:yVal>
            <c:numRef>
              <c:f>'NG boiler'!$Y$6:$Y$22</c:f>
              <c:numCache>
                <c:formatCode>0%</c:formatCode>
                <c:ptCount val="17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E-4405-B114-C71D0BF2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56952"/>
        <c:axId val="756252360"/>
      </c:scatterChart>
      <c:valAx>
        <c:axId val="75625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Partial load</a:t>
                </a:r>
              </a:p>
            </c:rich>
          </c:tx>
          <c:layout>
            <c:manualLayout>
              <c:xMode val="edge"/>
              <c:yMode val="edge"/>
              <c:x val="0.4359536307961504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52360"/>
        <c:crosses val="autoZero"/>
        <c:crossBetween val="midCat"/>
      </c:valAx>
      <c:valAx>
        <c:axId val="756252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Boiler efficiency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23568824730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5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boiler efficiency curve (7%-10%)</a:t>
            </a:r>
          </a:p>
        </c:rich>
      </c:tx>
      <c:layout>
        <c:manualLayout>
          <c:xMode val="edge"/>
          <c:yMode val="edge"/>
          <c:x val="0.151097112860892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'NG boiler'!$W$3:$W$4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</c:v>
                </c:pt>
              </c:numCache>
            </c:numRef>
          </c:xVal>
          <c:yVal>
            <c:numRef>
              <c:f>'NG boiler'!$Y$3:$Y$4</c:f>
              <c:numCache>
                <c:formatCode>0%</c:formatCode>
                <c:ptCount val="2"/>
                <c:pt idx="0">
                  <c:v>0</c:v>
                </c:pt>
                <c:pt idx="1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49A7-8579-C5B9B7B8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20856"/>
        <c:axId val="733822168"/>
      </c:scatterChart>
      <c:valAx>
        <c:axId val="73382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Partial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22168"/>
        <c:crosses val="autoZero"/>
        <c:crossBetween val="midCat"/>
      </c:valAx>
      <c:valAx>
        <c:axId val="733822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Boiler efficiency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430956547098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2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gas boiler efficiency curve (10%-20%)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'NG boiler'!$W$4:$W$6</c:f>
              <c:numCache>
                <c:formatCode>0%</c:formatCode>
                <c:ptCount val="3"/>
                <c:pt idx="0">
                  <c:v>0.1</c:v>
                </c:pt>
                <c:pt idx="1">
                  <c:v>0.15</c:v>
                </c:pt>
                <c:pt idx="2" formatCode="0.0%">
                  <c:v>0.2</c:v>
                </c:pt>
              </c:numCache>
            </c:numRef>
          </c:xVal>
          <c:yVal>
            <c:numRef>
              <c:f>'NG boiler'!$Y$4:$Y$6</c:f>
              <c:numCache>
                <c:formatCode>0%</c:formatCode>
                <c:ptCount val="3"/>
                <c:pt idx="0">
                  <c:v>0.63</c:v>
                </c:pt>
                <c:pt idx="1">
                  <c:v>0.7</c:v>
                </c:pt>
                <c:pt idx="2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4-4E63-8ADF-C1A2A5B5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6448"/>
        <c:axId val="652540056"/>
      </c:scatterChart>
      <c:valAx>
        <c:axId val="6525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Partial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0056"/>
        <c:crosses val="autoZero"/>
        <c:crossBetween val="midCat"/>
      </c:valAx>
      <c:valAx>
        <c:axId val="65254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Boiler efficiency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893919510061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403838</xdr:colOff>
      <xdr:row>3</xdr:row>
      <xdr:rowOff>24576</xdr:rowOff>
    </xdr:from>
    <xdr:to>
      <xdr:col>18</xdr:col>
      <xdr:colOff>373358</xdr:colOff>
      <xdr:row>5</xdr:row>
      <xdr:rowOff>117425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409138" y="945326"/>
          <a:ext cx="1188720" cy="46114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Milling</a:t>
          </a:r>
        </a:p>
      </xdr:txBody>
    </xdr:sp>
    <xdr:clientData/>
  </xdr:twoCellAnchor>
  <xdr:twoCellAnchor>
    <xdr:from>
      <xdr:col>16</xdr:col>
      <xdr:colOff>402420</xdr:colOff>
      <xdr:row>6</xdr:row>
      <xdr:rowOff>304799</xdr:rowOff>
    </xdr:from>
    <xdr:to>
      <xdr:col>18</xdr:col>
      <xdr:colOff>371940</xdr:colOff>
      <xdr:row>7</xdr:row>
      <xdr:rowOff>12700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093020" y="1720849"/>
          <a:ext cx="1188720" cy="44450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Injection Mashing</a:t>
          </a:r>
        </a:p>
      </xdr:txBody>
    </xdr:sp>
    <xdr:clientData/>
  </xdr:twoCellAnchor>
  <xdr:twoCellAnchor>
    <xdr:from>
      <xdr:col>16</xdr:col>
      <xdr:colOff>416538</xdr:colOff>
      <xdr:row>8</xdr:row>
      <xdr:rowOff>106208</xdr:rowOff>
    </xdr:from>
    <xdr:to>
      <xdr:col>18</xdr:col>
      <xdr:colOff>386058</xdr:colOff>
      <xdr:row>10</xdr:row>
      <xdr:rowOff>14907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275538" y="2627158"/>
          <a:ext cx="1188720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Lautering</a:t>
          </a:r>
        </a:p>
      </xdr:txBody>
    </xdr:sp>
    <xdr:clientData/>
  </xdr:twoCellAnchor>
  <xdr:twoCellAnchor>
    <xdr:from>
      <xdr:col>17</xdr:col>
      <xdr:colOff>387180</xdr:colOff>
      <xdr:row>5</xdr:row>
      <xdr:rowOff>117425</xdr:rowOff>
    </xdr:from>
    <xdr:to>
      <xdr:col>17</xdr:col>
      <xdr:colOff>388598</xdr:colOff>
      <xdr:row>6</xdr:row>
      <xdr:rowOff>304799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14687380" y="1349325"/>
          <a:ext cx="1418" cy="3715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387180</xdr:colOff>
      <xdr:row>7</xdr:row>
      <xdr:rowOff>12700</xdr:rowOff>
    </xdr:from>
    <xdr:to>
      <xdr:col>17</xdr:col>
      <xdr:colOff>387180</xdr:colOff>
      <xdr:row>8</xdr:row>
      <xdr:rowOff>106208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3" idx="2"/>
          <a:endCxn id="4" idx="0"/>
        </xdr:cNvCxnSpPr>
      </xdr:nvCxnSpPr>
      <xdr:spPr>
        <a:xfrm>
          <a:off x="15855780" y="2165350"/>
          <a:ext cx="0" cy="4618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497747</xdr:colOff>
      <xdr:row>7</xdr:row>
      <xdr:rowOff>58641</xdr:rowOff>
    </xdr:from>
    <xdr:to>
      <xdr:col>19</xdr:col>
      <xdr:colOff>12719</xdr:colOff>
      <xdr:row>8</xdr:row>
      <xdr:rowOff>151490</xdr:rowOff>
    </xdr:to>
    <xdr:sp macro="" textlink="">
      <xdr:nvSpPr>
        <xdr:cNvPr id="7" name="TextBox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966347" y="2211291"/>
          <a:ext cx="734172" cy="4611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Mash</a:t>
          </a:r>
        </a:p>
      </xdr:txBody>
    </xdr:sp>
    <xdr:clientData/>
  </xdr:twoCellAnchor>
  <xdr:twoCellAnchor>
    <xdr:from>
      <xdr:col>16</xdr:col>
      <xdr:colOff>382067</xdr:colOff>
      <xdr:row>12</xdr:row>
      <xdr:rowOff>92717</xdr:rowOff>
    </xdr:from>
    <xdr:to>
      <xdr:col>18</xdr:col>
      <xdr:colOff>443027</xdr:colOff>
      <xdr:row>14</xdr:row>
      <xdr:rowOff>1416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5241067" y="3350267"/>
          <a:ext cx="1280160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Wort pre-heating</a:t>
          </a:r>
        </a:p>
      </xdr:txBody>
    </xdr:sp>
    <xdr:clientData/>
  </xdr:twoCellAnchor>
  <xdr:twoCellAnchor>
    <xdr:from>
      <xdr:col>17</xdr:col>
      <xdr:colOff>401298</xdr:colOff>
      <xdr:row>10</xdr:row>
      <xdr:rowOff>14907</xdr:rowOff>
    </xdr:from>
    <xdr:to>
      <xdr:col>17</xdr:col>
      <xdr:colOff>401298</xdr:colOff>
      <xdr:row>12</xdr:row>
      <xdr:rowOff>92717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4" idx="2"/>
          <a:endCxn id="8" idx="0"/>
        </xdr:cNvCxnSpPr>
      </xdr:nvCxnSpPr>
      <xdr:spPr>
        <a:xfrm>
          <a:off x="15869898" y="2904157"/>
          <a:ext cx="0" cy="4461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382067</xdr:colOff>
      <xdr:row>15</xdr:row>
      <xdr:rowOff>96151</xdr:rowOff>
    </xdr:from>
    <xdr:to>
      <xdr:col>18</xdr:col>
      <xdr:colOff>443027</xdr:colOff>
      <xdr:row>16</xdr:row>
      <xdr:rowOff>165100</xdr:rowOff>
    </xdr:to>
    <xdr:sp macro="" textlink="">
      <xdr:nvSpPr>
        <xdr:cNvPr id="10" name="TextBox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5241067" y="3906151"/>
          <a:ext cx="1280160" cy="2530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Wort boiling</a:t>
          </a:r>
        </a:p>
      </xdr:txBody>
    </xdr:sp>
    <xdr:clientData/>
  </xdr:twoCellAnchor>
  <xdr:twoCellAnchor>
    <xdr:from>
      <xdr:col>17</xdr:col>
      <xdr:colOff>412547</xdr:colOff>
      <xdr:row>14</xdr:row>
      <xdr:rowOff>1416</xdr:rowOff>
    </xdr:from>
    <xdr:to>
      <xdr:col>17</xdr:col>
      <xdr:colOff>412547</xdr:colOff>
      <xdr:row>15</xdr:row>
      <xdr:rowOff>96151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10" idx="0"/>
        </xdr:cNvCxnSpPr>
      </xdr:nvCxnSpPr>
      <xdr:spPr>
        <a:xfrm>
          <a:off x="15881147" y="3627266"/>
          <a:ext cx="0" cy="27888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388417</xdr:colOff>
      <xdr:row>18</xdr:row>
      <xdr:rowOff>101600</xdr:rowOff>
    </xdr:from>
    <xdr:to>
      <xdr:col>18</xdr:col>
      <xdr:colOff>449377</xdr:colOff>
      <xdr:row>18</xdr:row>
      <xdr:rowOff>501650</xdr:rowOff>
    </xdr:to>
    <xdr:sp macro="" textlink="">
      <xdr:nvSpPr>
        <xdr:cNvPr id="12" name="TextBox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5247417" y="4464050"/>
          <a:ext cx="1280160" cy="4000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Wort cooling</a:t>
          </a:r>
        </a:p>
      </xdr:txBody>
    </xdr:sp>
    <xdr:clientData/>
  </xdr:twoCellAnchor>
  <xdr:twoCellAnchor>
    <xdr:from>
      <xdr:col>17</xdr:col>
      <xdr:colOff>412547</xdr:colOff>
      <xdr:row>16</xdr:row>
      <xdr:rowOff>165100</xdr:rowOff>
    </xdr:from>
    <xdr:to>
      <xdr:col>17</xdr:col>
      <xdr:colOff>418897</xdr:colOff>
      <xdr:row>18</xdr:row>
      <xdr:rowOff>101600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0" idx="2"/>
          <a:endCxn id="12" idx="0"/>
        </xdr:cNvCxnSpPr>
      </xdr:nvCxnSpPr>
      <xdr:spPr>
        <a:xfrm>
          <a:off x="15881147" y="4159250"/>
          <a:ext cx="6350" cy="304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376603</xdr:colOff>
      <xdr:row>20</xdr:row>
      <xdr:rowOff>22521</xdr:rowOff>
    </xdr:from>
    <xdr:to>
      <xdr:col>18</xdr:col>
      <xdr:colOff>437563</xdr:colOff>
      <xdr:row>21</xdr:row>
      <xdr:rowOff>101600</xdr:rowOff>
    </xdr:to>
    <xdr:sp macro="" textlink="">
      <xdr:nvSpPr>
        <xdr:cNvPr id="14" name="TextBox 1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7381903" y="6467771"/>
          <a:ext cx="1280160" cy="26322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Fermentation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407083</xdr:colOff>
      <xdr:row>18</xdr:row>
      <xdr:rowOff>501650</xdr:rowOff>
    </xdr:from>
    <xdr:to>
      <xdr:col>17</xdr:col>
      <xdr:colOff>407083</xdr:colOff>
      <xdr:row>20</xdr:row>
      <xdr:rowOff>22521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2" idx="2"/>
          <a:endCxn id="14" idx="0"/>
        </xdr:cNvCxnSpPr>
      </xdr:nvCxnSpPr>
      <xdr:spPr>
        <a:xfrm flipH="1">
          <a:off x="15875683" y="4864100"/>
          <a:ext cx="0" cy="25747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50384</xdr:colOff>
      <xdr:row>24</xdr:row>
      <xdr:rowOff>25400</xdr:rowOff>
    </xdr:from>
    <xdr:to>
      <xdr:col>18</xdr:col>
      <xdr:colOff>179582</xdr:colOff>
      <xdr:row>25</xdr:row>
      <xdr:rowOff>139700</xdr:rowOff>
    </xdr:to>
    <xdr:sp macro="" textlink="">
      <xdr:nvSpPr>
        <xdr:cNvPr id="16" name="TextBox 2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5518984" y="5861050"/>
          <a:ext cx="738798" cy="4826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Filling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407083</xdr:colOff>
      <xdr:row>21</xdr:row>
      <xdr:rowOff>101600</xdr:rowOff>
    </xdr:from>
    <xdr:to>
      <xdr:col>17</xdr:col>
      <xdr:colOff>419783</xdr:colOff>
      <xdr:row>24</xdr:row>
      <xdr:rowOff>25400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4" idx="2"/>
          <a:endCxn id="16" idx="0"/>
        </xdr:cNvCxnSpPr>
      </xdr:nvCxnSpPr>
      <xdr:spPr>
        <a:xfrm>
          <a:off x="15875683" y="5384800"/>
          <a:ext cx="12700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384788</xdr:colOff>
      <xdr:row>29</xdr:row>
      <xdr:rowOff>164969</xdr:rowOff>
    </xdr:from>
    <xdr:to>
      <xdr:col>18</xdr:col>
      <xdr:colOff>445748</xdr:colOff>
      <xdr:row>31</xdr:row>
      <xdr:rowOff>73668</xdr:rowOff>
    </xdr:to>
    <xdr:sp macro="" textlink="">
      <xdr:nvSpPr>
        <xdr:cNvPr id="18" name="TextBox 26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7390088" y="8521569"/>
          <a:ext cx="1280160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Pasteurization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415268</xdr:colOff>
      <xdr:row>25</xdr:row>
      <xdr:rowOff>139700</xdr:rowOff>
    </xdr:from>
    <xdr:to>
      <xdr:col>17</xdr:col>
      <xdr:colOff>419783</xdr:colOff>
      <xdr:row>29</xdr:row>
      <xdr:rowOff>164969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6" idx="2"/>
          <a:endCxn id="18" idx="0"/>
        </xdr:cNvCxnSpPr>
      </xdr:nvCxnSpPr>
      <xdr:spPr>
        <a:xfrm flipH="1">
          <a:off x="15883868" y="6343650"/>
          <a:ext cx="4515" cy="168261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415268</xdr:colOff>
      <xdr:row>31</xdr:row>
      <xdr:rowOff>73668</xdr:rowOff>
    </xdr:from>
    <xdr:to>
      <xdr:col>17</xdr:col>
      <xdr:colOff>421053</xdr:colOff>
      <xdr:row>34</xdr:row>
      <xdr:rowOff>28852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8" idx="2"/>
          <a:endCxn id="21" idx="0"/>
        </xdr:cNvCxnSpPr>
      </xdr:nvCxnSpPr>
      <xdr:spPr>
        <a:xfrm>
          <a:off x="18030168" y="8798568"/>
          <a:ext cx="5785" cy="50763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390573</xdr:colOff>
      <xdr:row>34</xdr:row>
      <xdr:rowOff>28852</xdr:rowOff>
    </xdr:from>
    <xdr:to>
      <xdr:col>18</xdr:col>
      <xdr:colOff>451533</xdr:colOff>
      <xdr:row>36</xdr:row>
      <xdr:rowOff>122217</xdr:rowOff>
    </xdr:to>
    <xdr:sp macro="" textlink="">
      <xdr:nvSpPr>
        <xdr:cNvPr id="21" name="TextBox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7395873" y="9306202"/>
          <a:ext cx="1280160" cy="461665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Labeling and packing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203883</xdr:colOff>
      <xdr:row>23</xdr:row>
      <xdr:rowOff>158751</xdr:rowOff>
    </xdr:from>
    <xdr:to>
      <xdr:col>16</xdr:col>
      <xdr:colOff>325803</xdr:colOff>
      <xdr:row>25</xdr:row>
      <xdr:rowOff>177801</xdr:rowOff>
    </xdr:to>
    <xdr:sp macro="" textlink="">
      <xdr:nvSpPr>
        <xdr:cNvPr id="22" name="TextBox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4453283" y="5810251"/>
          <a:ext cx="731520" cy="5715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Bottle washing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325803</xdr:colOff>
      <xdr:row>24</xdr:row>
      <xdr:rowOff>260351</xdr:rowOff>
    </xdr:from>
    <xdr:to>
      <xdr:col>17</xdr:col>
      <xdr:colOff>50384</xdr:colOff>
      <xdr:row>24</xdr:row>
      <xdr:rowOff>266700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22" idx="3"/>
          <a:endCxn id="16" idx="1"/>
        </xdr:cNvCxnSpPr>
      </xdr:nvCxnSpPr>
      <xdr:spPr>
        <a:xfrm>
          <a:off x="15184803" y="6096001"/>
          <a:ext cx="334181" cy="634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577850</xdr:colOff>
      <xdr:row>2</xdr:row>
      <xdr:rowOff>139701</xdr:rowOff>
    </xdr:from>
    <xdr:to>
      <xdr:col>19</xdr:col>
      <xdr:colOff>458161</xdr:colOff>
      <xdr:row>40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6363950" y="692151"/>
          <a:ext cx="2928311" cy="9785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371940</xdr:colOff>
      <xdr:row>6</xdr:row>
      <xdr:rowOff>527050</xdr:rowOff>
    </xdr:from>
    <xdr:to>
      <xdr:col>18</xdr:col>
      <xdr:colOff>449377</xdr:colOff>
      <xdr:row>18</xdr:row>
      <xdr:rowOff>301625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2" idx="3"/>
          <a:endCxn id="3" idx="3"/>
        </xdr:cNvCxnSpPr>
      </xdr:nvCxnSpPr>
      <xdr:spPr>
        <a:xfrm flipH="1" flipV="1">
          <a:off x="16450140" y="1943100"/>
          <a:ext cx="77437" cy="2720975"/>
        </a:xfrm>
        <a:prstGeom prst="bentConnector3">
          <a:avLst>
            <a:gd name="adj1" fmla="val -295208"/>
          </a:avLst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197685</xdr:colOff>
      <xdr:row>37</xdr:row>
      <xdr:rowOff>121539</xdr:rowOff>
    </xdr:from>
    <xdr:to>
      <xdr:col>19</xdr:col>
      <xdr:colOff>268569</xdr:colOff>
      <xdr:row>40</xdr:row>
      <xdr:rowOff>0</xdr:rowOff>
    </xdr:to>
    <xdr:sp macro="" textlink="">
      <xdr:nvSpPr>
        <xdr:cNvPr id="28" name="TextBox 17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6593385" y="9951339"/>
          <a:ext cx="2509284" cy="6341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Simplified mass/energy model based on a typical UK brewery [1]</a:t>
          </a:r>
        </a:p>
      </xdr:txBody>
    </xdr:sp>
    <xdr:clientData/>
  </xdr:twoCellAnchor>
  <xdr:twoCellAnchor>
    <xdr:from>
      <xdr:col>14</xdr:col>
      <xdr:colOff>592196</xdr:colOff>
      <xdr:row>6</xdr:row>
      <xdr:rowOff>233487</xdr:rowOff>
    </xdr:from>
    <xdr:to>
      <xdr:col>17</xdr:col>
      <xdr:colOff>20696</xdr:colOff>
      <xdr:row>6</xdr:row>
      <xdr:rowOff>533400</xdr:rowOff>
    </xdr:to>
    <xdr:sp macro="" textlink="">
      <xdr:nvSpPr>
        <xdr:cNvPr id="29" name="TextBox 176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3063596" y="1649537"/>
          <a:ext cx="1257300" cy="29991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Hot water</a:t>
          </a:r>
        </a:p>
      </xdr:txBody>
    </xdr:sp>
    <xdr:clientData/>
  </xdr:twoCellAnchor>
  <xdr:twoCellAnchor>
    <xdr:from>
      <xdr:col>14</xdr:col>
      <xdr:colOff>565150</xdr:colOff>
      <xdr:row>28</xdr:row>
      <xdr:rowOff>173635</xdr:rowOff>
    </xdr:from>
    <xdr:to>
      <xdr:col>16</xdr:col>
      <xdr:colOff>603250</xdr:colOff>
      <xdr:row>30</xdr:row>
      <xdr:rowOff>82334</xdr:rowOff>
    </xdr:to>
    <xdr:sp macro="" textlink="">
      <xdr:nvSpPr>
        <xdr:cNvPr id="30" name="TextBox 18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6351250" y="8346085"/>
          <a:ext cx="12573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Hot water</a:t>
          </a:r>
        </a:p>
      </xdr:txBody>
    </xdr:sp>
    <xdr:clientData/>
  </xdr:twoCellAnchor>
  <xdr:twoCellAnchor>
    <xdr:from>
      <xdr:col>18</xdr:col>
      <xdr:colOff>443027</xdr:colOff>
      <xdr:row>13</xdr:row>
      <xdr:rowOff>47067</xdr:rowOff>
    </xdr:from>
    <xdr:to>
      <xdr:col>18</xdr:col>
      <xdr:colOff>455727</xdr:colOff>
      <xdr:row>16</xdr:row>
      <xdr:rowOff>38551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10" idx="3"/>
          <a:endCxn id="8" idx="3"/>
        </xdr:cNvCxnSpPr>
      </xdr:nvCxnSpPr>
      <xdr:spPr>
        <a:xfrm flipV="1">
          <a:off x="16521227" y="3488767"/>
          <a:ext cx="12700" cy="543934"/>
        </a:xfrm>
        <a:prstGeom prst="bentConnector3">
          <a:avLst>
            <a:gd name="adj1" fmla="val 1800000"/>
          </a:avLst>
        </a:prstGeom>
        <a:ln w="28575"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471033</xdr:colOff>
      <xdr:row>9</xdr:row>
      <xdr:rowOff>173656</xdr:rowOff>
    </xdr:from>
    <xdr:to>
      <xdr:col>18</xdr:col>
      <xdr:colOff>595605</xdr:colOff>
      <xdr:row>12</xdr:row>
      <xdr:rowOff>82871</xdr:rowOff>
    </xdr:to>
    <xdr:sp macro="" textlink="">
      <xdr:nvSpPr>
        <xdr:cNvPr id="32" name="TextBox 19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5939633" y="2878756"/>
          <a:ext cx="734172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Spent grain</a:t>
          </a:r>
        </a:p>
      </xdr:txBody>
    </xdr:sp>
    <xdr:clientData/>
  </xdr:twoCellAnchor>
  <xdr:twoCellAnchor>
    <xdr:from>
      <xdr:col>14</xdr:col>
      <xdr:colOff>596900</xdr:colOff>
      <xdr:row>24</xdr:row>
      <xdr:rowOff>260351</xdr:rowOff>
    </xdr:from>
    <xdr:to>
      <xdr:col>16</xdr:col>
      <xdr:colOff>325803</xdr:colOff>
      <xdr:row>24</xdr:row>
      <xdr:rowOff>291884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stCxn id="22" idx="3"/>
          <a:endCxn id="72" idx="2"/>
        </xdr:cNvCxnSpPr>
      </xdr:nvCxnSpPr>
      <xdr:spPr>
        <a:xfrm flipH="1">
          <a:off x="14236700" y="6096001"/>
          <a:ext cx="948103" cy="31533"/>
        </a:xfrm>
        <a:prstGeom prst="bentConnector4">
          <a:avLst>
            <a:gd name="adj1" fmla="val -24111"/>
            <a:gd name="adj2" fmla="val 1631148"/>
          </a:avLst>
        </a:prstGeom>
        <a:ln w="28575"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196850</xdr:colOff>
      <xdr:row>30</xdr:row>
      <xdr:rowOff>120650</xdr:rowOff>
    </xdr:from>
    <xdr:to>
      <xdr:col>17</xdr:col>
      <xdr:colOff>415268</xdr:colOff>
      <xdr:row>31</xdr:row>
      <xdr:rowOff>73668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>
          <a:stCxn id="18" idx="2"/>
        </xdr:cNvCxnSpPr>
      </xdr:nvCxnSpPr>
      <xdr:spPr>
        <a:xfrm rot="5400000" flipH="1">
          <a:off x="17242775" y="8011175"/>
          <a:ext cx="137168" cy="1437618"/>
        </a:xfrm>
        <a:prstGeom prst="bentConnector4">
          <a:avLst>
            <a:gd name="adj1" fmla="val -166657"/>
            <a:gd name="adj2" fmla="val 99648"/>
          </a:avLst>
        </a:prstGeom>
        <a:ln w="28575"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165100</xdr:colOff>
      <xdr:row>6</xdr:row>
      <xdr:rowOff>514350</xdr:rowOff>
    </xdr:from>
    <xdr:to>
      <xdr:col>16</xdr:col>
      <xdr:colOff>402420</xdr:colOff>
      <xdr:row>6</xdr:row>
      <xdr:rowOff>527050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>
          <a:endCxn id="3" idx="1"/>
        </xdr:cNvCxnSpPr>
      </xdr:nvCxnSpPr>
      <xdr:spPr>
        <a:xfrm>
          <a:off x="12636500" y="1930400"/>
          <a:ext cx="1456520" cy="12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24</xdr:row>
      <xdr:rowOff>304800</xdr:rowOff>
    </xdr:from>
    <xdr:to>
      <xdr:col>15</xdr:col>
      <xdr:colOff>200803</xdr:colOff>
      <xdr:row>24</xdr:row>
      <xdr:rowOff>307233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13754100" y="6140450"/>
          <a:ext cx="696103" cy="243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30</xdr:row>
      <xdr:rowOff>119319</xdr:rowOff>
    </xdr:from>
    <xdr:to>
      <xdr:col>16</xdr:col>
      <xdr:colOff>384788</xdr:colOff>
      <xdr:row>30</xdr:row>
      <xdr:rowOff>120650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endCxn id="18" idx="1"/>
        </xdr:cNvCxnSpPr>
      </xdr:nvCxnSpPr>
      <xdr:spPr>
        <a:xfrm flipV="1">
          <a:off x="15919450" y="8660069"/>
          <a:ext cx="1470638" cy="133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260350</xdr:colOff>
      <xdr:row>19</xdr:row>
      <xdr:rowOff>127000</xdr:rowOff>
    </xdr:from>
    <xdr:to>
      <xdr:col>20</xdr:col>
      <xdr:colOff>260350</xdr:colOff>
      <xdr:row>19</xdr:row>
      <xdr:rowOff>127000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12731750" y="4997450"/>
          <a:ext cx="3657600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82550</xdr:colOff>
      <xdr:row>9</xdr:row>
      <xdr:rowOff>101600</xdr:rowOff>
    </xdr:from>
    <xdr:to>
      <xdr:col>14</xdr:col>
      <xdr:colOff>488950</xdr:colOff>
      <xdr:row>12</xdr:row>
      <xdr:rowOff>95250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5259050" y="3048000"/>
          <a:ext cx="1016000" cy="73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Brewhouse</a:t>
          </a:r>
        </a:p>
      </xdr:txBody>
    </xdr:sp>
    <xdr:clientData/>
  </xdr:twoCellAnchor>
  <xdr:twoCellAnchor>
    <xdr:from>
      <xdr:col>14</xdr:col>
      <xdr:colOff>323850</xdr:colOff>
      <xdr:row>22</xdr:row>
      <xdr:rowOff>120650</xdr:rowOff>
    </xdr:from>
    <xdr:to>
      <xdr:col>20</xdr:col>
      <xdr:colOff>323850</xdr:colOff>
      <xdr:row>22</xdr:row>
      <xdr:rowOff>120650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16109950" y="6934200"/>
          <a:ext cx="3657600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571500</xdr:rowOff>
    </xdr:from>
    <xdr:to>
      <xdr:col>14</xdr:col>
      <xdr:colOff>482600</xdr:colOff>
      <xdr:row>22</xdr:row>
      <xdr:rowOff>12700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5252700" y="6280150"/>
          <a:ext cx="10160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Fermentation</a:t>
          </a:r>
        </a:p>
      </xdr:txBody>
    </xdr:sp>
    <xdr:clientData/>
  </xdr:twoCellAnchor>
  <xdr:twoCellAnchor>
    <xdr:from>
      <xdr:col>12</xdr:col>
      <xdr:colOff>450850</xdr:colOff>
      <xdr:row>25</xdr:row>
      <xdr:rowOff>863600</xdr:rowOff>
    </xdr:from>
    <xdr:to>
      <xdr:col>14</xdr:col>
      <xdr:colOff>425450</xdr:colOff>
      <xdr:row>28</xdr:row>
      <xdr:rowOff>120650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2871450" y="7067550"/>
          <a:ext cx="1193800" cy="73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Beer processing</a:t>
          </a:r>
        </a:p>
      </xdr:txBody>
    </xdr:sp>
    <xdr:clientData/>
  </xdr:twoCellAnchor>
  <xdr:twoCellAnchor>
    <xdr:from>
      <xdr:col>13</xdr:col>
      <xdr:colOff>577850</xdr:colOff>
      <xdr:row>24</xdr:row>
      <xdr:rowOff>14885</xdr:rowOff>
    </xdr:from>
    <xdr:to>
      <xdr:col>16</xdr:col>
      <xdr:colOff>6350</xdr:colOff>
      <xdr:row>24</xdr:row>
      <xdr:rowOff>291884</xdr:rowOff>
    </xdr:to>
    <xdr:sp macro="" textlink="">
      <xdr:nvSpPr>
        <xdr:cNvPr id="72" name="TextBox 18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3608050" y="5850535"/>
          <a:ext cx="12573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Hot water</a:t>
          </a:r>
        </a:p>
      </xdr:txBody>
    </xdr:sp>
    <xdr:clientData/>
  </xdr:twoCellAnchor>
  <xdr:twoCellAnchor>
    <xdr:from>
      <xdr:col>14</xdr:col>
      <xdr:colOff>190500</xdr:colOff>
      <xdr:row>9</xdr:row>
      <xdr:rowOff>57150</xdr:rowOff>
    </xdr:from>
    <xdr:to>
      <xdr:col>16</xdr:col>
      <xdr:colOff>427820</xdr:colOff>
      <xdr:row>9</xdr:row>
      <xdr:rowOff>69850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13830300" y="2762250"/>
          <a:ext cx="1456520" cy="12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20696</xdr:colOff>
      <xdr:row>7</xdr:row>
      <xdr:rowOff>341437</xdr:rowOff>
    </xdr:from>
    <xdr:to>
      <xdr:col>17</xdr:col>
      <xdr:colOff>58796</xdr:colOff>
      <xdr:row>9</xdr:row>
      <xdr:rowOff>88900</xdr:rowOff>
    </xdr:to>
    <xdr:sp macro="" textlink="">
      <xdr:nvSpPr>
        <xdr:cNvPr id="83" name="TextBox 176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4270096" y="2494087"/>
          <a:ext cx="1257300" cy="29991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Hot water</a:t>
          </a:r>
        </a:p>
      </xdr:txBody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23</xdr:col>
      <xdr:colOff>433012</xdr:colOff>
      <xdr:row>39</xdr:row>
      <xdr:rowOff>3240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97400" y="7677150"/>
          <a:ext cx="2261812" cy="2213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177801</xdr:rowOff>
    </xdr:from>
    <xdr:to>
      <xdr:col>1</xdr:col>
      <xdr:colOff>1320800</xdr:colOff>
      <xdr:row>4</xdr:row>
      <xdr:rowOff>63501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5993" b="4571"/>
        <a:stretch/>
      </xdr:blipFill>
      <xdr:spPr>
        <a:xfrm>
          <a:off x="628650" y="361951"/>
          <a:ext cx="1301750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1</xdr:rowOff>
    </xdr:from>
    <xdr:to>
      <xdr:col>4</xdr:col>
      <xdr:colOff>425450</xdr:colOff>
      <xdr:row>18</xdr:row>
      <xdr:rowOff>48985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2393951"/>
          <a:ext cx="3492499" cy="969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1323810</xdr:colOff>
      <xdr:row>34</xdr:row>
      <xdr:rowOff>28502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708650"/>
          <a:ext cx="1323810" cy="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577850</xdr:colOff>
      <xdr:row>3</xdr:row>
      <xdr:rowOff>76200</xdr:rowOff>
    </xdr:from>
    <xdr:to>
      <xdr:col>13</xdr:col>
      <xdr:colOff>298450</xdr:colOff>
      <xdr:row>20</xdr:row>
      <xdr:rowOff>9691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" y="628650"/>
          <a:ext cx="7645400" cy="3064041"/>
        </a:xfrm>
        <a:prstGeom prst="rect">
          <a:avLst/>
        </a:prstGeom>
      </xdr:spPr>
    </xdr:pic>
    <xdr:clientData/>
  </xdr:twoCellAnchor>
  <xdr:twoCellAnchor>
    <xdr:from>
      <xdr:col>7</xdr:col>
      <xdr:colOff>419100</xdr:colOff>
      <xdr:row>5</xdr:row>
      <xdr:rowOff>120650</xdr:rowOff>
    </xdr:from>
    <xdr:to>
      <xdr:col>13</xdr:col>
      <xdr:colOff>38100</xdr:colOff>
      <xdr:row>19</xdr:row>
      <xdr:rowOff>158750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686300" y="1041400"/>
          <a:ext cx="3276600" cy="2616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9</xdr:col>
      <xdr:colOff>18438</xdr:colOff>
      <xdr:row>42</xdr:row>
      <xdr:rowOff>120336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40350"/>
          <a:ext cx="4895238" cy="2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49</xdr:row>
      <xdr:rowOff>38101</xdr:rowOff>
    </xdr:from>
    <xdr:to>
      <xdr:col>7</xdr:col>
      <xdr:colOff>228281</xdr:colOff>
      <xdr:row>64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300" y="9061451"/>
          <a:ext cx="3746181" cy="2774949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14</xdr:row>
      <xdr:rowOff>12700</xdr:rowOff>
    </xdr:from>
    <xdr:to>
      <xdr:col>13</xdr:col>
      <xdr:colOff>38100</xdr:colOff>
      <xdr:row>15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17550" y="2590800"/>
          <a:ext cx="7245350" cy="196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36</xdr:row>
      <xdr:rowOff>139700</xdr:rowOff>
    </xdr:from>
    <xdr:to>
      <xdr:col>2</xdr:col>
      <xdr:colOff>139700</xdr:colOff>
      <xdr:row>40</xdr:row>
      <xdr:rowOff>133350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1358900" y="6769100"/>
          <a:ext cx="0" cy="730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35</xdr:row>
      <xdr:rowOff>127000</xdr:rowOff>
    </xdr:from>
    <xdr:to>
      <xdr:col>2</xdr:col>
      <xdr:colOff>342900</xdr:colOff>
      <xdr:row>40</xdr:row>
      <xdr:rowOff>123190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V="1">
          <a:off x="1562100" y="6572250"/>
          <a:ext cx="0" cy="916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34</xdr:row>
      <xdr:rowOff>127000</xdr:rowOff>
    </xdr:from>
    <xdr:to>
      <xdr:col>2</xdr:col>
      <xdr:colOff>533400</xdr:colOff>
      <xdr:row>40</xdr:row>
      <xdr:rowOff>119380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1752600" y="6388100"/>
          <a:ext cx="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34</xdr:row>
      <xdr:rowOff>69850</xdr:rowOff>
    </xdr:from>
    <xdr:to>
      <xdr:col>3</xdr:col>
      <xdr:colOff>127000</xdr:colOff>
      <xdr:row>40</xdr:row>
      <xdr:rowOff>153670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flipV="1">
          <a:off x="1955800" y="6330950"/>
          <a:ext cx="0" cy="1188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34</xdr:row>
      <xdr:rowOff>146050</xdr:rowOff>
    </xdr:from>
    <xdr:to>
      <xdr:col>2</xdr:col>
      <xdr:colOff>527050</xdr:colOff>
      <xdr:row>34</xdr:row>
      <xdr:rowOff>146050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H="1">
          <a:off x="1168400" y="6407150"/>
          <a:ext cx="577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34</xdr:row>
      <xdr:rowOff>38100</xdr:rowOff>
    </xdr:from>
    <xdr:to>
      <xdr:col>3</xdr:col>
      <xdr:colOff>101600</xdr:colOff>
      <xdr:row>34</xdr:row>
      <xdr:rowOff>50800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H="1" flipV="1">
          <a:off x="1143000" y="6299200"/>
          <a:ext cx="7874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34</xdr:row>
      <xdr:rowOff>19050</xdr:rowOff>
    </xdr:from>
    <xdr:to>
      <xdr:col>3</xdr:col>
      <xdr:colOff>311150</xdr:colOff>
      <xdr:row>40</xdr:row>
      <xdr:rowOff>102870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flipV="1">
          <a:off x="2139950" y="6280150"/>
          <a:ext cx="0" cy="1188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34</xdr:row>
      <xdr:rowOff>0</xdr:rowOff>
    </xdr:from>
    <xdr:to>
      <xdr:col>3</xdr:col>
      <xdr:colOff>285750</xdr:colOff>
      <xdr:row>34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 flipH="1" flipV="1">
          <a:off x="1200150" y="6261100"/>
          <a:ext cx="914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33</xdr:row>
      <xdr:rowOff>133350</xdr:rowOff>
    </xdr:from>
    <xdr:to>
      <xdr:col>3</xdr:col>
      <xdr:colOff>514350</xdr:colOff>
      <xdr:row>40</xdr:row>
      <xdr:rowOff>124460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flipV="1">
          <a:off x="2343150" y="6210300"/>
          <a:ext cx="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33</xdr:row>
      <xdr:rowOff>133350</xdr:rowOff>
    </xdr:from>
    <xdr:to>
      <xdr:col>3</xdr:col>
      <xdr:colOff>482600</xdr:colOff>
      <xdr:row>33</xdr:row>
      <xdr:rowOff>139700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H="1" flipV="1">
          <a:off x="1143000" y="6210300"/>
          <a:ext cx="116840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33</xdr:row>
      <xdr:rowOff>88900</xdr:rowOff>
    </xdr:from>
    <xdr:to>
      <xdr:col>4</xdr:col>
      <xdr:colOff>95250</xdr:colOff>
      <xdr:row>40</xdr:row>
      <xdr:rowOff>80010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 flipV="1">
          <a:off x="2533650" y="6165850"/>
          <a:ext cx="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33</xdr:row>
      <xdr:rowOff>19050</xdr:rowOff>
    </xdr:from>
    <xdr:to>
      <xdr:col>4</xdr:col>
      <xdr:colOff>298450</xdr:colOff>
      <xdr:row>40</xdr:row>
      <xdr:rowOff>101600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 flipV="1">
          <a:off x="2736850" y="6096000"/>
          <a:ext cx="0" cy="1371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33</xdr:row>
      <xdr:rowOff>44450</xdr:rowOff>
    </xdr:from>
    <xdr:to>
      <xdr:col>4</xdr:col>
      <xdr:colOff>215900</xdr:colOff>
      <xdr:row>33</xdr:row>
      <xdr:rowOff>50800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 flipH="1" flipV="1">
          <a:off x="1485900" y="6121400"/>
          <a:ext cx="116840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501650</xdr:colOff>
      <xdr:row>33</xdr:row>
      <xdr:rowOff>69850</xdr:rowOff>
    </xdr:from>
    <xdr:to>
      <xdr:col>4</xdr:col>
      <xdr:colOff>501650</xdr:colOff>
      <xdr:row>40</xdr:row>
      <xdr:rowOff>152400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 flipV="1">
          <a:off x="2940050" y="6146800"/>
          <a:ext cx="0" cy="1371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260350</xdr:colOff>
      <xdr:row>33</xdr:row>
      <xdr:rowOff>50800</xdr:rowOff>
    </xdr:from>
    <xdr:to>
      <xdr:col>5</xdr:col>
      <xdr:colOff>260350</xdr:colOff>
      <xdr:row>40</xdr:row>
      <xdr:rowOff>133350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 flipV="1">
          <a:off x="3308350" y="6127750"/>
          <a:ext cx="0" cy="1371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33</xdr:row>
      <xdr:rowOff>6350</xdr:rowOff>
    </xdr:from>
    <xdr:to>
      <xdr:col>5</xdr:col>
      <xdr:colOff>63500</xdr:colOff>
      <xdr:row>33</xdr:row>
      <xdr:rowOff>12700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 flipH="1" flipV="1">
          <a:off x="1943100" y="6083300"/>
          <a:ext cx="116840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581025</xdr:colOff>
      <xdr:row>27</xdr:row>
      <xdr:rowOff>50801</xdr:rowOff>
    </xdr:from>
    <xdr:to>
      <xdr:col>33</xdr:col>
      <xdr:colOff>276225</xdr:colOff>
      <xdr:row>42</xdr:row>
      <xdr:rowOff>50801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225425</xdr:colOff>
      <xdr:row>26</xdr:row>
      <xdr:rowOff>180975</xdr:rowOff>
    </xdr:from>
    <xdr:to>
      <xdr:col>17</xdr:col>
      <xdr:colOff>530225</xdr:colOff>
      <xdr:row>41</xdr:row>
      <xdr:rowOff>161925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41275</xdr:colOff>
      <xdr:row>27</xdr:row>
      <xdr:rowOff>9525</xdr:rowOff>
    </xdr:from>
    <xdr:to>
      <xdr:col>25</xdr:col>
      <xdr:colOff>346075</xdr:colOff>
      <xdr:row>41</xdr:row>
      <xdr:rowOff>174625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/Box/SIPH+JZ/Parity%20analysis/Case%20study%201/Energy%20and%20mass%20flow%20of%20a%20typical%20brewery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 and energy balance"/>
      <sheetName val="Theoretical value"/>
      <sheetName val="SEC"/>
      <sheetName val="Lit review of SEC"/>
      <sheetName val="Replacement"/>
      <sheetName val="Cost"/>
      <sheetName val="Available measurements"/>
      <sheetName val="IAC"/>
      <sheetName val="108 book"/>
      <sheetName val="References"/>
      <sheetName val="Natural gas boilers"/>
      <sheetName val="Sheet4"/>
    </sheetNames>
    <sheetDataSet>
      <sheetData sheetId="0">
        <row r="4">
          <cell r="B4">
            <v>15.09433962264151</v>
          </cell>
        </row>
        <row r="5">
          <cell r="B5">
            <v>66.301886792452805</v>
          </cell>
        </row>
        <row r="17">
          <cell r="B17">
            <v>71.20754716981132</v>
          </cell>
        </row>
        <row r="41">
          <cell r="B41">
            <v>100</v>
          </cell>
        </row>
        <row r="52">
          <cell r="B52">
            <v>106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raypak.com/support/tech-corner/modula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iac.university/assessment/DL0137" TargetMode="External"/><Relationship Id="rId13" Type="http://schemas.openxmlformats.org/officeDocument/2006/relationships/hyperlink" Target="https://iac.university/assessment/DL0015" TargetMode="External"/><Relationship Id="rId18" Type="http://schemas.openxmlformats.org/officeDocument/2006/relationships/hyperlink" Target="https://iac.university/assessment/LE0267" TargetMode="External"/><Relationship Id="rId3" Type="http://schemas.openxmlformats.org/officeDocument/2006/relationships/hyperlink" Target="https://iac.university/assessment/UU0115" TargetMode="External"/><Relationship Id="rId7" Type="http://schemas.openxmlformats.org/officeDocument/2006/relationships/hyperlink" Target="https://iac.university/assessment/UD0983" TargetMode="External"/><Relationship Id="rId12" Type="http://schemas.openxmlformats.org/officeDocument/2006/relationships/hyperlink" Target="https://iac.university/assessment/CO0677" TargetMode="External"/><Relationship Id="rId17" Type="http://schemas.openxmlformats.org/officeDocument/2006/relationships/hyperlink" Target="https://iac.university/assessment/NC0471" TargetMode="External"/><Relationship Id="rId2" Type="http://schemas.openxmlformats.org/officeDocument/2006/relationships/hyperlink" Target="https://iac.university/assessment/UD0983" TargetMode="External"/><Relationship Id="rId16" Type="http://schemas.openxmlformats.org/officeDocument/2006/relationships/hyperlink" Target="https://iac.university/assessment/NC0473" TargetMode="External"/><Relationship Id="rId1" Type="http://schemas.openxmlformats.org/officeDocument/2006/relationships/hyperlink" Target="https://iac.university/assessment/UU0147" TargetMode="External"/><Relationship Id="rId6" Type="http://schemas.openxmlformats.org/officeDocument/2006/relationships/hyperlink" Target="https://iac.university/assessment/LS1810" TargetMode="External"/><Relationship Id="rId11" Type="http://schemas.openxmlformats.org/officeDocument/2006/relationships/hyperlink" Target="https://iac.university/assessment/SD0481" TargetMode="External"/><Relationship Id="rId5" Type="http://schemas.openxmlformats.org/officeDocument/2006/relationships/hyperlink" Target="https://iac.university/assessment/UM0352" TargetMode="External"/><Relationship Id="rId15" Type="http://schemas.openxmlformats.org/officeDocument/2006/relationships/hyperlink" Target="https://iac.university/assessment/NC0477" TargetMode="External"/><Relationship Id="rId10" Type="http://schemas.openxmlformats.org/officeDocument/2006/relationships/hyperlink" Target="https://iac.university/assessment/SD0481" TargetMode="External"/><Relationship Id="rId4" Type="http://schemas.openxmlformats.org/officeDocument/2006/relationships/hyperlink" Target="https://iac.university/assessment/WV0473" TargetMode="External"/><Relationship Id="rId9" Type="http://schemas.openxmlformats.org/officeDocument/2006/relationships/hyperlink" Target="https://iac.university/assessment/DL0137" TargetMode="External"/><Relationship Id="rId14" Type="http://schemas.openxmlformats.org/officeDocument/2006/relationships/hyperlink" Target="https://iac.university/assessment/AM0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0"/>
  <sheetViews>
    <sheetView workbookViewId="0">
      <selection activeCell="I23" sqref="I23"/>
    </sheetView>
  </sheetViews>
  <sheetFormatPr defaultRowHeight="14.4" x14ac:dyDescent="0.3"/>
  <sheetData>
    <row r="3" spans="1:1" x14ac:dyDescent="0.3">
      <c r="A3" t="s">
        <v>338</v>
      </c>
    </row>
    <row r="5" spans="1:1" x14ac:dyDescent="0.3">
      <c r="A5" t="s">
        <v>339</v>
      </c>
    </row>
    <row r="7" spans="1:1" x14ac:dyDescent="0.3">
      <c r="A7" t="s">
        <v>340</v>
      </c>
    </row>
    <row r="9" spans="1:1" x14ac:dyDescent="0.3">
      <c r="A9" t="s">
        <v>341</v>
      </c>
    </row>
    <row r="11" spans="1:1" x14ac:dyDescent="0.3">
      <c r="A11" t="s">
        <v>342</v>
      </c>
    </row>
    <row r="12" spans="1:1" x14ac:dyDescent="0.3">
      <c r="A12" t="s">
        <v>343</v>
      </c>
    </row>
    <row r="14" spans="1:1" x14ac:dyDescent="0.3">
      <c r="A14" t="s">
        <v>344</v>
      </c>
    </row>
    <row r="16" spans="1:1" x14ac:dyDescent="0.3">
      <c r="A16" t="s">
        <v>345</v>
      </c>
    </row>
    <row r="18" spans="1:1" x14ac:dyDescent="0.3">
      <c r="A18" t="s">
        <v>373</v>
      </c>
    </row>
    <row r="20" spans="1:1" x14ac:dyDescent="0.3">
      <c r="A20" t="s">
        <v>374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P10" sqref="P10"/>
    </sheetView>
  </sheetViews>
  <sheetFormatPr defaultRowHeight="14.4" x14ac:dyDescent="0.3"/>
  <sheetData>
    <row r="1" spans="1:18" x14ac:dyDescent="0.3">
      <c r="A1" s="25" t="s">
        <v>103</v>
      </c>
      <c r="B1" s="26">
        <v>312120</v>
      </c>
      <c r="C1" s="27" t="s">
        <v>104</v>
      </c>
      <c r="D1" s="27" t="s">
        <v>105</v>
      </c>
      <c r="E1" s="27" t="s">
        <v>106</v>
      </c>
      <c r="F1" s="26">
        <v>2082</v>
      </c>
      <c r="G1" s="27" t="s">
        <v>107</v>
      </c>
      <c r="H1" s="26"/>
      <c r="I1" s="26"/>
      <c r="J1" s="26"/>
      <c r="K1" s="26"/>
      <c r="L1" s="26"/>
      <c r="M1" s="26"/>
      <c r="N1" s="26"/>
      <c r="O1" s="16"/>
    </row>
    <row r="2" spans="1:18" x14ac:dyDescent="0.3">
      <c r="A2" s="26"/>
      <c r="B2" s="26"/>
      <c r="C2" s="27"/>
      <c r="D2" s="27"/>
      <c r="E2" s="27"/>
      <c r="F2" s="26"/>
      <c r="G2" s="27"/>
      <c r="H2" s="26"/>
      <c r="I2" s="26"/>
      <c r="J2" s="26"/>
      <c r="K2" s="26"/>
      <c r="L2" s="26"/>
      <c r="M2" s="26"/>
      <c r="N2" s="26"/>
      <c r="O2" s="16"/>
    </row>
    <row r="3" spans="1:18" x14ac:dyDescent="0.3">
      <c r="A3" s="28" t="s">
        <v>108</v>
      </c>
      <c r="B3" s="28" t="s">
        <v>109</v>
      </c>
      <c r="C3" s="29" t="s">
        <v>110</v>
      </c>
      <c r="D3" s="28" t="s">
        <v>111</v>
      </c>
      <c r="E3" s="28" t="s">
        <v>112</v>
      </c>
      <c r="F3" s="28" t="s">
        <v>113</v>
      </c>
      <c r="G3" s="29" t="s">
        <v>114</v>
      </c>
      <c r="H3" s="28" t="s">
        <v>115</v>
      </c>
      <c r="I3" s="28" t="s">
        <v>116</v>
      </c>
      <c r="J3" s="28" t="s">
        <v>117</v>
      </c>
      <c r="K3" s="28" t="s">
        <v>118</v>
      </c>
      <c r="L3" s="28" t="s">
        <v>119</v>
      </c>
      <c r="M3" s="29" t="s">
        <v>120</v>
      </c>
      <c r="N3" s="28" t="s">
        <v>121</v>
      </c>
      <c r="O3" s="28" t="s">
        <v>122</v>
      </c>
      <c r="Q3" s="30" t="s">
        <v>123</v>
      </c>
      <c r="R3" s="30" t="s">
        <v>124</v>
      </c>
    </row>
    <row r="4" spans="1:18" x14ac:dyDescent="0.3">
      <c r="A4" s="31" t="s">
        <v>125</v>
      </c>
      <c r="B4" s="31">
        <v>212</v>
      </c>
      <c r="C4" s="32">
        <f t="shared" ref="C4:C12" si="0">CONVERT(B4,"F","C")</f>
        <v>100</v>
      </c>
      <c r="D4" s="33"/>
      <c r="E4" s="33"/>
      <c r="F4" s="32">
        <v>250</v>
      </c>
      <c r="G4" s="32">
        <f>CONVERT(F4,"F","C")</f>
        <v>121.11111111111111</v>
      </c>
      <c r="H4" s="31">
        <v>0.04</v>
      </c>
      <c r="I4" s="34">
        <v>38.700000000000003</v>
      </c>
      <c r="J4" s="31"/>
      <c r="K4" s="31"/>
      <c r="L4" s="31">
        <v>180</v>
      </c>
      <c r="M4" s="32">
        <f>CONVERT(L4,"F","C")</f>
        <v>82.222222222222214</v>
      </c>
      <c r="N4" s="31">
        <v>0.214</v>
      </c>
      <c r="O4" s="34">
        <v>22</v>
      </c>
      <c r="Q4">
        <f>SUM(I4,O4)</f>
        <v>60.7</v>
      </c>
      <c r="R4" s="35">
        <f>Q4/$Q$13</f>
        <v>0.1183005262132138</v>
      </c>
    </row>
    <row r="5" spans="1:18" x14ac:dyDescent="0.3">
      <c r="A5" s="31" t="s">
        <v>126</v>
      </c>
      <c r="B5" s="31">
        <v>212</v>
      </c>
      <c r="C5" s="32">
        <f t="shared" si="0"/>
        <v>100</v>
      </c>
      <c r="D5" s="33"/>
      <c r="E5" s="33"/>
      <c r="F5" s="32">
        <v>250</v>
      </c>
      <c r="G5" s="32">
        <f>CONVERT(F5,"F","C")</f>
        <v>121.11111111111111</v>
      </c>
      <c r="H5" s="31">
        <v>0.05</v>
      </c>
      <c r="I5" s="34">
        <v>45</v>
      </c>
      <c r="J5" s="31"/>
      <c r="K5" s="31"/>
      <c r="L5" s="31">
        <v>130</v>
      </c>
      <c r="M5" s="32">
        <f>CONVERT(L5,"F","C")</f>
        <v>54.444444444444443</v>
      </c>
      <c r="N5" s="31">
        <v>0.47</v>
      </c>
      <c r="O5" s="34">
        <v>25.9</v>
      </c>
      <c r="Q5">
        <f>SUM(I5,O5)</f>
        <v>70.900000000000006</v>
      </c>
      <c r="R5" s="35">
        <f t="shared" ref="R5:R10" si="1">Q5/$Q$13</f>
        <v>0.13817969206782305</v>
      </c>
    </row>
    <row r="6" spans="1:18" x14ac:dyDescent="0.3">
      <c r="A6" s="31" t="s">
        <v>127</v>
      </c>
      <c r="B6" s="31">
        <v>165</v>
      </c>
      <c r="C6" s="32">
        <f t="shared" si="0"/>
        <v>73.888888888888886</v>
      </c>
      <c r="D6" s="33"/>
      <c r="E6" s="33"/>
      <c r="F6" s="31"/>
      <c r="G6" s="32"/>
      <c r="H6" s="31"/>
      <c r="I6" s="34"/>
      <c r="J6" s="31"/>
      <c r="K6" s="31">
        <v>8.4</v>
      </c>
      <c r="L6" s="31">
        <v>165</v>
      </c>
      <c r="M6" s="32">
        <f>CONVERT(L6,"F","C")</f>
        <v>73.888888888888886</v>
      </c>
      <c r="N6" s="31">
        <v>0.3</v>
      </c>
      <c r="O6" s="34">
        <v>27</v>
      </c>
      <c r="Q6">
        <f>SUM(I6,O6)</f>
        <v>27</v>
      </c>
      <c r="R6" s="35">
        <f t="shared" si="1"/>
        <v>5.2621321379847978E-2</v>
      </c>
    </row>
    <row r="7" spans="1:18" x14ac:dyDescent="0.3">
      <c r="A7" s="31" t="s">
        <v>128</v>
      </c>
      <c r="B7" s="31">
        <v>212</v>
      </c>
      <c r="C7" s="32">
        <f t="shared" si="0"/>
        <v>100</v>
      </c>
      <c r="D7" s="33"/>
      <c r="E7" s="33"/>
      <c r="F7" s="31"/>
      <c r="G7" s="32"/>
      <c r="H7" s="31"/>
      <c r="I7" s="34"/>
      <c r="J7" s="31">
        <v>300</v>
      </c>
      <c r="K7" s="31">
        <v>5</v>
      </c>
      <c r="L7" s="31"/>
      <c r="M7" s="32"/>
      <c r="N7" s="31"/>
      <c r="O7" s="34"/>
      <c r="R7" s="35"/>
    </row>
    <row r="8" spans="1:18" x14ac:dyDescent="0.3">
      <c r="A8" s="31" t="s">
        <v>129</v>
      </c>
      <c r="B8" s="31">
        <v>212</v>
      </c>
      <c r="C8" s="32">
        <f t="shared" si="0"/>
        <v>100</v>
      </c>
      <c r="D8" s="33"/>
      <c r="E8" s="33"/>
      <c r="F8" s="31">
        <v>250</v>
      </c>
      <c r="G8" s="32">
        <f>CONVERT(F8,"F","C")</f>
        <v>121.11111111111111</v>
      </c>
      <c r="H8" s="31">
        <v>0.09</v>
      </c>
      <c r="I8" s="34">
        <v>70</v>
      </c>
      <c r="J8" s="31"/>
      <c r="K8" s="31"/>
      <c r="L8" s="31"/>
      <c r="M8" s="32"/>
      <c r="N8" s="31"/>
      <c r="O8" s="34"/>
      <c r="R8" s="35"/>
    </row>
    <row r="9" spans="1:18" x14ac:dyDescent="0.3">
      <c r="A9" s="36" t="s">
        <v>17</v>
      </c>
      <c r="B9" s="36">
        <v>125</v>
      </c>
      <c r="C9" s="36">
        <f t="shared" si="0"/>
        <v>51.666666666666664</v>
      </c>
      <c r="D9" s="36"/>
      <c r="E9" s="36"/>
      <c r="F9" s="36"/>
      <c r="G9" s="36"/>
      <c r="H9" s="36"/>
      <c r="I9" s="36"/>
      <c r="J9" s="36"/>
      <c r="K9" s="36"/>
      <c r="L9" s="36">
        <v>160</v>
      </c>
      <c r="M9" s="32">
        <f>CONVERT(L9,"F","C")</f>
        <v>71.111111111111114</v>
      </c>
      <c r="N9" s="36">
        <v>1</v>
      </c>
      <c r="O9" s="37">
        <v>92</v>
      </c>
      <c r="P9" s="35">
        <f>O9/SUM(O9:O10)</f>
        <v>0.25952045133991536</v>
      </c>
      <c r="Q9">
        <f>SUM(I9,O9)</f>
        <v>92</v>
      </c>
      <c r="R9" s="35">
        <f t="shared" si="1"/>
        <v>0.17930228025725978</v>
      </c>
    </row>
    <row r="10" spans="1:18" x14ac:dyDescent="0.3">
      <c r="A10" s="36" t="s">
        <v>18</v>
      </c>
      <c r="B10" s="36">
        <v>145</v>
      </c>
      <c r="C10" s="36">
        <f t="shared" si="0"/>
        <v>62.777777777777779</v>
      </c>
      <c r="D10" s="36"/>
      <c r="E10" s="36"/>
      <c r="F10" s="36"/>
      <c r="G10" s="36"/>
      <c r="H10" s="36"/>
      <c r="I10" s="36"/>
      <c r="J10" s="36"/>
      <c r="K10" s="36"/>
      <c r="L10" s="36">
        <v>180</v>
      </c>
      <c r="M10" s="36"/>
      <c r="N10" s="36">
        <v>2.5</v>
      </c>
      <c r="O10" s="37">
        <v>262.5</v>
      </c>
      <c r="P10" s="35">
        <f>O10/SUM(O9:O10)</f>
        <v>0.74047954866008459</v>
      </c>
      <c r="Q10">
        <f>SUM(I10,O10)</f>
        <v>262.5</v>
      </c>
      <c r="R10" s="35">
        <f t="shared" si="1"/>
        <v>0.51159618008185537</v>
      </c>
    </row>
    <row r="11" spans="1:18" x14ac:dyDescent="0.3">
      <c r="A11" s="38" t="s">
        <v>130</v>
      </c>
      <c r="B11" s="38">
        <v>650</v>
      </c>
      <c r="C11" s="38">
        <f t="shared" si="0"/>
        <v>343.33333333333331</v>
      </c>
      <c r="D11" s="38"/>
      <c r="E11" s="38"/>
      <c r="F11" s="38"/>
      <c r="G11" s="38"/>
      <c r="H11" s="38"/>
      <c r="I11" s="38"/>
      <c r="J11" s="38">
        <v>67.7</v>
      </c>
      <c r="K11" s="38"/>
      <c r="L11" s="38"/>
      <c r="M11" s="38"/>
      <c r="N11" s="38"/>
      <c r="O11" s="38"/>
    </row>
    <row r="12" spans="1:18" x14ac:dyDescent="0.3">
      <c r="A12" s="39" t="s">
        <v>131</v>
      </c>
      <c r="B12" s="39">
        <v>250</v>
      </c>
      <c r="C12" s="39">
        <f t="shared" si="0"/>
        <v>121.11111111111111</v>
      </c>
      <c r="D12" s="39"/>
      <c r="E12" s="39"/>
      <c r="F12" s="39"/>
      <c r="G12" s="39"/>
      <c r="H12" s="39"/>
      <c r="I12" s="39"/>
      <c r="J12" s="39">
        <v>901</v>
      </c>
      <c r="K12" s="39"/>
      <c r="L12" s="39"/>
      <c r="M12" s="39"/>
      <c r="N12" s="39"/>
      <c r="O12" s="39"/>
    </row>
    <row r="13" spans="1:18" x14ac:dyDescent="0.3">
      <c r="Q13">
        <f>SUM(Q4:Q6,Q9:Q10)</f>
        <v>513.1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6"/>
  <sheetViews>
    <sheetView workbookViewId="0">
      <selection activeCell="B24" sqref="B24"/>
    </sheetView>
  </sheetViews>
  <sheetFormatPr defaultRowHeight="14.4" x14ac:dyDescent="0.3"/>
  <sheetData>
    <row r="2" spans="1:2" x14ac:dyDescent="0.3">
      <c r="A2" s="4" t="s">
        <v>178</v>
      </c>
    </row>
    <row r="3" spans="1:2" x14ac:dyDescent="0.3">
      <c r="A3" t="s">
        <v>179</v>
      </c>
      <c r="B3" t="s">
        <v>180</v>
      </c>
    </row>
    <row r="4" spans="1:2" x14ac:dyDescent="0.3">
      <c r="A4" s="4" t="s">
        <v>181</v>
      </c>
      <c r="B4" t="s">
        <v>182</v>
      </c>
    </row>
    <row r="5" spans="1:2" x14ac:dyDescent="0.3">
      <c r="A5" s="4" t="s">
        <v>183</v>
      </c>
      <c r="B5" t="s">
        <v>184</v>
      </c>
    </row>
    <row r="6" spans="1:2" x14ac:dyDescent="0.3">
      <c r="A6" t="s">
        <v>185</v>
      </c>
      <c r="B6" t="s">
        <v>186</v>
      </c>
    </row>
    <row r="7" spans="1:2" x14ac:dyDescent="0.3">
      <c r="A7" s="43" t="s">
        <v>187</v>
      </c>
      <c r="B7" t="s">
        <v>188</v>
      </c>
    </row>
    <row r="8" spans="1:2" x14ac:dyDescent="0.3">
      <c r="A8" t="s">
        <v>189</v>
      </c>
      <c r="B8" s="43" t="s">
        <v>190</v>
      </c>
    </row>
    <row r="9" spans="1:2" x14ac:dyDescent="0.3">
      <c r="A9" t="s">
        <v>191</v>
      </c>
      <c r="B9" t="s">
        <v>192</v>
      </c>
    </row>
    <row r="10" spans="1:2" x14ac:dyDescent="0.3">
      <c r="A10" t="s">
        <v>193</v>
      </c>
      <c r="B10" s="44" t="s">
        <v>194</v>
      </c>
    </row>
    <row r="11" spans="1:2" x14ac:dyDescent="0.3">
      <c r="A11" t="s">
        <v>195</v>
      </c>
      <c r="B11" s="44" t="s">
        <v>196</v>
      </c>
    </row>
    <row r="12" spans="1:2" x14ac:dyDescent="0.3">
      <c r="A12" t="s">
        <v>197</v>
      </c>
      <c r="B12" s="43" t="s">
        <v>198</v>
      </c>
    </row>
    <row r="13" spans="1:2" x14ac:dyDescent="0.3">
      <c r="A13" t="s">
        <v>199</v>
      </c>
      <c r="B13" s="43" t="s">
        <v>200</v>
      </c>
    </row>
    <row r="14" spans="1:2" x14ac:dyDescent="0.3">
      <c r="A14" t="s">
        <v>201</v>
      </c>
      <c r="B14" s="44" t="s">
        <v>202</v>
      </c>
    </row>
    <row r="15" spans="1:2" x14ac:dyDescent="0.3">
      <c r="A15" t="s">
        <v>203</v>
      </c>
      <c r="B15" s="44" t="s">
        <v>204</v>
      </c>
    </row>
    <row r="16" spans="1:2" x14ac:dyDescent="0.3">
      <c r="A16" t="s">
        <v>210</v>
      </c>
      <c r="B16" t="s">
        <v>209</v>
      </c>
    </row>
    <row r="17" spans="1:2" x14ac:dyDescent="0.3">
      <c r="A17" t="s">
        <v>212</v>
      </c>
      <c r="B17" t="s">
        <v>215</v>
      </c>
    </row>
    <row r="18" spans="1:2" x14ac:dyDescent="0.3">
      <c r="A18" t="s">
        <v>257</v>
      </c>
      <c r="B18" t="s">
        <v>213</v>
      </c>
    </row>
    <row r="19" spans="1:2" x14ac:dyDescent="0.3">
      <c r="A19" t="s">
        <v>263</v>
      </c>
      <c r="B19" t="s">
        <v>264</v>
      </c>
    </row>
    <row r="20" spans="1:2" x14ac:dyDescent="0.3">
      <c r="A20" t="s">
        <v>273</v>
      </c>
      <c r="B20" s="44" t="s">
        <v>276</v>
      </c>
    </row>
    <row r="21" spans="1:2" x14ac:dyDescent="0.3">
      <c r="A21" t="s">
        <v>305</v>
      </c>
      <c r="B21" t="s">
        <v>304</v>
      </c>
    </row>
    <row r="22" spans="1:2" x14ac:dyDescent="0.3">
      <c r="A22" t="s">
        <v>369</v>
      </c>
      <c r="B22" t="s">
        <v>370</v>
      </c>
    </row>
    <row r="23" spans="1:2" x14ac:dyDescent="0.3">
      <c r="A23" t="s">
        <v>371</v>
      </c>
      <c r="B23" t="s">
        <v>372</v>
      </c>
    </row>
    <row r="24" spans="1:2" x14ac:dyDescent="0.3">
      <c r="A24" t="s">
        <v>401</v>
      </c>
      <c r="B24" t="s">
        <v>402</v>
      </c>
    </row>
    <row r="25" spans="1:2" x14ac:dyDescent="0.3">
      <c r="A25" t="s">
        <v>403</v>
      </c>
      <c r="B25" t="s">
        <v>404</v>
      </c>
    </row>
    <row r="26" spans="1:2" x14ac:dyDescent="0.3">
      <c r="A26" t="s">
        <v>406</v>
      </c>
      <c r="B26" t="s">
        <v>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workbookViewId="0">
      <selection activeCell="B61" sqref="B61"/>
    </sheetView>
  </sheetViews>
  <sheetFormatPr defaultRowHeight="14.4" x14ac:dyDescent="0.3"/>
  <cols>
    <col min="1" max="1" width="19.77734375" style="16" customWidth="1"/>
    <col min="2" max="2" width="14.6640625" style="16" customWidth="1"/>
    <col min="3" max="3" width="18.77734375" style="16" customWidth="1"/>
    <col min="4" max="4" width="13.88671875" style="16" customWidth="1"/>
    <col min="5" max="5" width="32.88671875" style="16" customWidth="1"/>
    <col min="6" max="6" width="25.44140625" customWidth="1"/>
  </cols>
  <sheetData>
    <row r="1" spans="1:27" ht="28.8" x14ac:dyDescent="0.3">
      <c r="A1" s="15" t="s">
        <v>0</v>
      </c>
      <c r="B1" s="2" t="s">
        <v>1</v>
      </c>
      <c r="C1" s="2" t="s">
        <v>2</v>
      </c>
    </row>
    <row r="2" spans="1:27" ht="21" customHeight="1" x14ac:dyDescent="0.3">
      <c r="A2" s="17" t="s">
        <v>3</v>
      </c>
      <c r="B2" s="2"/>
      <c r="C2" s="2"/>
    </row>
    <row r="3" spans="1:27" ht="18" customHeight="1" x14ac:dyDescent="0.3">
      <c r="B3" s="22" t="s">
        <v>5</v>
      </c>
      <c r="C3" s="22" t="s">
        <v>6</v>
      </c>
      <c r="D3" s="23" t="s">
        <v>11</v>
      </c>
      <c r="E3" s="23" t="s">
        <v>12</v>
      </c>
    </row>
    <row r="4" spans="1:27" x14ac:dyDescent="0.3">
      <c r="A4" s="17" t="s">
        <v>4</v>
      </c>
      <c r="B4" s="22"/>
      <c r="C4" s="22"/>
      <c r="D4" s="23"/>
      <c r="E4" s="23"/>
      <c r="U4" t="s">
        <v>69</v>
      </c>
      <c r="X4" t="s">
        <v>70</v>
      </c>
      <c r="AA4" t="s">
        <v>71</v>
      </c>
    </row>
    <row r="5" spans="1:27" x14ac:dyDescent="0.3">
      <c r="A5" s="15" t="s">
        <v>7</v>
      </c>
      <c r="B5" s="2">
        <v>15.09433962264151</v>
      </c>
      <c r="C5" s="12"/>
      <c r="D5" s="15" t="s">
        <v>9</v>
      </c>
      <c r="E5" s="15" t="s">
        <v>10</v>
      </c>
      <c r="U5" t="s">
        <v>72</v>
      </c>
      <c r="AA5" t="s">
        <v>73</v>
      </c>
    </row>
    <row r="6" spans="1:27" x14ac:dyDescent="0.3">
      <c r="A6" s="15" t="s">
        <v>99</v>
      </c>
      <c r="B6" s="2">
        <v>66.301886792452805</v>
      </c>
      <c r="C6" s="12"/>
      <c r="D6" s="15" t="s">
        <v>9</v>
      </c>
      <c r="E6" s="15" t="s">
        <v>10</v>
      </c>
    </row>
    <row r="7" spans="1:27" ht="57.6" x14ac:dyDescent="0.3">
      <c r="A7" s="5" t="s">
        <v>13</v>
      </c>
      <c r="B7" s="12">
        <v>42.113207547169814</v>
      </c>
      <c r="C7" s="12">
        <f>'Theoretical thermal'!J13</f>
        <v>19.289452830188669</v>
      </c>
      <c r="D7" s="5" t="s">
        <v>14</v>
      </c>
      <c r="E7" s="15" t="s">
        <v>61</v>
      </c>
      <c r="U7" s="21" t="s">
        <v>74</v>
      </c>
    </row>
    <row r="8" spans="1:27" ht="28.8" x14ac:dyDescent="0.3">
      <c r="A8" s="15" t="s">
        <v>56</v>
      </c>
      <c r="B8" s="2">
        <f>B25</f>
        <v>14.6716981132075</v>
      </c>
      <c r="C8" s="2"/>
      <c r="D8" s="15" t="s">
        <v>14</v>
      </c>
      <c r="E8" s="5"/>
      <c r="U8" t="s">
        <v>24</v>
      </c>
      <c r="V8" s="5" t="s">
        <v>75</v>
      </c>
    </row>
    <row r="9" spans="1:27" x14ac:dyDescent="0.3">
      <c r="A9" s="5"/>
      <c r="B9" s="12"/>
      <c r="C9" s="12"/>
      <c r="D9" s="5"/>
      <c r="E9" s="5"/>
      <c r="U9" t="s">
        <v>76</v>
      </c>
      <c r="V9" s="5" t="s">
        <v>77</v>
      </c>
    </row>
    <row r="10" spans="1:27" x14ac:dyDescent="0.3">
      <c r="A10" s="17" t="s">
        <v>57</v>
      </c>
      <c r="B10" s="2"/>
      <c r="C10" s="2"/>
      <c r="D10" s="15"/>
      <c r="E10" s="15"/>
      <c r="U10" t="s">
        <v>78</v>
      </c>
      <c r="V10" s="5" t="s">
        <v>79</v>
      </c>
    </row>
    <row r="11" spans="1:27" x14ac:dyDescent="0.3">
      <c r="A11" s="15" t="s">
        <v>58</v>
      </c>
      <c r="B11" s="2">
        <f>SUM(B5:B6)-B12</f>
        <v>71.20754716981132</v>
      </c>
      <c r="C11" s="2"/>
      <c r="D11" s="15" t="s">
        <v>9</v>
      </c>
      <c r="E11" s="15"/>
    </row>
    <row r="12" spans="1:27" x14ac:dyDescent="0.3">
      <c r="A12" s="15" t="s">
        <v>59</v>
      </c>
      <c r="B12" s="2">
        <v>10.188679245283</v>
      </c>
      <c r="C12" s="2"/>
      <c r="D12" s="15" t="s">
        <v>9</v>
      </c>
      <c r="E12" s="15" t="s">
        <v>10</v>
      </c>
    </row>
    <row r="13" spans="1:27" x14ac:dyDescent="0.3">
      <c r="A13" s="16" t="s">
        <v>60</v>
      </c>
      <c r="B13" s="6">
        <f>B7+B8-C7</f>
        <v>37.49545283018864</v>
      </c>
      <c r="C13" s="6"/>
      <c r="E13" s="16" t="s">
        <v>97</v>
      </c>
    </row>
    <row r="14" spans="1:27" x14ac:dyDescent="0.3">
      <c r="B14" s="6"/>
      <c r="C14" s="6"/>
    </row>
    <row r="15" spans="1:27" x14ac:dyDescent="0.3">
      <c r="A15" s="19" t="s">
        <v>16</v>
      </c>
      <c r="B15" s="6"/>
      <c r="C15" s="6"/>
    </row>
    <row r="16" spans="1:27" x14ac:dyDescent="0.3">
      <c r="A16" s="19" t="s">
        <v>4</v>
      </c>
      <c r="B16" s="6"/>
      <c r="C16" s="6"/>
    </row>
    <row r="17" spans="1:6" x14ac:dyDescent="0.3">
      <c r="A17" s="16" t="s">
        <v>58</v>
      </c>
      <c r="B17" s="6">
        <f>B11</f>
        <v>71.20754716981132</v>
      </c>
      <c r="C17" s="6"/>
      <c r="D17" s="16" t="s">
        <v>9</v>
      </c>
    </row>
    <row r="18" spans="1:6" x14ac:dyDescent="0.3">
      <c r="A18" s="16" t="s">
        <v>62</v>
      </c>
      <c r="B18" s="6">
        <v>7.5471698113207503E-2</v>
      </c>
      <c r="C18" s="6"/>
      <c r="D18" s="16" t="s">
        <v>9</v>
      </c>
      <c r="E18" s="16" t="s">
        <v>10</v>
      </c>
    </row>
    <row r="19" spans="1:6" ht="43.2" x14ac:dyDescent="0.3">
      <c r="A19" s="5" t="s">
        <v>13</v>
      </c>
      <c r="B19" s="12">
        <v>39.212075471698121</v>
      </c>
      <c r="C19" s="12">
        <v>13.940239245283017</v>
      </c>
      <c r="D19" s="5" t="s">
        <v>14</v>
      </c>
      <c r="E19" s="15" t="s">
        <v>63</v>
      </c>
    </row>
    <row r="20" spans="1:6" x14ac:dyDescent="0.3">
      <c r="B20" s="6"/>
      <c r="C20" s="6"/>
    </row>
    <row r="21" spans="1:6" x14ac:dyDescent="0.3">
      <c r="A21" s="19" t="s">
        <v>57</v>
      </c>
      <c r="B21" s="6"/>
      <c r="C21" s="6"/>
    </row>
    <row r="22" spans="1:6" x14ac:dyDescent="0.3">
      <c r="A22" s="16" t="s">
        <v>64</v>
      </c>
      <c r="B22" s="6">
        <v>64.490566037735803</v>
      </c>
      <c r="C22" s="6"/>
      <c r="D22" s="16" t="s">
        <v>9</v>
      </c>
      <c r="E22" s="16" t="s">
        <v>10</v>
      </c>
    </row>
    <row r="23" spans="1:6" x14ac:dyDescent="0.3">
      <c r="A23" s="16" t="s">
        <v>65</v>
      </c>
      <c r="B23" s="6">
        <f>B17-B22-B24</f>
        <v>3.723094339622687</v>
      </c>
      <c r="C23" s="6"/>
      <c r="D23" s="16" t="s">
        <v>9</v>
      </c>
      <c r="E23" s="16" t="s">
        <v>10</v>
      </c>
    </row>
    <row r="24" spans="1:6" x14ac:dyDescent="0.3">
      <c r="A24" s="16" t="s">
        <v>66</v>
      </c>
      <c r="B24" s="6">
        <f>(B17+B18)*0.042</f>
        <v>2.9938867924528303</v>
      </c>
      <c r="C24" s="6"/>
      <c r="D24" s="16" t="s">
        <v>9</v>
      </c>
      <c r="E24" s="16" t="s">
        <v>98</v>
      </c>
    </row>
    <row r="25" spans="1:6" ht="28.8" x14ac:dyDescent="0.3">
      <c r="A25" s="18" t="s">
        <v>67</v>
      </c>
      <c r="B25" s="6">
        <v>14.6716981132075</v>
      </c>
      <c r="D25" s="16" t="s">
        <v>14</v>
      </c>
      <c r="E25" s="16" t="s">
        <v>10</v>
      </c>
    </row>
    <row r="26" spans="1:6" ht="86.4" x14ac:dyDescent="0.3">
      <c r="A26" s="5" t="s">
        <v>375</v>
      </c>
      <c r="B26" s="12">
        <f>B19-B25+C7</f>
        <v>43.829830188679296</v>
      </c>
      <c r="C26" s="5"/>
      <c r="D26" s="5" t="s">
        <v>14</v>
      </c>
      <c r="E26" s="15" t="s">
        <v>337</v>
      </c>
    </row>
    <row r="28" spans="1:6" x14ac:dyDescent="0.3">
      <c r="A28" s="3" t="s">
        <v>80</v>
      </c>
      <c r="B28" s="2"/>
      <c r="C28" s="2"/>
      <c r="D28" s="1"/>
      <c r="E28" s="1"/>
      <c r="F28" s="1"/>
    </row>
    <row r="29" spans="1:6" x14ac:dyDescent="0.3">
      <c r="A29" s="3" t="s">
        <v>4</v>
      </c>
      <c r="B29" s="2"/>
      <c r="C29" s="2"/>
      <c r="D29" s="1"/>
      <c r="E29" s="1"/>
      <c r="F29" s="1"/>
    </row>
    <row r="30" spans="1:6" x14ac:dyDescent="0.3">
      <c r="A30" s="1" t="s">
        <v>64</v>
      </c>
      <c r="B30" s="2">
        <f>B22</f>
        <v>64.490566037735803</v>
      </c>
      <c r="C30" s="2"/>
      <c r="D30" s="1" t="s">
        <v>9</v>
      </c>
      <c r="E30" s="1"/>
      <c r="F30" s="1"/>
    </row>
    <row r="31" spans="1:6" x14ac:dyDescent="0.3">
      <c r="A31" s="1" t="s">
        <v>8</v>
      </c>
      <c r="B31" s="2">
        <v>41.509433962264154</v>
      </c>
      <c r="C31" s="2"/>
      <c r="D31" s="1" t="s">
        <v>9</v>
      </c>
      <c r="E31" s="1" t="s">
        <v>10</v>
      </c>
      <c r="F31" s="1"/>
    </row>
    <row r="32" spans="1:6" x14ac:dyDescent="0.3">
      <c r="A32" s="1"/>
      <c r="B32" s="2"/>
      <c r="C32" s="2"/>
      <c r="D32" s="1"/>
      <c r="E32" s="1"/>
      <c r="F32" s="1"/>
    </row>
    <row r="33" spans="1:6" x14ac:dyDescent="0.3">
      <c r="A33" s="3" t="s">
        <v>57</v>
      </c>
      <c r="B33" s="2"/>
      <c r="C33" s="2"/>
      <c r="D33" s="1"/>
      <c r="E33" s="1"/>
      <c r="F33" s="1"/>
    </row>
    <row r="34" spans="1:6" x14ac:dyDescent="0.3">
      <c r="A34" s="1" t="s">
        <v>81</v>
      </c>
      <c r="B34" s="2">
        <f>SUM(B30:B31)</f>
        <v>105.99999999999996</v>
      </c>
      <c r="C34" s="2"/>
      <c r="D34" s="1" t="s">
        <v>9</v>
      </c>
      <c r="E34" s="1"/>
      <c r="F34" s="1"/>
    </row>
    <row r="35" spans="1:6" ht="28.8" x14ac:dyDescent="0.3">
      <c r="A35" s="1" t="s">
        <v>82</v>
      </c>
      <c r="B35" s="2">
        <v>0.55000000000000004</v>
      </c>
      <c r="C35" s="2"/>
      <c r="D35" s="1" t="s">
        <v>14</v>
      </c>
      <c r="E35" s="1" t="s">
        <v>68</v>
      </c>
      <c r="F35" s="1"/>
    </row>
    <row r="36" spans="1:6" x14ac:dyDescent="0.3">
      <c r="A36" s="1"/>
      <c r="B36" s="2"/>
      <c r="C36" s="2"/>
      <c r="D36" s="1"/>
      <c r="E36" s="1"/>
      <c r="F36" s="1"/>
    </row>
    <row r="37" spans="1:6" x14ac:dyDescent="0.3">
      <c r="A37" s="3" t="s">
        <v>83</v>
      </c>
      <c r="B37" s="2"/>
      <c r="C37" s="2"/>
      <c r="D37" s="1"/>
      <c r="E37" s="1"/>
      <c r="F37" s="1"/>
    </row>
    <row r="38" spans="1:6" x14ac:dyDescent="0.3">
      <c r="A38" s="1" t="s">
        <v>4</v>
      </c>
      <c r="B38" s="2"/>
      <c r="C38" s="2"/>
      <c r="D38" s="1"/>
      <c r="E38" s="1"/>
      <c r="F38" s="1"/>
    </row>
    <row r="39" spans="1:6" x14ac:dyDescent="0.3">
      <c r="A39" s="1" t="s">
        <v>81</v>
      </c>
      <c r="B39" s="2">
        <f>B34</f>
        <v>105.99999999999996</v>
      </c>
      <c r="C39" s="2"/>
      <c r="D39" s="1" t="s">
        <v>9</v>
      </c>
      <c r="E39" s="1"/>
      <c r="F39" s="1"/>
    </row>
    <row r="40" spans="1:6" ht="57.6" x14ac:dyDescent="0.3">
      <c r="A40" s="1" t="s">
        <v>100</v>
      </c>
      <c r="B40" s="2">
        <v>100</v>
      </c>
      <c r="C40" s="2"/>
      <c r="D40" s="1" t="s">
        <v>9</v>
      </c>
      <c r="E40" s="1" t="s">
        <v>102</v>
      </c>
      <c r="F40" s="1"/>
    </row>
    <row r="41" spans="1:6" ht="28.8" x14ac:dyDescent="0.3">
      <c r="A41" s="1" t="s">
        <v>84</v>
      </c>
      <c r="B41" s="2">
        <f>(170-SUM(B7,B19))*'108 book'!P9</f>
        <v>23.01290257338265</v>
      </c>
      <c r="C41" s="2">
        <f>'Theoretical thermal'!L13</f>
        <v>8.1209999999999987</v>
      </c>
      <c r="D41" s="1" t="s">
        <v>14</v>
      </c>
      <c r="E41" s="24" t="s">
        <v>165</v>
      </c>
      <c r="F41" s="24"/>
    </row>
    <row r="42" spans="1:6" x14ac:dyDescent="0.3">
      <c r="A42" s="1"/>
      <c r="B42" s="2"/>
      <c r="C42" s="2"/>
      <c r="D42" s="1"/>
      <c r="E42" s="1"/>
      <c r="F42" s="1"/>
    </row>
    <row r="43" spans="1:6" x14ac:dyDescent="0.3">
      <c r="A43" s="1" t="s">
        <v>85</v>
      </c>
      <c r="B43" s="2"/>
      <c r="C43" s="2"/>
      <c r="D43" s="1"/>
      <c r="E43" s="1"/>
      <c r="F43" s="1"/>
    </row>
    <row r="44" spans="1:6" x14ac:dyDescent="0.3">
      <c r="A44" s="1" t="s">
        <v>81</v>
      </c>
      <c r="B44" s="2">
        <f>B39</f>
        <v>105.99999999999996</v>
      </c>
      <c r="C44" s="2"/>
      <c r="D44" s="1" t="s">
        <v>9</v>
      </c>
      <c r="E44" s="1"/>
      <c r="F44" s="1"/>
    </row>
    <row r="45" spans="1:6" x14ac:dyDescent="0.3">
      <c r="A45" s="1" t="s">
        <v>86</v>
      </c>
      <c r="B45" s="2">
        <f>B40</f>
        <v>100</v>
      </c>
      <c r="C45" s="2"/>
      <c r="D45" s="1" t="s">
        <v>9</v>
      </c>
      <c r="E45" s="1"/>
      <c r="F45" s="1"/>
    </row>
    <row r="46" spans="1:6" ht="86.4" x14ac:dyDescent="0.3">
      <c r="A46" s="1" t="s">
        <v>87</v>
      </c>
      <c r="B46" s="2">
        <f>B41</f>
        <v>23.01290257338265</v>
      </c>
      <c r="C46" s="2"/>
      <c r="D46" s="1" t="s">
        <v>14</v>
      </c>
      <c r="E46" s="1" t="s">
        <v>88</v>
      </c>
      <c r="F46" s="1" t="s">
        <v>89</v>
      </c>
    </row>
    <row r="47" spans="1:6" x14ac:dyDescent="0.3">
      <c r="A47" s="1"/>
      <c r="B47" s="2"/>
      <c r="C47" s="2"/>
      <c r="D47" s="1"/>
      <c r="E47" s="1"/>
      <c r="F47" s="1"/>
    </row>
    <row r="48" spans="1:6" x14ac:dyDescent="0.3">
      <c r="A48" s="3" t="s">
        <v>18</v>
      </c>
      <c r="B48" s="2"/>
      <c r="C48" s="2"/>
      <c r="D48" s="1"/>
      <c r="E48" s="1"/>
      <c r="F48" s="1"/>
    </row>
    <row r="49" spans="1:6" x14ac:dyDescent="0.3">
      <c r="A49" s="1" t="s">
        <v>4</v>
      </c>
      <c r="B49" s="2"/>
      <c r="C49" s="2"/>
      <c r="D49" s="1"/>
      <c r="E49" s="1"/>
      <c r="F49" s="1"/>
    </row>
    <row r="50" spans="1:6" x14ac:dyDescent="0.3">
      <c r="A50" s="1" t="s">
        <v>81</v>
      </c>
      <c r="B50" s="2">
        <f>B55</f>
        <v>106</v>
      </c>
      <c r="C50" s="2"/>
      <c r="D50" s="1" t="s">
        <v>9</v>
      </c>
      <c r="E50" s="1"/>
      <c r="F50" s="1"/>
    </row>
    <row r="51" spans="1:6" ht="28.8" x14ac:dyDescent="0.3">
      <c r="A51" s="1" t="s">
        <v>101</v>
      </c>
      <c r="B51" s="2">
        <v>16</v>
      </c>
      <c r="C51" s="2"/>
      <c r="D51" s="1" t="s">
        <v>9</v>
      </c>
      <c r="E51" s="1" t="s">
        <v>90</v>
      </c>
      <c r="F51" s="1"/>
    </row>
    <row r="52" spans="1:6" ht="72" x14ac:dyDescent="0.3">
      <c r="A52" s="1" t="s">
        <v>91</v>
      </c>
      <c r="B52" s="2">
        <f>(170-SUM(B7,B19))*'108 book'!P10</f>
        <v>65.661814407749404</v>
      </c>
      <c r="C52" s="2">
        <f>'Theoretical thermal'!M13</f>
        <v>9.1736000000000004</v>
      </c>
      <c r="D52" s="1" t="s">
        <v>14</v>
      </c>
      <c r="E52" s="1" t="s">
        <v>92</v>
      </c>
      <c r="F52" s="1" t="s">
        <v>132</v>
      </c>
    </row>
    <row r="53" spans="1:6" x14ac:dyDescent="0.3">
      <c r="A53" s="1"/>
      <c r="B53" s="2"/>
      <c r="C53" s="2"/>
      <c r="D53" s="1"/>
      <c r="E53" s="1"/>
      <c r="F53" s="1"/>
    </row>
    <row r="54" spans="1:6" x14ac:dyDescent="0.3">
      <c r="A54" s="1" t="s">
        <v>57</v>
      </c>
      <c r="B54" s="2"/>
      <c r="C54" s="2"/>
      <c r="D54" s="1"/>
      <c r="E54" s="1"/>
      <c r="F54" s="1"/>
    </row>
    <row r="55" spans="1:6" x14ac:dyDescent="0.3">
      <c r="A55" s="1" t="s">
        <v>81</v>
      </c>
      <c r="B55" s="2">
        <v>106</v>
      </c>
      <c r="C55" s="2"/>
      <c r="D55" s="1" t="s">
        <v>9</v>
      </c>
      <c r="E55" s="1" t="s">
        <v>93</v>
      </c>
      <c r="F55" s="1"/>
    </row>
    <row r="56" spans="1:6" x14ac:dyDescent="0.3">
      <c r="A56" s="1" t="s">
        <v>86</v>
      </c>
      <c r="B56" s="2">
        <f>B51</f>
        <v>16</v>
      </c>
      <c r="C56" s="2"/>
      <c r="D56" s="1" t="s">
        <v>9</v>
      </c>
      <c r="E56" s="1"/>
      <c r="F56" s="1"/>
    </row>
    <row r="57" spans="1:6" x14ac:dyDescent="0.3">
      <c r="A57" s="1" t="s">
        <v>87</v>
      </c>
      <c r="B57" s="2">
        <f>B52</f>
        <v>65.661814407749404</v>
      </c>
      <c r="C57" s="2"/>
      <c r="D57" s="1" t="s">
        <v>14</v>
      </c>
      <c r="E57" s="1" t="s">
        <v>94</v>
      </c>
      <c r="F57" s="1"/>
    </row>
    <row r="58" spans="1:6" x14ac:dyDescent="0.3">
      <c r="A58" s="1"/>
      <c r="B58" s="2"/>
      <c r="C58" s="2"/>
      <c r="D58" s="1"/>
      <c r="E58" s="1"/>
      <c r="F58" s="1"/>
    </row>
    <row r="59" spans="1:6" x14ac:dyDescent="0.3">
      <c r="A59" s="1"/>
      <c r="B59" s="2"/>
      <c r="C59" s="2"/>
      <c r="D59" s="1"/>
      <c r="E59" s="1"/>
      <c r="F59" s="1"/>
    </row>
    <row r="60" spans="1:6" x14ac:dyDescent="0.3">
      <c r="A60" s="1"/>
      <c r="B60" s="2"/>
      <c r="C60" s="2"/>
      <c r="D60" s="1"/>
      <c r="E60" s="1"/>
      <c r="F60" s="1"/>
    </row>
    <row r="61" spans="1:6" ht="28.8" x14ac:dyDescent="0.3">
      <c r="A61" s="1" t="s">
        <v>95</v>
      </c>
      <c r="B61" s="2">
        <f>SUM(B7,B19,B41,B52)</f>
        <v>170</v>
      </c>
      <c r="C61" s="2">
        <f>SUM(C52,C41,C19,C7)</f>
        <v>50.524292075471685</v>
      </c>
      <c r="D61" s="1" t="s">
        <v>14</v>
      </c>
      <c r="E61" s="1" t="s">
        <v>96</v>
      </c>
      <c r="F61" s="1"/>
    </row>
    <row r="62" spans="1:6" x14ac:dyDescent="0.3">
      <c r="A62" s="1" t="s">
        <v>346</v>
      </c>
      <c r="B62" s="12">
        <f>SUM(B13,B26,B46,B57)</f>
        <v>170</v>
      </c>
      <c r="C62" s="2"/>
      <c r="D62" s="1"/>
      <c r="E62" s="1"/>
      <c r="F62" s="1"/>
    </row>
    <row r="63" spans="1:6" x14ac:dyDescent="0.3">
      <c r="C63" s="16">
        <f>170*250000</f>
        <v>42500000</v>
      </c>
      <c r="D63" s="16" t="s">
        <v>414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0"/>
  <sheetViews>
    <sheetView topLeftCell="A40" workbookViewId="0">
      <selection activeCell="A46" sqref="A46:I52"/>
    </sheetView>
  </sheetViews>
  <sheetFormatPr defaultRowHeight="14.4" x14ac:dyDescent="0.3"/>
  <cols>
    <col min="1" max="1" width="29.21875" customWidth="1"/>
    <col min="2" max="2" width="20.6640625" customWidth="1"/>
    <col min="3" max="3" width="26.33203125" customWidth="1"/>
    <col min="4" max="4" width="28" customWidth="1"/>
    <col min="5" max="6" width="18.21875" customWidth="1"/>
    <col min="7" max="7" width="12.6640625" customWidth="1"/>
    <col min="8" max="8" width="18.109375" customWidth="1"/>
    <col min="9" max="9" width="35.44140625" customWidth="1"/>
  </cols>
  <sheetData>
    <row r="1" spans="1:8" x14ac:dyDescent="0.3">
      <c r="A1" s="23" t="s">
        <v>326</v>
      </c>
      <c r="B1" s="23" t="s">
        <v>278</v>
      </c>
      <c r="C1" s="23" t="s">
        <v>279</v>
      </c>
      <c r="D1" s="23" t="s">
        <v>280</v>
      </c>
      <c r="E1" s="23" t="s">
        <v>318</v>
      </c>
    </row>
    <row r="2" spans="1:8" x14ac:dyDescent="0.3">
      <c r="A2" s="5" t="s">
        <v>281</v>
      </c>
      <c r="B2" s="12">
        <f>'Mass and energy flow'!B19</f>
        <v>39.212075471698121</v>
      </c>
      <c r="C2" s="143">
        <f>B2*$B$5</f>
        <v>9803018.8679245301</v>
      </c>
      <c r="D2" s="12">
        <f>C2/(365*24*$B$6)*948*0.000001</f>
        <v>1.1787496051233455</v>
      </c>
      <c r="E2" s="97">
        <f>B2*948*0.000001</f>
        <v>3.7173047547169817E-2</v>
      </c>
      <c r="F2" s="128">
        <f>D2/SUM(D2:D3)</f>
        <v>0.23065926748057722</v>
      </c>
      <c r="G2" s="54"/>
    </row>
    <row r="3" spans="1:8" x14ac:dyDescent="0.3">
      <c r="A3" s="5" t="s">
        <v>282</v>
      </c>
      <c r="B3" s="12">
        <f>SUM('Mass and energy flow'!B7,'Mass and energy flow'!B41,'Mass and energy flow'!B52)</f>
        <v>130.78792452830186</v>
      </c>
      <c r="C3" s="142">
        <f>B3*$B$5</f>
        <v>32696981.132075466</v>
      </c>
      <c r="D3" s="12">
        <f>C3/(365*24*$B$6)*948*0.000001</f>
        <v>3.9316004709801549</v>
      </c>
      <c r="E3" s="97">
        <f>B3*948*0.000001</f>
        <v>0.12398695245283015</v>
      </c>
      <c r="F3" s="128">
        <f>D3/SUM(D2:D3)</f>
        <v>0.7693407325194227</v>
      </c>
      <c r="G3" s="54"/>
    </row>
    <row r="4" spans="1:8" x14ac:dyDescent="0.3">
      <c r="A4" s="5"/>
      <c r="B4" s="5"/>
      <c r="C4" s="146">
        <f>SUM(C2:C3)/3.6</f>
        <v>11805555.555555556</v>
      </c>
      <c r="D4" s="143">
        <v>9281</v>
      </c>
      <c r="E4" s="5" t="s">
        <v>415</v>
      </c>
      <c r="F4" s="12" t="s">
        <v>416</v>
      </c>
      <c r="G4" t="s">
        <v>417</v>
      </c>
      <c r="H4" s="144">
        <v>329478.28214899998</v>
      </c>
    </row>
    <row r="5" spans="1:8" x14ac:dyDescent="0.3">
      <c r="A5" s="5" t="s">
        <v>283</v>
      </c>
      <c r="B5" s="76">
        <v>250000</v>
      </c>
      <c r="C5" s="5" t="s">
        <v>229</v>
      </c>
      <c r="D5" s="5"/>
      <c r="E5" s="5"/>
      <c r="F5" s="5"/>
      <c r="H5">
        <f>H4*293.07</f>
        <v>96560200.149407417</v>
      </c>
    </row>
    <row r="6" spans="1:8" x14ac:dyDescent="0.3">
      <c r="A6" s="5" t="s">
        <v>284</v>
      </c>
      <c r="B6" s="11">
        <v>0.9</v>
      </c>
      <c r="D6" s="5" t="s">
        <v>201</v>
      </c>
      <c r="E6" s="5"/>
      <c r="F6" s="5"/>
    </row>
    <row r="7" spans="1:8" ht="28.8" x14ac:dyDescent="0.3">
      <c r="A7" s="15" t="s">
        <v>285</v>
      </c>
      <c r="B7" s="11">
        <v>1</v>
      </c>
      <c r="D7" s="5" t="s">
        <v>286</v>
      </c>
      <c r="E7" s="5"/>
      <c r="F7" s="5"/>
    </row>
    <row r="8" spans="1:8" x14ac:dyDescent="0.3">
      <c r="A8" s="5" t="s">
        <v>287</v>
      </c>
      <c r="B8" s="11">
        <v>0.8</v>
      </c>
      <c r="D8" s="5" t="s">
        <v>286</v>
      </c>
      <c r="E8" s="5"/>
      <c r="F8" s="5"/>
    </row>
    <row r="9" spans="1:8" ht="28.8" x14ac:dyDescent="0.3">
      <c r="A9" s="15" t="s">
        <v>292</v>
      </c>
      <c r="B9" s="11">
        <v>0.82</v>
      </c>
      <c r="D9" s="5" t="s">
        <v>306</v>
      </c>
      <c r="E9" s="5"/>
      <c r="F9" s="5"/>
    </row>
    <row r="10" spans="1:8" x14ac:dyDescent="0.3">
      <c r="A10" s="5" t="s">
        <v>288</v>
      </c>
      <c r="B10" s="11">
        <v>1</v>
      </c>
      <c r="D10" s="5"/>
      <c r="E10" s="5"/>
      <c r="F10" s="5"/>
    </row>
    <row r="11" spans="1:8" x14ac:dyDescent="0.3">
      <c r="A11" s="5" t="s">
        <v>323</v>
      </c>
      <c r="B11" s="11">
        <v>0.2</v>
      </c>
      <c r="D11" s="5" t="s">
        <v>289</v>
      </c>
      <c r="E11" s="5"/>
      <c r="F11" s="5"/>
    </row>
    <row r="12" spans="1:8" x14ac:dyDescent="0.3">
      <c r="A12" s="5" t="s">
        <v>324</v>
      </c>
      <c r="B12" s="11">
        <v>0.2</v>
      </c>
      <c r="D12" s="5"/>
      <c r="E12" s="5"/>
      <c r="F12" s="5"/>
    </row>
    <row r="13" spans="1:8" x14ac:dyDescent="0.3">
      <c r="A13" s="5"/>
      <c r="B13" s="11"/>
      <c r="D13" s="5"/>
      <c r="E13" s="5"/>
      <c r="F13" s="5"/>
    </row>
    <row r="14" spans="1:8" x14ac:dyDescent="0.3">
      <c r="A14" s="23" t="s">
        <v>313</v>
      </c>
      <c r="B14" s="11"/>
      <c r="D14" s="5"/>
      <c r="E14" s="5"/>
      <c r="F14" s="5"/>
    </row>
    <row r="15" spans="1:8" ht="28.8" x14ac:dyDescent="0.3">
      <c r="A15" s="95" t="s">
        <v>379</v>
      </c>
      <c r="B15" s="99">
        <v>0.5</v>
      </c>
      <c r="D15" s="4" t="s">
        <v>334</v>
      </c>
    </row>
    <row r="16" spans="1:8" ht="28.8" x14ac:dyDescent="0.3">
      <c r="A16" s="95" t="s">
        <v>380</v>
      </c>
      <c r="B16" s="99">
        <v>0.49</v>
      </c>
    </row>
    <row r="17" spans="1:4" ht="28.8" x14ac:dyDescent="0.3">
      <c r="A17" s="95" t="s">
        <v>314</v>
      </c>
      <c r="B17" s="99">
        <v>5.0000000000000001E-3</v>
      </c>
    </row>
    <row r="18" spans="1:4" ht="28.8" x14ac:dyDescent="0.3">
      <c r="A18" s="96" t="s">
        <v>315</v>
      </c>
      <c r="B18" s="99">
        <v>5.0000000000000001E-3</v>
      </c>
    </row>
    <row r="19" spans="1:4" x14ac:dyDescent="0.3">
      <c r="A19" s="129"/>
      <c r="B19" s="130"/>
    </row>
    <row r="20" spans="1:4" ht="28.8" x14ac:dyDescent="0.3">
      <c r="A20" s="96" t="s">
        <v>386</v>
      </c>
      <c r="B20" s="99">
        <v>0.6</v>
      </c>
      <c r="C20" s="42">
        <f>B15*B20</f>
        <v>0.3</v>
      </c>
      <c r="D20" s="15" t="s">
        <v>390</v>
      </c>
    </row>
    <row r="21" spans="1:4" ht="28.8" x14ac:dyDescent="0.3">
      <c r="A21" s="96" t="s">
        <v>387</v>
      </c>
      <c r="B21" s="131">
        <f>IF((1-B20)*B15&lt;=F2, 1-B20, "please give a bigger percentage for B20")</f>
        <v>0.4</v>
      </c>
      <c r="C21" s="42">
        <f>B15*B21</f>
        <v>0.2</v>
      </c>
      <c r="D21" s="1" t="s">
        <v>391</v>
      </c>
    </row>
    <row r="22" spans="1:4" ht="28.8" x14ac:dyDescent="0.3">
      <c r="A22" s="129" t="s">
        <v>388</v>
      </c>
      <c r="B22" s="131">
        <f>(F3-B17-B15*B20)/B16</f>
        <v>0.94763414799882184</v>
      </c>
      <c r="C22" s="42">
        <f>B16*B22</f>
        <v>0.46434073251942271</v>
      </c>
      <c r="D22" s="1" t="s">
        <v>392</v>
      </c>
    </row>
    <row r="23" spans="1:4" ht="28.8" x14ac:dyDescent="0.3">
      <c r="A23" s="96" t="s">
        <v>389</v>
      </c>
      <c r="B23" s="133">
        <f>1-B22</f>
        <v>5.2365852001178159E-2</v>
      </c>
      <c r="C23" s="42">
        <f>B16*B23</f>
        <v>2.5659267480577296E-2</v>
      </c>
      <c r="D23" s="1" t="s">
        <v>391</v>
      </c>
    </row>
    <row r="24" spans="1:4" x14ac:dyDescent="0.3">
      <c r="A24" s="129"/>
      <c r="B24" s="86"/>
      <c r="C24" s="42">
        <f>SUM(C20:C23)</f>
        <v>0.99</v>
      </c>
      <c r="D24" s="1"/>
    </row>
    <row r="25" spans="1:4" ht="28.8" x14ac:dyDescent="0.3">
      <c r="A25" s="96" t="s">
        <v>383</v>
      </c>
      <c r="B25" s="133">
        <f>B20/SUM(B20,B22)*SUM(B15:B16)</f>
        <v>0.38381163970055548</v>
      </c>
      <c r="C25" s="42"/>
      <c r="D25" s="1"/>
    </row>
    <row r="26" spans="1:4" ht="28.8" x14ac:dyDescent="0.3">
      <c r="A26" s="96" t="s">
        <v>385</v>
      </c>
      <c r="B26" s="133">
        <f>B22/SUM(B20,B22)*SUM(B15:B16)</f>
        <v>0.60618836029944456</v>
      </c>
      <c r="C26" s="42"/>
      <c r="D26" s="1"/>
    </row>
    <row r="27" spans="1:4" ht="28.8" x14ac:dyDescent="0.3">
      <c r="A27" s="96" t="s">
        <v>394</v>
      </c>
      <c r="B27" s="133">
        <f>1-SUM(B25:B26)</f>
        <v>1.0000000000000009E-2</v>
      </c>
      <c r="C27" s="42"/>
      <c r="D27" s="1"/>
    </row>
    <row r="28" spans="1:4" ht="28.8" x14ac:dyDescent="0.3">
      <c r="A28" s="96" t="s">
        <v>384</v>
      </c>
      <c r="B28" s="133">
        <f>B21/SUM(B21,B23)*SUM(B15:B16)</f>
        <v>0.87539764163933542</v>
      </c>
      <c r="C28" s="42"/>
      <c r="D28" s="1"/>
    </row>
    <row r="29" spans="1:4" ht="28.8" x14ac:dyDescent="0.3">
      <c r="A29" s="96" t="s">
        <v>393</v>
      </c>
      <c r="B29" s="133">
        <f>B23/SUM(B21,B23)*SUM(B15:B16)</f>
        <v>0.11460235836066458</v>
      </c>
      <c r="C29" s="42"/>
      <c r="D29" s="1"/>
    </row>
    <row r="30" spans="1:4" ht="28.8" x14ac:dyDescent="0.3">
      <c r="A30" s="96" t="s">
        <v>395</v>
      </c>
      <c r="B30" s="133">
        <f>1-SUM(B28:B29)</f>
        <v>1.0000000000000009E-2</v>
      </c>
      <c r="C30" s="42"/>
      <c r="D30" s="1"/>
    </row>
    <row r="31" spans="1:4" x14ac:dyDescent="0.3">
      <c r="A31" s="129"/>
      <c r="B31" s="86"/>
      <c r="C31" s="42"/>
      <c r="D31" s="1"/>
    </row>
    <row r="32" spans="1:4" x14ac:dyDescent="0.3">
      <c r="A32" s="129"/>
      <c r="B32" s="86"/>
      <c r="C32" s="42"/>
      <c r="D32" s="1"/>
    </row>
    <row r="34" spans="1:10" x14ac:dyDescent="0.3">
      <c r="A34" s="19" t="s">
        <v>57</v>
      </c>
      <c r="B34" s="16"/>
      <c r="C34" s="16"/>
      <c r="D34" s="16"/>
      <c r="E34" s="16"/>
    </row>
    <row r="35" spans="1:10" x14ac:dyDescent="0.3">
      <c r="A35" s="98" t="s">
        <v>312</v>
      </c>
      <c r="B35" s="100">
        <f>IF(B15&lt;7%,0, IF(Replacement!B15&lt;=10%, 21*Replacement!B15-1.74, IF(Replacement!B15&lt;=20%,-6*Replacement!B15^2+2.9*Replacement!B15+0.4, -0.1574*B15^2+0.2697*B15+0.7019)))</f>
        <v>0.7974</v>
      </c>
      <c r="C35" s="98"/>
      <c r="D35" s="98"/>
      <c r="E35" s="98"/>
    </row>
    <row r="36" spans="1:10" x14ac:dyDescent="0.3">
      <c r="A36" s="98" t="s">
        <v>310</v>
      </c>
      <c r="B36" s="101">
        <f>IF(B15&lt;=7%, "All energy will be provided by other methods and please re-enter the percentage", (D2+D3/B7)/B8)</f>
        <v>6.387937595129376</v>
      </c>
      <c r="C36" s="98" t="s">
        <v>316</v>
      </c>
      <c r="D36" s="102">
        <f>(E2+E3/B7)/B8*B15/B35</f>
        <v>0.1263167795334838</v>
      </c>
      <c r="E36" s="98" t="s">
        <v>320</v>
      </c>
      <c r="F36" s="103" t="s">
        <v>335</v>
      </c>
    </row>
    <row r="37" spans="1:10" x14ac:dyDescent="0.3">
      <c r="A37" s="98" t="s">
        <v>311</v>
      </c>
      <c r="B37" s="101">
        <f>(D2+D3/B7)/B8*B16/B10*293</f>
        <v>917.11620053272452</v>
      </c>
      <c r="C37" s="98" t="s">
        <v>317</v>
      </c>
      <c r="D37" s="102">
        <f>(E2+E3/B7)/B8*B16/B10*293</f>
        <v>28.922176499999996</v>
      </c>
      <c r="E37" s="98" t="s">
        <v>319</v>
      </c>
    </row>
    <row r="38" spans="1:10" x14ac:dyDescent="0.3">
      <c r="A38" s="98" t="s">
        <v>321</v>
      </c>
      <c r="B38" s="102">
        <f>(D2+D3/B7)/B8*B17/B11</f>
        <v>0.15969843987823437</v>
      </c>
      <c r="C38" s="98" t="s">
        <v>316</v>
      </c>
      <c r="D38" s="102">
        <f>(E2+E3/B7)/B8*B17/B11</f>
        <v>5.0362499999999991E-3</v>
      </c>
      <c r="E38" s="98" t="s">
        <v>320</v>
      </c>
    </row>
    <row r="39" spans="1:10" x14ac:dyDescent="0.3">
      <c r="A39" s="98" t="s">
        <v>322</v>
      </c>
      <c r="B39" s="102">
        <f>(D2+D3/B7)/B8*B18/B12</f>
        <v>0.15969843987823437</v>
      </c>
      <c r="C39" s="98" t="s">
        <v>316</v>
      </c>
      <c r="D39" s="102">
        <f>(E2+E3/B7)/B8*B18/B12</f>
        <v>5.0362499999999991E-3</v>
      </c>
      <c r="E39" s="98" t="s">
        <v>320</v>
      </c>
    </row>
    <row r="43" spans="1:10" x14ac:dyDescent="0.3">
      <c r="A43" t="s">
        <v>331</v>
      </c>
    </row>
    <row r="45" spans="1:10" x14ac:dyDescent="0.3">
      <c r="A45" s="23" t="s">
        <v>325</v>
      </c>
      <c r="B45" s="5" t="s">
        <v>409</v>
      </c>
      <c r="C45" s="5"/>
      <c r="D45" s="5"/>
      <c r="E45" s="5"/>
      <c r="F45" s="5"/>
      <c r="G45" s="5"/>
      <c r="H45" s="5"/>
    </row>
    <row r="46" spans="1:10" ht="28.8" x14ac:dyDescent="0.3">
      <c r="A46" s="17" t="s">
        <v>327</v>
      </c>
      <c r="B46" s="15" t="s">
        <v>328</v>
      </c>
      <c r="C46" s="15" t="s">
        <v>329</v>
      </c>
      <c r="D46" s="15" t="s">
        <v>330</v>
      </c>
      <c r="E46" s="15" t="s">
        <v>332</v>
      </c>
      <c r="F46" s="15" t="s">
        <v>410</v>
      </c>
      <c r="G46" s="15" t="s">
        <v>377</v>
      </c>
      <c r="H46" s="15" t="s">
        <v>378</v>
      </c>
      <c r="I46" s="15" t="s">
        <v>412</v>
      </c>
    </row>
    <row r="47" spans="1:10" ht="28.8" x14ac:dyDescent="0.3">
      <c r="A47" s="15" t="str">
        <f>Measurements!B56</f>
        <v>Improvement of insulation (hot liquor tank)</v>
      </c>
      <c r="B47" s="46">
        <f>Measurements!C56*'Cost data'!$C$16*Measurements!K56</f>
        <v>0.1167440758293839</v>
      </c>
      <c r="C47" s="46">
        <f>Measurements!I56</f>
        <v>5.1640752647570502E-2</v>
      </c>
      <c r="D47" s="145">
        <f>Measurements!J56</f>
        <v>5.1640752647570502E-4</v>
      </c>
      <c r="E47" s="46">
        <f t="shared" ref="E47:E52" si="0">B47-SUM(C47:D47)</f>
        <v>6.4586915655337696E-2</v>
      </c>
      <c r="F47" s="46">
        <f>E47/Measurements!C56</f>
        <v>3.0755674121589378E-2</v>
      </c>
      <c r="G47" s="12">
        <f>Measurements!C56</f>
        <v>2.1</v>
      </c>
      <c r="H47" s="46">
        <f>D3-($B$3-G47)*$B$5/(365*24*$B$6)*948*0.000001</f>
        <v>6.3127853881278284E-2</v>
      </c>
      <c r="I47" s="1" t="s">
        <v>413</v>
      </c>
      <c r="J47" s="12"/>
    </row>
    <row r="48" spans="1:10" ht="28.8" x14ac:dyDescent="0.3">
      <c r="A48" s="15" t="str">
        <f>Measurements!B63</f>
        <v>preheat of raw water with condensate</v>
      </c>
      <c r="B48" s="46">
        <f>Measurements!C63*'Cost data'!C16*Measurements!K63</f>
        <v>0.74911671469194319</v>
      </c>
      <c r="C48" s="46">
        <f>Measurements!I63</f>
        <v>8.768435004729272E-2</v>
      </c>
      <c r="D48" s="147">
        <f>Measurements!J63</f>
        <v>1.7536870009458544E-3</v>
      </c>
      <c r="E48" s="46">
        <f t="shared" si="0"/>
        <v>0.65967867764370458</v>
      </c>
      <c r="F48" s="46">
        <f>E48/Measurements!C63</f>
        <v>4.8955164735981209E-2</v>
      </c>
      <c r="G48" s="12">
        <f>Measurements!C63</f>
        <v>13.475160000000001</v>
      </c>
      <c r="H48" s="46">
        <f>D2-($B$2-G48)*$B$5/(365*24*$B$6)*948*0.000001</f>
        <v>0.40507520547945219</v>
      </c>
      <c r="I48" s="1" t="s">
        <v>413</v>
      </c>
      <c r="J48" s="12"/>
    </row>
    <row r="49" spans="1:11" ht="28.8" x14ac:dyDescent="0.3">
      <c r="A49" s="15" t="str">
        <f>Measurements!B74</f>
        <v>Heat recovery from washing (heat exchanger)</v>
      </c>
      <c r="B49" s="46">
        <f>Measurements!C74*'Cost data'!C16*Measurements!K74</f>
        <v>0.51173715106308726</v>
      </c>
      <c r="C49" s="46">
        <f>Measurements!I76</f>
        <v>0</v>
      </c>
      <c r="D49" s="147">
        <f>Measurements!J76</f>
        <v>0</v>
      </c>
      <c r="E49" s="46">
        <f t="shared" si="0"/>
        <v>0.51173715106308726</v>
      </c>
      <c r="F49" s="46">
        <f>E49/Measurements!C74</f>
        <v>5.5592417061611381E-2</v>
      </c>
      <c r="G49" s="12">
        <f>Measurements!C74</f>
        <v>9.2051610293530608</v>
      </c>
      <c r="H49" s="46">
        <f>D3-($B$3-G49)*$B$5/(365*24*$B$6)*948*0.000001</f>
        <v>0.27671526686411418</v>
      </c>
      <c r="I49" s="1" t="s">
        <v>413</v>
      </c>
      <c r="J49" s="12"/>
    </row>
    <row r="50" spans="1:11" ht="28.8" x14ac:dyDescent="0.3">
      <c r="A50" s="15" t="str">
        <f>Measurements!B79</f>
        <v>Heat recovery in pasteurization (heat exchanger)</v>
      </c>
      <c r="B50" s="46">
        <f>Measurements!C79*'Cost data'!C16*Measurements!K79</f>
        <v>0.29431279620853085</v>
      </c>
      <c r="C50" s="46">
        <f>Measurements!I79</f>
        <v>3.5698191407233647E-2</v>
      </c>
      <c r="D50" s="147">
        <f>Measurements!J79</f>
        <v>7.1396382814467292E-4</v>
      </c>
      <c r="E50" s="46">
        <f t="shared" si="0"/>
        <v>0.25790064097315252</v>
      </c>
      <c r="F50" s="46">
        <f>E50/Measurements!C79</f>
        <v>4.8714565517151025E-2</v>
      </c>
      <c r="G50" s="12">
        <f>Measurements!C79</f>
        <v>5.2941176470588243</v>
      </c>
      <c r="H50" s="46">
        <f>D3-($B$3-G50)*$B$5/(365*24*$B$6)*948*0.000001</f>
        <v>0.15914585012087068</v>
      </c>
      <c r="I50" s="1" t="s">
        <v>413</v>
      </c>
      <c r="J50" s="12"/>
    </row>
    <row r="51" spans="1:11" ht="28.8" x14ac:dyDescent="0.3">
      <c r="A51" s="15" t="str">
        <f>Measurements!B84</f>
        <v>Improved flue gas monitoring/process control</v>
      </c>
      <c r="B51" s="46">
        <f>Measurements!C84*'Cost data'!C16*Measurements!K84</f>
        <v>0.10300947867298579</v>
      </c>
      <c r="C51" s="46">
        <f>Measurements!I84</f>
        <v>3.3576361892306952E-4</v>
      </c>
      <c r="D51" s="147">
        <f>Measurements!J84</f>
        <v>0</v>
      </c>
      <c r="E51" s="46">
        <f t="shared" si="0"/>
        <v>0.10267371505406273</v>
      </c>
      <c r="F51" s="46">
        <f>E51/Measurements!C79</f>
        <v>1.9393923954656288E-2</v>
      </c>
      <c r="G51" s="12">
        <f>Measurements!C84</f>
        <v>1.8529411764705883</v>
      </c>
      <c r="H51" s="46">
        <f>D3-($B$3-G51)*$B$5/(365*24*$B$6)*948*0.000001</f>
        <v>5.570104754230476E-2</v>
      </c>
      <c r="I51" s="5" t="s">
        <v>408</v>
      </c>
      <c r="J51" s="12">
        <f>G51*$B$5/(365*24*$B$6)*0.00948</f>
        <v>0.55701047542304605</v>
      </c>
      <c r="K51" s="141"/>
    </row>
    <row r="52" spans="1:11" x14ac:dyDescent="0.3">
      <c r="A52" s="15" t="str">
        <f>Measurements!B90</f>
        <v>Automatic steam trap monitoring</v>
      </c>
      <c r="B52" s="46">
        <f>Measurements!C90*'Cost data'!C16*Measurements!K90</f>
        <v>8.3388625592417075E-3</v>
      </c>
      <c r="C52" s="46">
        <f>Measurements!I90</f>
        <v>9.9682126824144355E-4</v>
      </c>
      <c r="D52" s="147">
        <f>Measurements!J90</f>
        <v>9.9682126824144352E-6</v>
      </c>
      <c r="E52" s="46">
        <f t="shared" si="0"/>
        <v>7.3320730783178493E-3</v>
      </c>
      <c r="F52" s="46">
        <f>E52/Measurements!C90</f>
        <v>4.8880487188785654E-2</v>
      </c>
      <c r="G52" s="12">
        <f>Measurements!C90</f>
        <v>0.15000000000000002</v>
      </c>
      <c r="H52" s="46">
        <f>D3-($B$3-G52)*$B$5/(365*24*$B$6)*948*0.000001</f>
        <v>4.5091324200914329E-3</v>
      </c>
      <c r="I52" s="5" t="s">
        <v>408</v>
      </c>
      <c r="J52" s="12">
        <f>G52*$B$5/(365*24*$B$6)*0.00948</f>
        <v>4.5091324200913253E-2</v>
      </c>
      <c r="K52" s="141"/>
    </row>
    <row r="54" spans="1:11" ht="43.2" x14ac:dyDescent="0.3">
      <c r="A54" s="15" t="s">
        <v>381</v>
      </c>
      <c r="B54" s="12">
        <f>SUM(H47,H49:H50)</f>
        <v>0.49898897086626315</v>
      </c>
      <c r="C54" s="136"/>
      <c r="E54" s="46">
        <f>C47*250000</f>
        <v>12910.188161892625</v>
      </c>
    </row>
    <row r="55" spans="1:11" ht="43.2" x14ac:dyDescent="0.3">
      <c r="A55" s="15" t="s">
        <v>382</v>
      </c>
      <c r="B55" s="12">
        <f>SUM(H48,H51:H52)</f>
        <v>0.46528538544184839</v>
      </c>
      <c r="C55" s="46">
        <f>SUM(B54:B55)</f>
        <v>0.96427435630811154</v>
      </c>
      <c r="D55" s="16"/>
      <c r="E55" s="16"/>
      <c r="F55" s="16"/>
    </row>
    <row r="56" spans="1:11" x14ac:dyDescent="0.3">
      <c r="A56" s="15"/>
      <c r="B56" s="12"/>
      <c r="C56" s="46"/>
      <c r="D56" s="16"/>
      <c r="E56" s="16"/>
      <c r="F56" s="16"/>
    </row>
    <row r="57" spans="1:11" x14ac:dyDescent="0.3">
      <c r="A57" s="19" t="s">
        <v>57</v>
      </c>
      <c r="B57" s="16"/>
      <c r="C57" s="139"/>
      <c r="D57" s="16"/>
      <c r="E57" s="16"/>
      <c r="F57" s="16"/>
    </row>
    <row r="58" spans="1:11" ht="28.8" x14ac:dyDescent="0.3">
      <c r="A58" s="134" t="s">
        <v>379</v>
      </c>
      <c r="B58" s="133">
        <f>IF(B54*B28+B55*B25&gt;=SUM(H51:H52), ((D2+D3/B7)/B8*B15-((B54*B28)+B55*B25))/((D2+D3/B7)/B8), "Not enough energy to recover from boilers and please re-enter B15")</f>
        <v>0.40366284800829477</v>
      </c>
      <c r="C58" s="46">
        <f>(D2+D3/B7)/B8*B15+(D2+D3/B7)/B8*B16+(D2+D3/B7)/B8*B17+(D2+D3/B7)/B8*B18</f>
        <v>6.387937595129376</v>
      </c>
      <c r="D58" s="46">
        <f>(B54*B28)+B55*B25</f>
        <v>0.61539571501550661</v>
      </c>
      <c r="E58" s="46"/>
      <c r="F58" s="5"/>
    </row>
    <row r="59" spans="1:11" ht="28.8" x14ac:dyDescent="0.3">
      <c r="A59" s="134" t="s">
        <v>380</v>
      </c>
      <c r="B59" s="135">
        <f>((D2+D3/B7)/B8*B16-(B54*B29)-B55*B26)/((D2+D3/B7)/B8)</f>
        <v>0.43689429997121737</v>
      </c>
      <c r="C59" s="46">
        <f>(C58-E61)/C58</f>
        <v>0.84904762422172941</v>
      </c>
      <c r="D59" s="46">
        <f>(B54*B29)+B55*B26</f>
        <v>0.33923589772952384</v>
      </c>
      <c r="E59" s="46"/>
      <c r="F59" s="5"/>
    </row>
    <row r="60" spans="1:11" ht="28.8" x14ac:dyDescent="0.3">
      <c r="A60" s="95" t="s">
        <v>314</v>
      </c>
      <c r="B60" s="135">
        <f>((D2+D3/B7)/B8*B17-B55*B27)/((D2+D3/B7)/B8)</f>
        <v>4.2716187681660876E-3</v>
      </c>
      <c r="C60" s="5"/>
      <c r="D60" s="46">
        <f>B55*B27</f>
        <v>4.6528538544184884E-3</v>
      </c>
      <c r="E60" s="46"/>
      <c r="F60" s="5"/>
    </row>
    <row r="61" spans="1:11" ht="28.8" x14ac:dyDescent="0.3">
      <c r="A61" s="96" t="s">
        <v>315</v>
      </c>
      <c r="B61" s="135">
        <f>((D2+D3/B7)/B8*B18-B54*B30)/((D2+D3/B7)/B8)</f>
        <v>4.218857474051204E-3</v>
      </c>
      <c r="C61" s="42">
        <f>SUM(B58:B61)</f>
        <v>0.84904762422172941</v>
      </c>
      <c r="D61" s="46">
        <f>B54*B30</f>
        <v>4.9898897086626363E-3</v>
      </c>
      <c r="E61" s="46">
        <f>SUM(D58:D61)</f>
        <v>0.96427435630811165</v>
      </c>
      <c r="F61" s="15" t="s">
        <v>396</v>
      </c>
    </row>
    <row r="62" spans="1:11" x14ac:dyDescent="0.3">
      <c r="A62" s="137"/>
      <c r="B62" s="138"/>
      <c r="C62" s="16"/>
      <c r="D62" s="16"/>
      <c r="E62" s="16"/>
      <c r="F62" s="16"/>
    </row>
    <row r="63" spans="1:11" ht="13.95" customHeight="1" x14ac:dyDescent="0.3">
      <c r="A63" s="132" t="s">
        <v>312</v>
      </c>
      <c r="B63" s="140">
        <f>IF(B58&lt;7%,0, IF(B58&lt;=10%, 21*B58-1.74, IF(B58&lt;=20%,-6*B58^2+2.9*B58+0.4, -0.1574*B58^2+0.2697*B58+0.7019)))</f>
        <v>0.7851205325365318</v>
      </c>
      <c r="C63" s="132"/>
      <c r="D63" s="132"/>
      <c r="E63" s="132"/>
    </row>
    <row r="64" spans="1:11" x14ac:dyDescent="0.3">
      <c r="A64" s="98" t="s">
        <v>310</v>
      </c>
      <c r="B64" s="101">
        <f>IF(B63&lt;=7%, "All energy will be provided by other methods and please re-enter the percentage", (D2+D3/B7)/B8*B58/B63)</f>
        <v>3.2843021876124476</v>
      </c>
      <c r="C64" s="98" t="s">
        <v>316</v>
      </c>
      <c r="D64" s="102">
        <f>(E2+E3/B7)/B8*B15/B63</f>
        <v>0.12829240330090746</v>
      </c>
      <c r="E64" s="98" t="s">
        <v>320</v>
      </c>
    </row>
    <row r="65" spans="1:5" x14ac:dyDescent="0.3">
      <c r="A65" s="98" t="s">
        <v>311</v>
      </c>
      <c r="B65" s="101">
        <f>(D2+D3/B7)/B8*B59/B10*293</f>
        <v>817.72008249797398</v>
      </c>
      <c r="C65" s="98" t="s">
        <v>317</v>
      </c>
      <c r="D65" s="102">
        <f>(E2+E3/B7)/B8*B59/B10*293</f>
        <v>25.787620521656105</v>
      </c>
      <c r="E65" s="98" t="s">
        <v>319</v>
      </c>
    </row>
    <row r="66" spans="1:5" x14ac:dyDescent="0.3">
      <c r="A66" s="98" t="s">
        <v>321</v>
      </c>
      <c r="B66" s="102">
        <f>(D2+D3/B7)/B8*B60/B11</f>
        <v>0.13643417060614191</v>
      </c>
      <c r="C66" s="98" t="s">
        <v>316</v>
      </c>
      <c r="D66" s="102">
        <f>(E2+E3/B7)/B8*B60/B11</f>
        <v>4.3025880042352905E-3</v>
      </c>
      <c r="E66" s="98" t="s">
        <v>320</v>
      </c>
    </row>
    <row r="67" spans="1:5" x14ac:dyDescent="0.3">
      <c r="A67" s="98" t="s">
        <v>322</v>
      </c>
      <c r="B67" s="102">
        <f>(D2+D3/B7)/B8*B61/B12</f>
        <v>0.13474899133492119</v>
      </c>
      <c r="C67" s="98" t="s">
        <v>316</v>
      </c>
      <c r="D67" s="102">
        <f>(E2+E3/B7)/B8*B61/B12</f>
        <v>4.2494441907380744E-3</v>
      </c>
      <c r="E67" s="98" t="s">
        <v>320</v>
      </c>
    </row>
    <row r="71" spans="1:5" x14ac:dyDescent="0.3">
      <c r="A71" s="17"/>
    </row>
    <row r="72" spans="1:5" x14ac:dyDescent="0.3">
      <c r="A72" s="15"/>
    </row>
    <row r="73" spans="1:5" x14ac:dyDescent="0.3">
      <c r="A73" s="15"/>
    </row>
    <row r="74" spans="1:5" x14ac:dyDescent="0.3">
      <c r="A74" s="15"/>
    </row>
    <row r="75" spans="1:5" x14ac:dyDescent="0.3">
      <c r="A75" s="15"/>
    </row>
    <row r="76" spans="1:5" x14ac:dyDescent="0.3">
      <c r="A76" s="15"/>
    </row>
    <row r="77" spans="1:5" x14ac:dyDescent="0.3">
      <c r="A77" s="15"/>
    </row>
    <row r="79" spans="1:5" x14ac:dyDescent="0.3">
      <c r="A79" s="15"/>
    </row>
    <row r="80" spans="1:5" x14ac:dyDescent="0.3">
      <c r="A80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B265-F9C2-4183-B861-21AF8AD34FD4}">
  <dimension ref="A1:I8"/>
  <sheetViews>
    <sheetView tabSelected="1" workbookViewId="0">
      <selection activeCell="C9" sqref="C9"/>
    </sheetView>
  </sheetViews>
  <sheetFormatPr defaultRowHeight="14.4" x14ac:dyDescent="0.3"/>
  <cols>
    <col min="1" max="1" width="57.5546875" customWidth="1"/>
    <col min="2" max="2" width="29.5546875" customWidth="1"/>
    <col min="3" max="3" width="26.5546875" customWidth="1"/>
    <col min="4" max="4" width="15.109375" customWidth="1"/>
    <col min="5" max="5" width="15.21875" customWidth="1"/>
    <col min="6" max="6" width="13.6640625" customWidth="1"/>
    <col min="7" max="7" width="15.33203125" customWidth="1"/>
  </cols>
  <sheetData>
    <row r="1" spans="1:9" x14ac:dyDescent="0.3">
      <c r="A1" t="s">
        <v>327</v>
      </c>
      <c r="B1" t="s">
        <v>328</v>
      </c>
      <c r="C1" t="s">
        <v>329</v>
      </c>
      <c r="D1" t="s">
        <v>330</v>
      </c>
      <c r="E1" t="s">
        <v>332</v>
      </c>
      <c r="F1" t="s">
        <v>410</v>
      </c>
      <c r="G1" t="s">
        <v>377</v>
      </c>
      <c r="H1" t="s">
        <v>378</v>
      </c>
      <c r="I1" t="s">
        <v>412</v>
      </c>
    </row>
    <row r="2" spans="1:9" x14ac:dyDescent="0.3">
      <c r="A2" t="s">
        <v>137</v>
      </c>
      <c r="B2">
        <v>0.1167440758293839</v>
      </c>
      <c r="C2">
        <v>5.1640752647570502E-2</v>
      </c>
      <c r="D2">
        <v>5.1640752647570502E-4</v>
      </c>
      <c r="E2">
        <v>6.4586915655337696E-2</v>
      </c>
      <c r="F2">
        <v>3.0755674121589378E-2</v>
      </c>
      <c r="G2">
        <v>2.1</v>
      </c>
      <c r="H2">
        <v>6.3127853881278284E-2</v>
      </c>
      <c r="I2" t="s">
        <v>413</v>
      </c>
    </row>
    <row r="3" spans="1:9" x14ac:dyDescent="0.3">
      <c r="A3" t="s">
        <v>142</v>
      </c>
      <c r="B3">
        <v>0.74911671469194319</v>
      </c>
      <c r="C3">
        <v>8.768435004729272E-2</v>
      </c>
      <c r="D3">
        <v>1.7536870009458544E-3</v>
      </c>
      <c r="E3">
        <v>0.65967867764370458</v>
      </c>
      <c r="F3">
        <v>4.8955164735981209E-2</v>
      </c>
      <c r="G3">
        <v>13.475160000000001</v>
      </c>
      <c r="H3">
        <v>0.40507520547945219</v>
      </c>
      <c r="I3" t="s">
        <v>413</v>
      </c>
    </row>
    <row r="4" spans="1:9" x14ac:dyDescent="0.3">
      <c r="A4" t="s">
        <v>266</v>
      </c>
      <c r="B4">
        <v>0.51173715106308726</v>
      </c>
      <c r="C4">
        <v>0</v>
      </c>
      <c r="D4">
        <v>0</v>
      </c>
      <c r="E4">
        <v>0.51173715106308726</v>
      </c>
      <c r="F4">
        <v>5.5592417061611381E-2</v>
      </c>
      <c r="G4">
        <v>9.2051610293530608</v>
      </c>
      <c r="H4">
        <v>0.27671526686411418</v>
      </c>
      <c r="I4" t="s">
        <v>413</v>
      </c>
    </row>
    <row r="5" spans="1:9" x14ac:dyDescent="0.3">
      <c r="A5" t="s">
        <v>265</v>
      </c>
      <c r="B5">
        <v>0.29431279620853085</v>
      </c>
      <c r="C5">
        <v>3.5698191407233647E-2</v>
      </c>
      <c r="D5">
        <v>7.1396382814467292E-4</v>
      </c>
      <c r="E5">
        <v>0.25790064097315252</v>
      </c>
      <c r="F5">
        <v>4.8714565517151025E-2</v>
      </c>
      <c r="G5">
        <v>5.2941176470588243</v>
      </c>
      <c r="H5">
        <v>0.15914585012087068</v>
      </c>
      <c r="I5" t="s">
        <v>413</v>
      </c>
    </row>
    <row r="6" spans="1:9" x14ac:dyDescent="0.3">
      <c r="A6" t="s">
        <v>243</v>
      </c>
      <c r="B6">
        <v>0.10300947867298579</v>
      </c>
      <c r="C6">
        <v>3.3576361892306952E-4</v>
      </c>
      <c r="D6">
        <v>0</v>
      </c>
      <c r="E6">
        <v>0.10267371505406273</v>
      </c>
      <c r="F6">
        <v>1.9393923954656288E-2</v>
      </c>
      <c r="G6">
        <v>1.8529411764705883</v>
      </c>
      <c r="H6">
        <v>5.570104754230476E-2</v>
      </c>
      <c r="I6" t="s">
        <v>408</v>
      </c>
    </row>
    <row r="7" spans="1:9" x14ac:dyDescent="0.3">
      <c r="A7" t="s">
        <v>168</v>
      </c>
      <c r="B7">
        <v>8.3388625592417075E-3</v>
      </c>
      <c r="C7">
        <v>9.9682126824144355E-4</v>
      </c>
      <c r="D7">
        <v>9.9682126824144352E-6</v>
      </c>
      <c r="E7">
        <v>7.3320730783178493E-3</v>
      </c>
      <c r="F7">
        <v>4.8880487188785654E-2</v>
      </c>
      <c r="G7">
        <v>0.15000000000000002</v>
      </c>
      <c r="H7">
        <v>4.5091324200914329E-3</v>
      </c>
      <c r="I7" t="s">
        <v>408</v>
      </c>
    </row>
    <row r="8" spans="1:9" x14ac:dyDescent="0.3">
      <c r="C8">
        <f>SUM(C2:C7)*250000</f>
        <v>44088.96974731535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03"/>
  <sheetViews>
    <sheetView workbookViewId="0">
      <selection activeCell="B56" sqref="B56"/>
    </sheetView>
  </sheetViews>
  <sheetFormatPr defaultColWidth="8.77734375" defaultRowHeight="14.4" x14ac:dyDescent="0.3"/>
  <cols>
    <col min="1" max="1" width="8.77734375" style="5"/>
    <col min="2" max="2" width="48.33203125" style="5" customWidth="1"/>
    <col min="3" max="3" width="29.5546875" style="12" customWidth="1"/>
    <col min="4" max="4" width="22.6640625" style="12" customWidth="1"/>
    <col min="5" max="5" width="14.109375" style="42" customWidth="1"/>
    <col min="6" max="6" width="19.77734375" style="12" customWidth="1"/>
    <col min="7" max="7" width="16.21875" style="46" customWidth="1"/>
    <col min="8" max="10" width="18" style="46" customWidth="1"/>
    <col min="11" max="11" width="18.5546875" style="5" customWidth="1"/>
    <col min="12" max="13" width="22" style="46" customWidth="1"/>
    <col min="14" max="14" width="8.77734375" style="5"/>
    <col min="15" max="15" width="29.33203125" style="5" customWidth="1"/>
    <col min="16" max="16" width="60.88671875" style="5" customWidth="1"/>
    <col min="17" max="16384" width="8.77734375" style="5"/>
  </cols>
  <sheetData>
    <row r="2" spans="2:16" x14ac:dyDescent="0.3">
      <c r="G2" s="112" t="s">
        <v>333</v>
      </c>
      <c r="H2" s="113"/>
      <c r="I2" s="113" t="s">
        <v>366</v>
      </c>
      <c r="J2" s="113"/>
    </row>
    <row r="3" spans="2:16" ht="72" x14ac:dyDescent="0.3">
      <c r="B3" s="23" t="s">
        <v>133</v>
      </c>
      <c r="C3" s="22" t="s">
        <v>163</v>
      </c>
      <c r="D3" s="22" t="s">
        <v>336</v>
      </c>
      <c r="E3" s="74" t="s">
        <v>176</v>
      </c>
      <c r="F3" s="22" t="s">
        <v>164</v>
      </c>
      <c r="G3" s="75" t="s">
        <v>138</v>
      </c>
      <c r="H3" s="75" t="s">
        <v>139</v>
      </c>
      <c r="I3" s="114" t="s">
        <v>138</v>
      </c>
      <c r="J3" s="75" t="s">
        <v>139</v>
      </c>
      <c r="K3" s="17" t="s">
        <v>140</v>
      </c>
      <c r="L3" s="75" t="s">
        <v>365</v>
      </c>
      <c r="M3" s="75" t="s">
        <v>376</v>
      </c>
      <c r="N3" s="17" t="s">
        <v>177</v>
      </c>
      <c r="O3" s="17" t="s">
        <v>258</v>
      </c>
      <c r="P3" s="5" t="s">
        <v>412</v>
      </c>
    </row>
    <row r="4" spans="2:16" x14ac:dyDescent="0.3">
      <c r="B4" s="64" t="s">
        <v>15</v>
      </c>
      <c r="C4" s="65"/>
      <c r="D4" s="65"/>
      <c r="E4" s="66"/>
      <c r="F4" s="67"/>
      <c r="G4" s="69"/>
      <c r="H4" s="69"/>
      <c r="I4" s="69"/>
      <c r="J4" s="69"/>
      <c r="K4" s="68"/>
      <c r="L4" s="69"/>
      <c r="M4" s="69"/>
      <c r="N4" s="68"/>
      <c r="O4" s="72"/>
    </row>
    <row r="5" spans="2:16" ht="16.95" customHeight="1" x14ac:dyDescent="0.3">
      <c r="B5" s="15" t="s">
        <v>134</v>
      </c>
      <c r="C5" s="2" t="s">
        <v>166</v>
      </c>
      <c r="D5" s="2"/>
      <c r="G5" s="46" t="s">
        <v>166</v>
      </c>
      <c r="L5" s="46" t="s">
        <v>166</v>
      </c>
      <c r="M5" s="46" t="s">
        <v>166</v>
      </c>
      <c r="O5" s="15"/>
      <c r="P5" s="1" t="s">
        <v>413</v>
      </c>
    </row>
    <row r="6" spans="2:16" ht="28.8" x14ac:dyDescent="0.3">
      <c r="B6" s="15" t="s">
        <v>135</v>
      </c>
      <c r="C6" s="2" t="s">
        <v>166</v>
      </c>
      <c r="D6" s="2"/>
      <c r="G6" s="46" t="s">
        <v>166</v>
      </c>
      <c r="L6" s="46" t="s">
        <v>166</v>
      </c>
      <c r="M6" s="46" t="s">
        <v>166</v>
      </c>
      <c r="O6" s="15"/>
      <c r="P6" s="1" t="s">
        <v>413</v>
      </c>
    </row>
    <row r="7" spans="2:16" ht="28.8" x14ac:dyDescent="0.3">
      <c r="B7" s="15" t="s">
        <v>136</v>
      </c>
      <c r="C7" s="2">
        <f>19*1.055/1.19</f>
        <v>16.844537815126049</v>
      </c>
      <c r="D7" s="41">
        <f>C7/'Mass and energy flow'!$B$13</f>
        <v>0.44924214921239836</v>
      </c>
      <c r="E7" s="42">
        <f>C7/170</f>
        <v>9.908551655956499E-2</v>
      </c>
      <c r="F7" s="12">
        <v>2</v>
      </c>
      <c r="G7" s="46">
        <f>C7*'Cost data'!$C$7*Measurements!F7</f>
        <v>0.17531092436974788</v>
      </c>
      <c r="H7" s="46">
        <f>G7*4%</f>
        <v>7.0124369747899149E-3</v>
      </c>
      <c r="I7" s="46">
        <f>G7*'Cost data'!G8/'Cost data'!G7</f>
        <v>0.247847348710172</v>
      </c>
      <c r="J7" s="46">
        <f>I7*4%</f>
        <v>9.9138939484068808E-3</v>
      </c>
      <c r="K7" s="5">
        <v>1</v>
      </c>
      <c r="L7" s="46">
        <f>G7*('Cost data'!$B$2/(1-(1+'Cost data'!$B$2)^(-Measurements!K7)))+Measurements!H7</f>
        <v>0.19108890756302502</v>
      </c>
      <c r="M7" s="46">
        <f>I7*('Cost data'!$B$2/(1-(1+'Cost data'!$B$2)^(-Measurements!K7)))+J7</f>
        <v>0.27015361009408717</v>
      </c>
      <c r="N7" s="5" t="s">
        <v>262</v>
      </c>
      <c r="O7" s="15" t="s">
        <v>259</v>
      </c>
      <c r="P7" s="1" t="s">
        <v>413</v>
      </c>
    </row>
    <row r="8" spans="2:16" ht="43.2" x14ac:dyDescent="0.3">
      <c r="B8" s="15" t="s">
        <v>137</v>
      </c>
      <c r="C8" s="2">
        <v>2.1</v>
      </c>
      <c r="D8" s="41">
        <f>C8/'Mass and energy flow'!$B$13</f>
        <v>5.6006791263745755E-2</v>
      </c>
      <c r="E8" s="42">
        <f>C8/170</f>
        <v>1.2352941176470589E-2</v>
      </c>
      <c r="F8" s="12">
        <f>1/0.28</f>
        <v>3.5714285714285712</v>
      </c>
      <c r="G8" s="46">
        <f>C8*'Cost data'!$C$7*Measurements!F8</f>
        <v>3.9028436018957342E-2</v>
      </c>
      <c r="H8" s="46">
        <f>G8*1%</f>
        <v>3.9028436018957344E-4</v>
      </c>
      <c r="I8" s="46">
        <f>G8*'Cost data'!H8/'Cost data'!H7</f>
        <v>5.1640752647570502E-2</v>
      </c>
      <c r="J8" s="46">
        <f>I8*1%</f>
        <v>5.1640752647570502E-4</v>
      </c>
      <c r="K8" s="5">
        <v>15</v>
      </c>
      <c r="L8" s="46">
        <f>G8*('Cost data'!$B$2/(1-(1+'Cost data'!$B$2)^(-Measurements!K8)))+Measurements!H8</f>
        <v>4.1503731680669542E-3</v>
      </c>
      <c r="M8" s="46">
        <f>I8*('Cost data'!$B$2/(1-(1+'Cost data'!$B$2)^(-Measurements!K8)))+J8</f>
        <v>5.4915957704057905E-3</v>
      </c>
      <c r="N8" s="5" t="s">
        <v>24</v>
      </c>
      <c r="O8" s="15" t="s">
        <v>260</v>
      </c>
      <c r="P8" s="1" t="s">
        <v>413</v>
      </c>
    </row>
    <row r="9" spans="2:16" ht="43.2" x14ac:dyDescent="0.3">
      <c r="B9" s="15" t="s">
        <v>159</v>
      </c>
      <c r="C9" s="63">
        <f>12.6*'Mass and energy flow'!B12</f>
        <v>128.3773584905658</v>
      </c>
      <c r="D9" s="41">
        <f>C9/'Mass and energy flow'!$B$13</f>
        <v>3.4238113904629413</v>
      </c>
      <c r="E9" s="42">
        <f>C9/170</f>
        <v>0.75516093229744585</v>
      </c>
      <c r="F9" s="12">
        <v>3.7</v>
      </c>
      <c r="G9" s="46">
        <f>C9*'Cost data'!$C$7*Measurements!F9</f>
        <v>2.4717813109183537</v>
      </c>
      <c r="H9" s="46">
        <f>G9*4%</f>
        <v>9.8871252436734156E-2</v>
      </c>
      <c r="I9" s="46">
        <f>G9*'Cost data'!I8/'Cost data'!I7</f>
        <v>2.5762426570108485</v>
      </c>
      <c r="J9" s="46">
        <f>I9*4%</f>
        <v>0.10304970628043394</v>
      </c>
      <c r="K9" s="5">
        <v>20</v>
      </c>
      <c r="L9" s="46">
        <f>G9*('Cost data'!$B$2/(1-(1+'Cost data'!$B$2)^(-Measurements!K9)))+Measurements!H9</f>
        <v>0.29721337979442142</v>
      </c>
      <c r="M9" s="46">
        <f>I9*('Cost data'!$B$2/(1-(1+'Cost data'!$B$2)^(-Measurements!K9)))+J9</f>
        <v>0.30977408231000525</v>
      </c>
      <c r="N9" s="5" t="s">
        <v>274</v>
      </c>
      <c r="O9" s="15" t="s">
        <v>275</v>
      </c>
      <c r="P9" s="1" t="s">
        <v>413</v>
      </c>
    </row>
    <row r="10" spans="2:16" x14ac:dyDescent="0.3">
      <c r="B10" s="70" t="s">
        <v>16</v>
      </c>
      <c r="C10" s="71"/>
      <c r="D10" s="71"/>
      <c r="E10" s="66"/>
      <c r="F10" s="67"/>
      <c r="G10" s="69"/>
      <c r="H10" s="69"/>
      <c r="I10" s="69"/>
      <c r="J10" s="69"/>
      <c r="K10" s="68"/>
      <c r="L10" s="69"/>
      <c r="M10" s="69"/>
      <c r="N10" s="68"/>
      <c r="O10" s="72"/>
    </row>
    <row r="11" spans="2:16" ht="28.8" x14ac:dyDescent="0.3">
      <c r="B11" s="15" t="s">
        <v>141</v>
      </c>
      <c r="C11" s="2">
        <v>14.6</v>
      </c>
      <c r="D11" s="41">
        <f>C11/'Mass and energy flow'!$B$26</f>
        <v>0.33310646966118063</v>
      </c>
      <c r="E11" s="42">
        <f t="shared" ref="E11:E19" si="0">C11/170</f>
        <v>8.5882352941176465E-2</v>
      </c>
      <c r="F11" s="12">
        <f>AVERAGE(2,5)</f>
        <v>3.5</v>
      </c>
      <c r="G11" s="46">
        <f>C11*'Cost data'!$C$7*Measurements!F11</f>
        <v>0.26591374407582941</v>
      </c>
      <c r="H11" s="46">
        <f>G11*4%</f>
        <v>1.0636549763033177E-2</v>
      </c>
      <c r="I11" s="46">
        <f>G11*'Cost data'!J8/'Cost data'!J7</f>
        <v>0.34456687639404299</v>
      </c>
      <c r="J11" s="46">
        <f>I11*4%</f>
        <v>1.3782675055761719E-2</v>
      </c>
      <c r="K11" s="5">
        <v>15</v>
      </c>
      <c r="L11" s="46">
        <f>G11*('Cost data'!$B$2/(1-(1+'Cost data'!$B$2)^(-Measurements!K11)))+Measurements!H11</f>
        <v>3.6255288174037739E-2</v>
      </c>
      <c r="M11" s="46">
        <f>I11*('Cost data'!$B$2/(1-(1+'Cost data'!$B$2)^(-Measurements!K11)))+J11</f>
        <v>4.6979036161935564E-2</v>
      </c>
      <c r="N11" s="5" t="s">
        <v>205</v>
      </c>
      <c r="O11" s="15"/>
      <c r="P11" s="1" t="s">
        <v>413</v>
      </c>
    </row>
    <row r="12" spans="2:16" ht="43.2" x14ac:dyDescent="0.3">
      <c r="B12" s="15" t="s">
        <v>142</v>
      </c>
      <c r="C12" s="2">
        <f>935775*3.6/250000</f>
        <v>13.475160000000001</v>
      </c>
      <c r="D12" s="41">
        <f>C12/'Mass and energy flow'!$B$26</f>
        <v>0.30744266956983257</v>
      </c>
      <c r="E12" s="42">
        <f t="shared" si="0"/>
        <v>7.9265647058823538E-2</v>
      </c>
      <c r="F12" s="12">
        <v>0.98</v>
      </c>
      <c r="G12" s="46">
        <f>C12*'Cost data'!$C$7*Measurements!F12</f>
        <v>6.8719484200947881E-2</v>
      </c>
      <c r="H12" s="46">
        <f>G12*2%</f>
        <v>1.3743896840189577E-3</v>
      </c>
      <c r="I12" s="46">
        <f>G12*'Cost data'!K8/'Cost data'!K7</f>
        <v>8.768435004729272E-2</v>
      </c>
      <c r="J12" s="46">
        <f>I12*2%</f>
        <v>1.7536870009458544E-3</v>
      </c>
      <c r="K12" s="5">
        <v>15</v>
      </c>
      <c r="L12" s="46">
        <f>G12*('Cost data'!$B$2/(1-(1+'Cost data'!$B$2)^(-Measurements!K12)))+Measurements!H12</f>
        <v>7.9949819952656025E-3</v>
      </c>
      <c r="M12" s="46">
        <f>I12*('Cost data'!$B$2/(1-(1+'Cost data'!$B$2)^(-Measurements!K12)))+J12</f>
        <v>1.0201397872031791E-2</v>
      </c>
      <c r="N12" s="5" t="s">
        <v>24</v>
      </c>
      <c r="O12" s="15" t="s">
        <v>261</v>
      </c>
      <c r="P12" s="1" t="s">
        <v>413</v>
      </c>
    </row>
    <row r="13" spans="2:16" ht="43.2" x14ac:dyDescent="0.3">
      <c r="B13" s="15" t="s">
        <v>143</v>
      </c>
      <c r="C13" s="2">
        <f>17*1.055/1.19</f>
        <v>15.071428571428571</v>
      </c>
      <c r="D13" s="41">
        <f>C13/'Mass and energy flow'!$B$26</f>
        <v>0.34386235371090568</v>
      </c>
      <c r="E13" s="42">
        <f t="shared" si="0"/>
        <v>8.8655462184873954E-2</v>
      </c>
      <c r="F13" s="12">
        <v>3.5</v>
      </c>
      <c r="G13" s="46">
        <f>C13*'Cost data'!$C$7*Measurements!F13</f>
        <v>0.27450000000000002</v>
      </c>
      <c r="H13" s="46">
        <f>G13*4%</f>
        <v>1.0980000000000002E-2</v>
      </c>
      <c r="I13" s="46">
        <f>G13*'Cost data'!L8/'Cost data'!L7</f>
        <v>0.31677245804540977</v>
      </c>
      <c r="J13" s="46">
        <f>I13*2%</f>
        <v>6.3354491609081956E-3</v>
      </c>
      <c r="K13" s="5">
        <v>15</v>
      </c>
      <c r="L13" s="46">
        <f>G13*('Cost data'!$B$2/(1-(1+'Cost data'!$B$2)^(-Measurements!K13)))+Measurements!H13</f>
        <v>3.7425957948737584E-2</v>
      </c>
      <c r="M13" s="46">
        <f>I13*('Cost data'!$B$2/(1-(1+'Cost data'!$B$2)^(-Measurements!K13)))+J13</f>
        <v>3.6854032420606357E-2</v>
      </c>
      <c r="N13" s="5" t="s">
        <v>205</v>
      </c>
      <c r="O13" s="15" t="s">
        <v>267</v>
      </c>
      <c r="P13" s="1" t="s">
        <v>413</v>
      </c>
    </row>
    <row r="14" spans="2:16" ht="43.2" x14ac:dyDescent="0.3">
      <c r="B14" s="15" t="s">
        <v>144</v>
      </c>
      <c r="C14" s="2">
        <f>23*1.05/1.19</f>
        <v>20.294117647058826</v>
      </c>
      <c r="D14" s="41">
        <f>C14/'Mass and energy flow'!$B$26</f>
        <v>0.46302067700687888</v>
      </c>
      <c r="E14" s="42">
        <f t="shared" si="0"/>
        <v>0.1193771626297578</v>
      </c>
      <c r="F14" s="2">
        <v>5</v>
      </c>
      <c r="G14" s="46">
        <f>C14*'Cost data'!$C$7*Measurements!F14</f>
        <v>0.52803178143295249</v>
      </c>
      <c r="H14" s="46">
        <f>G14*4%</f>
        <v>2.1121271257318101E-2</v>
      </c>
      <c r="I14" s="46">
        <f>G14*'Cost data'!L8/'Cost data'!L7</f>
        <v>0.60934763326270625</v>
      </c>
      <c r="J14" s="46">
        <f>I14*4%</f>
        <v>2.4373905330508251E-2</v>
      </c>
      <c r="K14" s="5">
        <v>15</v>
      </c>
      <c r="L14" s="46">
        <f>G14*('Cost data'!$B$2/(1-(1+'Cost data'!$B$2)^(-Measurements!K14)))+Measurements!H14</f>
        <v>7.1993061010953277E-2</v>
      </c>
      <c r="M14" s="46">
        <f>I14*('Cost data'!$B$2/(1-(1+'Cost data'!$B$2)^(-Measurements!K14)))+J14</f>
        <v>8.3079850268316255E-2</v>
      </c>
      <c r="N14" s="5" t="s">
        <v>205</v>
      </c>
      <c r="O14" s="15" t="s">
        <v>268</v>
      </c>
      <c r="P14" s="1" t="s">
        <v>413</v>
      </c>
    </row>
    <row r="15" spans="2:16" x14ac:dyDescent="0.3">
      <c r="B15" s="15" t="s">
        <v>145</v>
      </c>
      <c r="C15" s="2">
        <f>AVERAGE(32,40)*1.05/1.19</f>
        <v>31.764705882352946</v>
      </c>
      <c r="D15" s="41">
        <f>C15/'Mass and energy flow'!$B$26</f>
        <v>0.72472801618467997</v>
      </c>
      <c r="E15" s="42">
        <f t="shared" si="0"/>
        <v>0.18685121107266439</v>
      </c>
      <c r="F15" s="12" t="s">
        <v>166</v>
      </c>
      <c r="K15" s="5">
        <v>15</v>
      </c>
      <c r="L15" s="46" t="s">
        <v>166</v>
      </c>
      <c r="N15" s="5" t="s">
        <v>205</v>
      </c>
      <c r="O15" s="15"/>
      <c r="P15" s="1" t="s">
        <v>413</v>
      </c>
    </row>
    <row r="16" spans="2:16" ht="43.2" x14ac:dyDescent="0.3">
      <c r="B16" s="15" t="s">
        <v>146</v>
      </c>
      <c r="C16" s="2">
        <f>AVERAGE(20,42)*1.05/1.19</f>
        <v>27.352941176470594</v>
      </c>
      <c r="D16" s="41">
        <f>C16/'Mass and energy flow'!$B$26</f>
        <v>0.62407134727014113</v>
      </c>
      <c r="E16" s="42">
        <f t="shared" si="0"/>
        <v>0.16089965397923878</v>
      </c>
      <c r="F16" s="12" t="s">
        <v>166</v>
      </c>
      <c r="K16" s="5">
        <v>15</v>
      </c>
      <c r="L16" s="46" t="s">
        <v>166</v>
      </c>
      <c r="N16" s="5" t="s">
        <v>205</v>
      </c>
      <c r="O16" s="15" t="s">
        <v>269</v>
      </c>
      <c r="P16" s="1" t="s">
        <v>413</v>
      </c>
    </row>
    <row r="17" spans="2:16" x14ac:dyDescent="0.3">
      <c r="B17" s="15" t="s">
        <v>147</v>
      </c>
      <c r="C17" s="2">
        <f>17*1.05/1.19</f>
        <v>15.000000000000002</v>
      </c>
      <c r="D17" s="41">
        <f>C17/'Mass and energy flow'!$B$26</f>
        <v>0.34223267430943222</v>
      </c>
      <c r="E17" s="42">
        <f t="shared" si="0"/>
        <v>8.8235294117647065E-2</v>
      </c>
      <c r="F17" s="12">
        <v>3</v>
      </c>
      <c r="G17" s="46">
        <f>C17*'Cost data'!$C$7*Measurements!F17</f>
        <v>0.2341706161137441</v>
      </c>
      <c r="H17" s="46">
        <f>G17*4%</f>
        <v>9.3668246445497635E-3</v>
      </c>
      <c r="I17" s="46">
        <f>G17*'Cost data'!J8/'Cost data'!J7</f>
        <v>0.30343462696148599</v>
      </c>
      <c r="J17" s="46">
        <f>I17*4%</f>
        <v>1.2137385078459439E-2</v>
      </c>
      <c r="K17" s="5">
        <v>15</v>
      </c>
      <c r="L17" s="46">
        <f>G17*('Cost data'!$B$2/(1-(1+'Cost data'!$B$2)^(-Measurements!K17)))+Measurements!H17</f>
        <v>3.1927357491814051E-2</v>
      </c>
      <c r="N17" s="5" t="s">
        <v>205</v>
      </c>
      <c r="O17" s="15"/>
      <c r="P17" s="1" t="s">
        <v>413</v>
      </c>
    </row>
    <row r="18" spans="2:16" ht="43.2" x14ac:dyDescent="0.3">
      <c r="B18" s="15" t="s">
        <v>148</v>
      </c>
      <c r="C18" s="2">
        <f>14.2</f>
        <v>14.2</v>
      </c>
      <c r="D18" s="41">
        <f>C18/'Mass and energy flow'!$B$26</f>
        <v>0.32398026501292909</v>
      </c>
      <c r="E18" s="42">
        <f t="shared" si="0"/>
        <v>8.352941176470588E-2</v>
      </c>
      <c r="F18" s="12">
        <v>3</v>
      </c>
      <c r="G18" s="46">
        <f>C18*'Cost data'!$C$7*Measurements!F18</f>
        <v>0.22168151658767771</v>
      </c>
      <c r="H18" s="46">
        <f>G18*4%</f>
        <v>8.8672606635071087E-3</v>
      </c>
      <c r="I18" s="46">
        <f>G18*'Cost data'!M8/'Cost data'!M7</f>
        <v>0.23105012437036654</v>
      </c>
      <c r="J18" s="46">
        <f>I18*4%</f>
        <v>9.2420049748146611E-3</v>
      </c>
      <c r="K18" s="5">
        <v>15</v>
      </c>
      <c r="L18" s="46">
        <f>G18*('Cost data'!$B$2/(1-(1+'Cost data'!$B$2)^(-Measurements!K18)))+Measurements!H18</f>
        <v>3.0224565092250633E-2</v>
      </c>
      <c r="N18" s="5" t="s">
        <v>205</v>
      </c>
      <c r="O18" s="15" t="s">
        <v>270</v>
      </c>
      <c r="P18" s="1" t="s">
        <v>413</v>
      </c>
    </row>
    <row r="19" spans="2:16" ht="43.2" x14ac:dyDescent="0.3">
      <c r="B19" s="15" t="s">
        <v>150</v>
      </c>
      <c r="C19" s="2">
        <f>15*3.6</f>
        <v>54</v>
      </c>
      <c r="D19" s="41">
        <f>C19/'Mass and energy flow'!$B$26</f>
        <v>1.232037627513956</v>
      </c>
      <c r="E19" s="42">
        <f t="shared" si="0"/>
        <v>0.31764705882352939</v>
      </c>
      <c r="F19" s="12" t="s">
        <v>166</v>
      </c>
      <c r="K19" s="5">
        <v>15</v>
      </c>
      <c r="L19" s="46" t="s">
        <v>166</v>
      </c>
      <c r="O19" s="15"/>
    </row>
    <row r="20" spans="2:16" x14ac:dyDescent="0.3">
      <c r="B20" s="70" t="s">
        <v>151</v>
      </c>
      <c r="C20" s="71"/>
      <c r="D20" s="71"/>
      <c r="E20" s="66"/>
      <c r="F20" s="67"/>
      <c r="G20" s="69"/>
      <c r="H20" s="69"/>
      <c r="I20" s="69"/>
      <c r="J20" s="69"/>
      <c r="K20" s="68"/>
      <c r="L20" s="69"/>
      <c r="M20" s="69"/>
      <c r="N20" s="68"/>
      <c r="O20" s="15"/>
    </row>
    <row r="21" spans="2:16" x14ac:dyDescent="0.3">
      <c r="B21" s="15" t="s">
        <v>266</v>
      </c>
      <c r="C21" s="2">
        <f>40%*'Mass and energy flow'!B41</f>
        <v>9.2051610293530608</v>
      </c>
      <c r="D21" s="41">
        <f>C21/'Mass and energy flow'!$B$46</f>
        <v>0.4</v>
      </c>
      <c r="E21" s="42">
        <f>C21/170</f>
        <v>5.4148006055018003E-2</v>
      </c>
      <c r="F21" s="12">
        <v>3</v>
      </c>
      <c r="G21" s="46">
        <f>C21*'Cost data'!$C$7*Measurements!F21</f>
        <v>0.14370521531132219</v>
      </c>
      <c r="H21" s="46">
        <f>G21*4%</f>
        <v>5.7482086124528873E-3</v>
      </c>
      <c r="I21" s="46">
        <f>G21*'Cost data'!J8/'Cost data'!J7</f>
        <v>0.18621097353747693</v>
      </c>
      <c r="J21" s="46">
        <f>I21*4%</f>
        <v>7.4484389414990774E-3</v>
      </c>
      <c r="K21" s="5">
        <v>15</v>
      </c>
      <c r="L21" s="46">
        <f>G21*('Cost data'!$B$2/(1-(1+'Cost data'!$B$2)^(-Measurements!K21)))+Measurements!H21</f>
        <v>1.9593097796924679E-2</v>
      </c>
      <c r="M21" s="46">
        <f>I21*('Cost data'!$B$2/(1-(1+'Cost data'!$B$2)^(-Measurements!K21)))+J21</f>
        <v>2.5388430110044075E-2</v>
      </c>
      <c r="N21" s="5" t="s">
        <v>205</v>
      </c>
      <c r="P21" s="1" t="s">
        <v>413</v>
      </c>
    </row>
    <row r="22" spans="2:16" x14ac:dyDescent="0.3">
      <c r="B22" s="15" t="s">
        <v>152</v>
      </c>
      <c r="C22" s="2">
        <v>21</v>
      </c>
      <c r="D22" s="41">
        <f>C22/'Mass and energy flow'!$B$46</f>
        <v>0.91253156497908139</v>
      </c>
      <c r="E22" s="42">
        <f>C22/170</f>
        <v>0.12352941176470589</v>
      </c>
      <c r="F22" s="12">
        <v>3.4</v>
      </c>
      <c r="G22" s="46">
        <f>C22*'Cost data'!$C$7*Measurements!F22</f>
        <v>0.37155071090047392</v>
      </c>
      <c r="H22" s="46">
        <f>G22*4%</f>
        <v>1.4862028436018956E-2</v>
      </c>
      <c r="I22" s="46">
        <f>G22*'Cost data'!J8/'Cost data'!J7</f>
        <v>0.48144960811222437</v>
      </c>
      <c r="J22" s="46">
        <f>I22*4%</f>
        <v>1.9257984324488976E-2</v>
      </c>
      <c r="K22" s="5">
        <v>15</v>
      </c>
      <c r="L22" s="46">
        <f>G22*('Cost data'!$B$2/(1-(1+'Cost data'!$B$2)^(-Measurements!K22)))+Measurements!H22</f>
        <v>5.0658073887011622E-2</v>
      </c>
      <c r="M22" s="46">
        <f>I22*('Cost data'!$B$2/(1-(1+'Cost data'!$B$2)^(-Measurements!K22)))+J22</f>
        <v>6.5641940938594892E-2</v>
      </c>
      <c r="N22" s="5" t="s">
        <v>205</v>
      </c>
      <c r="P22" s="1" t="s">
        <v>413</v>
      </c>
    </row>
    <row r="23" spans="2:16" x14ac:dyDescent="0.3">
      <c r="B23" s="15" t="s">
        <v>153</v>
      </c>
      <c r="C23" s="2">
        <f>AVERAGE(8.3,10.8)</f>
        <v>9.5500000000000007</v>
      </c>
      <c r="D23" s="41">
        <f>C23/'Mass and energy flow'!$B$46</f>
        <v>0.41498459264524895</v>
      </c>
      <c r="E23" s="42">
        <f>C23/170</f>
        <v>5.61764705882353E-2</v>
      </c>
      <c r="F23" s="12" t="s">
        <v>166</v>
      </c>
      <c r="K23" s="5">
        <v>15</v>
      </c>
      <c r="L23" s="46" t="s">
        <v>166</v>
      </c>
      <c r="P23" s="1" t="s">
        <v>413</v>
      </c>
    </row>
    <row r="24" spans="2:16" x14ac:dyDescent="0.3">
      <c r="B24" s="64" t="s">
        <v>18</v>
      </c>
      <c r="C24" s="65"/>
      <c r="D24" s="65"/>
      <c r="E24" s="66"/>
      <c r="F24" s="67"/>
      <c r="G24" s="69"/>
      <c r="H24" s="69"/>
      <c r="I24" s="69"/>
      <c r="J24" s="69"/>
      <c r="K24" s="68"/>
      <c r="L24" s="69"/>
      <c r="M24" s="69"/>
      <c r="N24" s="68"/>
    </row>
    <row r="25" spans="2:16" x14ac:dyDescent="0.3">
      <c r="B25" s="15" t="s">
        <v>154</v>
      </c>
      <c r="C25" s="2" t="s">
        <v>166</v>
      </c>
      <c r="D25" s="2"/>
      <c r="G25" s="46">
        <v>3</v>
      </c>
      <c r="L25" s="46" t="s">
        <v>166</v>
      </c>
      <c r="P25" s="1" t="s">
        <v>413</v>
      </c>
    </row>
    <row r="26" spans="2:16" x14ac:dyDescent="0.3">
      <c r="B26" s="15" t="s">
        <v>265</v>
      </c>
      <c r="C26" s="2">
        <f>6*1.05/1.19</f>
        <v>5.2941176470588243</v>
      </c>
      <c r="D26" s="41">
        <f>C26/'Mass and energy flow'!$B$57</f>
        <v>8.0627038634406248E-2</v>
      </c>
      <c r="E26" s="42">
        <f>C26/170</f>
        <v>3.1141868512110732E-2</v>
      </c>
      <c r="F26" s="12">
        <v>1</v>
      </c>
      <c r="G26" s="46">
        <f>C26*'Cost data'!$C$7*Measurements!F26</f>
        <v>2.7549484248675777E-2</v>
      </c>
      <c r="H26" s="46">
        <f>G26*2%</f>
        <v>5.5098968497351551E-4</v>
      </c>
      <c r="I26" s="46">
        <f>G26*'Cost data'!J8/'Cost data'!J7</f>
        <v>3.5698191407233647E-2</v>
      </c>
      <c r="J26" s="46">
        <f>I26*2%</f>
        <v>7.1396382814467292E-4</v>
      </c>
      <c r="K26" s="5">
        <v>15</v>
      </c>
      <c r="L26" s="46">
        <f>G26*('Cost data'!$B$2/(1-(1+'Cost data'!$B$2)^(-Measurements!K26)))+Measurements!H26</f>
        <v>3.2051700199457848E-3</v>
      </c>
      <c r="M26" s="46">
        <f>I26*('Cost data'!$B$2/(1-(1+'Cost data'!$B$2)^(-Measurements!K26)))+J26</f>
        <v>4.1532092518302335E-3</v>
      </c>
      <c r="N26" s="5" t="s">
        <v>205</v>
      </c>
      <c r="P26" s="1" t="s">
        <v>413</v>
      </c>
    </row>
    <row r="27" spans="2:16" ht="20.55" customHeight="1" x14ac:dyDescent="0.3">
      <c r="B27" s="15" t="s">
        <v>155</v>
      </c>
      <c r="C27" s="2">
        <f>2/3*'Mass and energy flow'!B52</f>
        <v>43.7745429384996</v>
      </c>
      <c r="D27" s="41">
        <f>C27/'Mass and energy flow'!$B$57</f>
        <v>0.66666666666666663</v>
      </c>
      <c r="E27" s="42">
        <f>C27/170</f>
        <v>0.2574973114029388</v>
      </c>
      <c r="F27" s="12">
        <f>AVERAGE(6,14)</f>
        <v>10</v>
      </c>
      <c r="G27" s="46">
        <f>C27*'Cost data'!$C$7*Measurements!F27</f>
        <v>2.2779359311124434</v>
      </c>
      <c r="H27" s="46">
        <f>G27*4%</f>
        <v>9.1117437244497737E-2</v>
      </c>
      <c r="I27" s="46">
        <f>G27*'Cost data'!N8/'Cost data'!N7</f>
        <v>2.7467926470307331</v>
      </c>
      <c r="J27" s="46">
        <f>I27*4%</f>
        <v>0.10987170588122933</v>
      </c>
      <c r="K27" s="5">
        <v>15</v>
      </c>
      <c r="L27" s="46">
        <f>G27*('Cost data'!$B$2/(1-(1+'Cost data'!$B$2)^(-Measurements!K27)))+Measurements!H27</f>
        <v>0.31057899587516463</v>
      </c>
      <c r="M27" s="46">
        <f>I27*('Cost data'!$B$2/(1-(1+'Cost data'!$B$2)^(-Measurements!K27)))+J27</f>
        <v>0.37450399308442184</v>
      </c>
      <c r="N27" s="5" t="s">
        <v>205</v>
      </c>
      <c r="P27" s="1" t="s">
        <v>413</v>
      </c>
    </row>
    <row r="28" spans="2:16" x14ac:dyDescent="0.3">
      <c r="B28" s="70" t="s">
        <v>80</v>
      </c>
      <c r="C28" s="71"/>
      <c r="D28" s="71"/>
      <c r="E28" s="66"/>
      <c r="F28" s="67"/>
      <c r="G28" s="69"/>
      <c r="H28" s="69"/>
      <c r="I28" s="69"/>
      <c r="J28" s="69"/>
      <c r="K28" s="68"/>
      <c r="L28" s="69"/>
      <c r="M28" s="69"/>
      <c r="N28" s="68"/>
    </row>
    <row r="29" spans="2:16" x14ac:dyDescent="0.3">
      <c r="B29" s="5" t="s">
        <v>156</v>
      </c>
      <c r="C29" s="12" t="s">
        <v>166</v>
      </c>
      <c r="G29" s="46" t="s">
        <v>166</v>
      </c>
      <c r="L29" s="46" t="s">
        <v>166</v>
      </c>
      <c r="N29" s="5" t="s">
        <v>205</v>
      </c>
      <c r="P29" s="1" t="s">
        <v>413</v>
      </c>
    </row>
    <row r="30" spans="2:16" x14ac:dyDescent="0.3">
      <c r="B30" s="5" t="s">
        <v>157</v>
      </c>
      <c r="C30" s="12" t="s">
        <v>166</v>
      </c>
      <c r="G30" s="46" t="s">
        <v>166</v>
      </c>
      <c r="L30" s="46" t="s">
        <v>166</v>
      </c>
      <c r="N30" s="5" t="s">
        <v>205</v>
      </c>
      <c r="P30" s="1" t="s">
        <v>413</v>
      </c>
    </row>
    <row r="31" spans="2:16" x14ac:dyDescent="0.3">
      <c r="B31" s="5" t="s">
        <v>158</v>
      </c>
      <c r="C31" s="12" t="s">
        <v>166</v>
      </c>
      <c r="G31" s="46" t="s">
        <v>166</v>
      </c>
      <c r="L31" s="46" t="s">
        <v>166</v>
      </c>
      <c r="N31" s="5" t="s">
        <v>205</v>
      </c>
      <c r="P31" s="1" t="s">
        <v>413</v>
      </c>
    </row>
    <row r="32" spans="2:16" x14ac:dyDescent="0.3">
      <c r="B32" s="15" t="s">
        <v>160</v>
      </c>
      <c r="C32" s="2" t="s">
        <v>166</v>
      </c>
      <c r="D32" s="2"/>
      <c r="G32" s="46" t="s">
        <v>166</v>
      </c>
      <c r="L32" s="46" t="s">
        <v>166</v>
      </c>
      <c r="N32" s="5" t="s">
        <v>191</v>
      </c>
      <c r="P32" s="1" t="s">
        <v>413</v>
      </c>
    </row>
    <row r="33" spans="2:16" x14ac:dyDescent="0.3">
      <c r="B33" s="64" t="s">
        <v>131</v>
      </c>
      <c r="C33" s="65"/>
      <c r="D33" s="65"/>
      <c r="E33" s="66"/>
      <c r="F33" s="67"/>
      <c r="G33" s="69"/>
      <c r="H33" s="69"/>
      <c r="I33" s="69"/>
      <c r="J33" s="69"/>
      <c r="K33" s="68"/>
      <c r="L33" s="69"/>
      <c r="M33" s="69"/>
      <c r="N33" s="68"/>
    </row>
    <row r="34" spans="2:16" x14ac:dyDescent="0.3">
      <c r="B34" s="15" t="s">
        <v>161</v>
      </c>
      <c r="C34" s="2">
        <f>'Mass and energy flow'!B61*2%</f>
        <v>3.4</v>
      </c>
      <c r="D34" s="2"/>
      <c r="E34" s="42">
        <f>C34/170</f>
        <v>0.02</v>
      </c>
      <c r="F34" s="2">
        <f>IAC!L7</f>
        <v>0.30425963488843816</v>
      </c>
      <c r="G34" s="46">
        <f>C34*'Cost data'!$C$7*Measurements!F34</f>
        <v>5.3832325543389454E-3</v>
      </c>
      <c r="H34" s="46">
        <f>G34*2%</f>
        <v>1.0766465108677891E-4</v>
      </c>
      <c r="I34" s="46">
        <f>G34*'Cost data'!R8/'Cost data'!R7</f>
        <v>6.009352520048283E-3</v>
      </c>
      <c r="K34" s="5">
        <v>2</v>
      </c>
      <c r="L34" s="46">
        <f>G34*('Cost data'!$B$2/(1-(1+'Cost data'!$B$2)^(-Measurements!K34)))+Measurements!H34</f>
        <v>3.002793378481259E-3</v>
      </c>
      <c r="M34" s="46">
        <f>I34*('Cost data'!$B$2/(1-(1+'Cost data'!$B$2)^(-Measurements!K34)))+J34</f>
        <v>3.2318590991966966E-3</v>
      </c>
      <c r="N34" s="5" t="s">
        <v>214</v>
      </c>
      <c r="P34" s="5" t="s">
        <v>408</v>
      </c>
    </row>
    <row r="35" spans="2:16" x14ac:dyDescent="0.3">
      <c r="B35" s="15" t="s">
        <v>243</v>
      </c>
      <c r="C35" s="2">
        <f>2.1*1.05/1.19</f>
        <v>1.8529411764705883</v>
      </c>
      <c r="D35" s="2"/>
      <c r="E35" s="42">
        <f>C35/170</f>
        <v>1.0899653979238755E-2</v>
      </c>
      <c r="F35" s="12">
        <v>0.03</v>
      </c>
      <c r="G35" s="46">
        <f>C35*'Cost data'!$C$7*Measurements!F35</f>
        <v>2.8926958461109563E-4</v>
      </c>
      <c r="H35" s="46">
        <f>G35*2%</f>
        <v>5.7853916922219129E-6</v>
      </c>
      <c r="I35" s="46">
        <f>G35*'Cost data'!O8/'Cost data'!O7</f>
        <v>3.3576361892306952E-4</v>
      </c>
      <c r="K35" s="5">
        <v>15</v>
      </c>
      <c r="L35" s="46">
        <f>G35*('Cost data'!$B$2/(1-(1+'Cost data'!$B$2)^(-Measurements!K35)))+Measurements!H35</f>
        <v>3.3654285209430739E-5</v>
      </c>
      <c r="M35" s="46">
        <f>I35*('Cost data'!$B$2/(1-(1+'Cost data'!$B$2)^(-Measurements!K35)))+J35</f>
        <v>3.2348235143007092E-5</v>
      </c>
      <c r="N35" s="5" t="s">
        <v>256</v>
      </c>
      <c r="P35" s="5" t="s">
        <v>408</v>
      </c>
    </row>
    <row r="36" spans="2:16" x14ac:dyDescent="0.3">
      <c r="B36" s="15" t="s">
        <v>397</v>
      </c>
      <c r="C36" s="2">
        <v>16</v>
      </c>
      <c r="D36" s="2"/>
      <c r="E36" s="42">
        <f>C36/170</f>
        <v>9.4117647058823528E-2</v>
      </c>
      <c r="F36" s="2">
        <f>1/1.27</f>
        <v>0.78740157480314954</v>
      </c>
      <c r="G36" s="46">
        <f>C36*'Cost data'!$C$7*Measurements!F36</f>
        <v>6.5559577564652749E-2</v>
      </c>
      <c r="H36" s="46">
        <f>G36*2%</f>
        <v>1.311191551293055E-3</v>
      </c>
      <c r="I36" s="46">
        <f>G36*'Cost data'!K8/'Cost data'!K7</f>
        <v>8.3652387892229813E-2</v>
      </c>
      <c r="K36" s="5">
        <v>15</v>
      </c>
      <c r="L36" s="46">
        <f>G36*('Cost data'!$B$2/(1-(1+'Cost data'!$B$2)^(-Measurements!K36)))+Measurements!H36</f>
        <v>7.6273512285673951E-3</v>
      </c>
      <c r="M36" s="46">
        <f>I36*('Cost data'!$B$2/(1-(1+'Cost data'!$B$2)^(-Measurements!K36)))+J36</f>
        <v>8.0592624135132768E-3</v>
      </c>
      <c r="N36" s="5" t="s">
        <v>205</v>
      </c>
      <c r="P36" s="5" t="s">
        <v>408</v>
      </c>
    </row>
    <row r="37" spans="2:16" ht="28.8" x14ac:dyDescent="0.3">
      <c r="B37" s="15" t="s">
        <v>162</v>
      </c>
      <c r="C37" s="2">
        <f>2.5*1.05/1.19</f>
        <v>2.2058823529411766</v>
      </c>
      <c r="D37" s="2"/>
      <c r="E37" s="42">
        <f>C37/170</f>
        <v>1.2975778546712804E-2</v>
      </c>
      <c r="F37" s="2">
        <v>2.7</v>
      </c>
      <c r="G37" s="46">
        <f>C37*'Cost data'!$C$7*Measurements!F37</f>
        <v>3.099316977976025E-2</v>
      </c>
      <c r="H37" s="46">
        <f>G37*2%</f>
        <v>6.1986339559520504E-4</v>
      </c>
      <c r="I37" s="46">
        <f>G37*'Cost data'!J8/'Cost data'!J7</f>
        <v>4.0160465333137857E-2</v>
      </c>
      <c r="K37" s="5">
        <v>15</v>
      </c>
      <c r="L37" s="46">
        <f>G37*('Cost data'!$B$2/(1-(1+'Cost data'!$B$2)^(-Measurements!K37)))+Measurements!H37</f>
        <v>3.6058162724390084E-3</v>
      </c>
      <c r="M37" s="46">
        <f>I37*('Cost data'!$B$2/(1-(1+'Cost data'!$B$2)^(-Measurements!K37)))+J37</f>
        <v>3.8691511016462556E-3</v>
      </c>
      <c r="N37" s="5" t="s">
        <v>205</v>
      </c>
      <c r="P37" s="5" t="s">
        <v>408</v>
      </c>
    </row>
    <row r="38" spans="2:16" x14ac:dyDescent="0.3">
      <c r="B38" s="70" t="s">
        <v>171</v>
      </c>
      <c r="C38" s="67"/>
      <c r="D38" s="67"/>
      <c r="E38" s="66"/>
      <c r="F38" s="67"/>
      <c r="G38" s="69"/>
      <c r="H38" s="69"/>
      <c r="I38" s="69"/>
      <c r="J38" s="69"/>
      <c r="K38" s="68"/>
      <c r="L38" s="69"/>
      <c r="M38" s="69"/>
      <c r="N38" s="68"/>
    </row>
    <row r="39" spans="2:16" x14ac:dyDescent="0.3">
      <c r="B39" s="15" t="s">
        <v>172</v>
      </c>
      <c r="C39" s="12">
        <f>AVERAGE(3%,13%)*'Mass and energy flow'!B61</f>
        <v>13.6</v>
      </c>
      <c r="E39" s="42">
        <f t="shared" ref="E39:E47" si="1">C39/170</f>
        <v>0.08</v>
      </c>
      <c r="F39" s="12">
        <v>1.1000000000000001</v>
      </c>
      <c r="G39" s="46">
        <f>C39*'Cost data'!$C$7*Measurements!F39</f>
        <v>7.7848720379146932E-2</v>
      </c>
      <c r="H39" s="46">
        <f>G39*2%</f>
        <v>1.5569744075829388E-3</v>
      </c>
      <c r="I39" s="46">
        <f>G39*'Cost data'!H8/'Cost data'!H7</f>
        <v>0.10300608794768733</v>
      </c>
      <c r="J39" s="46">
        <f>I39*2%</f>
        <v>2.0601217589537465E-3</v>
      </c>
      <c r="K39" s="5">
        <v>15</v>
      </c>
      <c r="L39" s="46">
        <f>G39*('Cost data'!$B$2/(1-(1+'Cost data'!$B$2)^(-Measurements!K39)))+Measurements!H39</f>
        <v>9.0570982163623564E-3</v>
      </c>
      <c r="M39" s="46">
        <f>I39*('Cost data'!$B$2/(1-(1+'Cost data'!$B$2)^(-Measurements!K39)))+J39</f>
        <v>1.198396390951296E-2</v>
      </c>
      <c r="N39" s="5" t="s">
        <v>205</v>
      </c>
      <c r="P39" s="1" t="s">
        <v>413</v>
      </c>
    </row>
    <row r="40" spans="2:16" x14ac:dyDescent="0.3">
      <c r="B40" s="15" t="s">
        <v>167</v>
      </c>
      <c r="C40" s="12">
        <f>3.4*1.05/1.19</f>
        <v>3</v>
      </c>
      <c r="E40" s="42">
        <f t="shared" si="1"/>
        <v>1.7647058823529412E-2</v>
      </c>
      <c r="F40" s="12">
        <f>IAC!K31</f>
        <v>6.2954615020730714E-2</v>
      </c>
      <c r="G40" s="46">
        <f>C40*'Cost data'!$C$7*Measurements!F40</f>
        <v>9.8280806577387197E-4</v>
      </c>
      <c r="H40" s="46">
        <f>G40*2%</f>
        <v>1.9656161315477441E-5</v>
      </c>
      <c r="I40" s="46">
        <f>G40*'Cost data'!P8/'Cost data'!P7</f>
        <v>1.3211009473612996E-3</v>
      </c>
      <c r="J40" s="46">
        <f>I40*2%</f>
        <v>2.6422018947225992E-5</v>
      </c>
      <c r="K40" s="5">
        <v>2</v>
      </c>
      <c r="L40" s="46">
        <f>G40*('Cost data'!$B$2/(1-(1+'Cost data'!$B$2)^(-Measurements!K40)))+Measurements!H40</f>
        <v>5.4821513327435217E-4</v>
      </c>
      <c r="M40" s="46">
        <f>I40*('Cost data'!$B$2/(1-(1+'Cost data'!$B$2)^(-Measurements!K40)))+J40</f>
        <v>7.369165528329977E-4</v>
      </c>
      <c r="N40" s="5" t="s">
        <v>205</v>
      </c>
      <c r="P40" s="1" t="s">
        <v>413</v>
      </c>
    </row>
    <row r="41" spans="2:16" x14ac:dyDescent="0.3">
      <c r="B41" s="15" t="s">
        <v>168</v>
      </c>
      <c r="C41" s="12">
        <f>C40*0.05</f>
        <v>0.15000000000000002</v>
      </c>
      <c r="E41" s="42">
        <f t="shared" si="1"/>
        <v>8.8235294117647073E-4</v>
      </c>
      <c r="F41" s="2">
        <v>1.2</v>
      </c>
      <c r="G41" s="46">
        <f>C41*'Cost data'!$C$7*Measurements!F41</f>
        <v>9.3668246445497631E-4</v>
      </c>
      <c r="H41" s="46">
        <f>G41*1%</f>
        <v>9.3668246445497641E-6</v>
      </c>
      <c r="I41" s="46">
        <f>G41*'Cost data'!Q8/'Cost data'!Q7</f>
        <v>9.9682126824144355E-4</v>
      </c>
      <c r="J41" s="46">
        <f>I41*1%</f>
        <v>9.9682126824144352E-6</v>
      </c>
      <c r="K41" s="5">
        <v>15</v>
      </c>
      <c r="L41" s="46">
        <f>G41*('Cost data'!$B$2/(1-(1+'Cost data'!$B$2)^(-Measurements!K41)))+Measurements!H41</f>
        <v>9.9608956033606921E-5</v>
      </c>
      <c r="M41" s="46">
        <f>I41*('Cost data'!$B$2/(1-(1+'Cost data'!$B$2)^(-Measurements!K41)))+J41</f>
        <v>1.0600425400234334E-4</v>
      </c>
      <c r="N41" s="5" t="s">
        <v>256</v>
      </c>
      <c r="P41" s="1" t="s">
        <v>413</v>
      </c>
    </row>
    <row r="42" spans="2:16" x14ac:dyDescent="0.3">
      <c r="B42" s="15" t="s">
        <v>169</v>
      </c>
      <c r="C42" s="12">
        <f>'Mass and energy flow'!B61*3%</f>
        <v>5.0999999999999996</v>
      </c>
      <c r="E42" s="42">
        <f t="shared" si="1"/>
        <v>0.03</v>
      </c>
      <c r="F42" s="2">
        <f>IAC!L19</f>
        <v>0.54054054054054057</v>
      </c>
      <c r="G42" s="46">
        <f>C42*'Cost data'!$C$7*Measurements!F42</f>
        <v>1.4345587293454592E-2</v>
      </c>
      <c r="H42" s="46">
        <f>G42*2%</f>
        <v>2.8691174586909185E-4</v>
      </c>
      <c r="I42" s="46">
        <f>G42*'Cost data'!R8/'Cost data'!R7</f>
        <v>1.60141123912638E-2</v>
      </c>
      <c r="J42" s="46">
        <f>I42*2%</f>
        <v>3.20282247825276E-4</v>
      </c>
      <c r="K42" s="5">
        <v>2</v>
      </c>
      <c r="L42" s="46">
        <f>G42*('Cost data'!$B$2/(1-(1+'Cost data'!$B$2)^(-Measurements!K42)))+Measurements!H42</f>
        <v>8.0020385707635696E-3</v>
      </c>
      <c r="M42" s="46">
        <f>I42*('Cost data'!$B$2/(1-(1+'Cost data'!$B$2)^(-Measurements!K42)))+J42</f>
        <v>8.9327500094683633E-3</v>
      </c>
      <c r="N42" s="5" t="s">
        <v>214</v>
      </c>
      <c r="P42" s="1" t="s">
        <v>413</v>
      </c>
    </row>
    <row r="43" spans="2:16" x14ac:dyDescent="0.3">
      <c r="B43" s="15" t="s">
        <v>170</v>
      </c>
      <c r="C43" s="12">
        <f>19.5*1.05/1.19</f>
        <v>17.205882352941178</v>
      </c>
      <c r="E43" s="42">
        <f t="shared" si="1"/>
        <v>0.10121107266435987</v>
      </c>
      <c r="F43" s="2">
        <v>1.5</v>
      </c>
      <c r="G43" s="46">
        <f>C43*'Cost data'!$C$7*Measurements!F43</f>
        <v>0.13430373571229443</v>
      </c>
      <c r="H43" s="46">
        <f>G43*4%</f>
        <v>5.3721494284917773E-3</v>
      </c>
      <c r="I43" s="46">
        <f>G43*'Cost data'!K8/'Cost data'!K7</f>
        <v>0.17136822128087911</v>
      </c>
      <c r="J43" s="46">
        <f>I43*4%</f>
        <v>6.8547288512351649E-3</v>
      </c>
      <c r="K43" s="5">
        <v>15</v>
      </c>
      <c r="L43" s="46">
        <f>G43*('Cost data'!$B$2/(1-(1+'Cost data'!$B$2)^(-Measurements!K43)))+Measurements!H43</f>
        <v>1.8311278561481591E-2</v>
      </c>
      <c r="M43" s="46">
        <f>I43*('Cost data'!$B$2/(1-(1+'Cost data'!$B$2)^(-Measurements!K43)))+J43</f>
        <v>2.3364735312962251E-2</v>
      </c>
      <c r="N43" s="5" t="s">
        <v>256</v>
      </c>
      <c r="P43" s="1" t="s">
        <v>413</v>
      </c>
    </row>
    <row r="44" spans="2:16" x14ac:dyDescent="0.3">
      <c r="B44" s="64" t="s">
        <v>173</v>
      </c>
      <c r="C44" s="67"/>
      <c r="D44" s="67"/>
      <c r="E44" s="66">
        <f t="shared" si="1"/>
        <v>0</v>
      </c>
      <c r="F44" s="67"/>
      <c r="G44" s="69"/>
      <c r="H44" s="69"/>
      <c r="I44" s="69"/>
      <c r="J44" s="69"/>
      <c r="K44" s="68"/>
      <c r="L44" s="69"/>
      <c r="M44" s="69"/>
      <c r="N44" s="68"/>
    </row>
    <row r="45" spans="2:16" x14ac:dyDescent="0.3">
      <c r="B45" s="15" t="s">
        <v>174</v>
      </c>
      <c r="C45" s="12">
        <f>AVERAGE(67,100)*1.05/1.19</f>
        <v>73.67647058823529</v>
      </c>
      <c r="E45" s="42">
        <f t="shared" si="1"/>
        <v>0.43339100346020759</v>
      </c>
      <c r="F45" s="12">
        <v>3.5</v>
      </c>
      <c r="G45" s="46">
        <f>C45*'Cost data'!$C$7*Measurements!F45</f>
        <v>1.3418894619459159</v>
      </c>
      <c r="H45" s="46">
        <f>G45*4%</f>
        <v>5.3675578477836633E-2</v>
      </c>
      <c r="I45" s="46">
        <f>G45*'Cost data'!I8/'Cost data'!I7</f>
        <v>1.3985998104233561</v>
      </c>
      <c r="J45" s="46">
        <f>I45*4%</f>
        <v>5.5943992416934249E-2</v>
      </c>
      <c r="K45" s="5">
        <v>30</v>
      </c>
      <c r="L45" s="46">
        <f>G45*('Cost data'!$B$2/(1-(1+'Cost data'!$B$2)^(-Measurements!K45)))+Measurements!H45</f>
        <v>0.14096741369651866</v>
      </c>
      <c r="M45" s="46">
        <f>I45*('Cost data'!$B$2/(1-(1+'Cost data'!$B$2)^(-Measurements!K45)))+J45</f>
        <v>0.14692491718797634</v>
      </c>
      <c r="N45" s="5" t="s">
        <v>205</v>
      </c>
      <c r="P45" s="1" t="s">
        <v>413</v>
      </c>
    </row>
    <row r="46" spans="2:16" ht="28.8" x14ac:dyDescent="0.3">
      <c r="B46" s="15" t="s">
        <v>175</v>
      </c>
      <c r="C46" s="12">
        <f>'Mass and energy flow'!B61*0.14</f>
        <v>23.8</v>
      </c>
      <c r="E46" s="42">
        <f t="shared" si="1"/>
        <v>0.14000000000000001</v>
      </c>
      <c r="F46" s="12">
        <v>4.5</v>
      </c>
      <c r="G46" s="46">
        <f>C46*'Cost data'!$C$7*Measurements!F46</f>
        <v>0.55732606635071091</v>
      </c>
      <c r="H46" s="46">
        <f>G46*4%</f>
        <v>2.2293042654028438E-2</v>
      </c>
      <c r="I46" s="46">
        <f>G46*'Cost data'!I8/'Cost data'!I7</f>
        <v>0.58087953802972447</v>
      </c>
      <c r="J46" s="46">
        <f>I46*4%</f>
        <v>2.3235181521188978E-2</v>
      </c>
      <c r="K46" s="5">
        <v>30</v>
      </c>
      <c r="L46" s="46">
        <f>G46*('Cost data'!$B$2/(1-(1+'Cost data'!$B$2)^(-Measurements!K46)))+Measurements!H46</f>
        <v>5.8547903077787636E-2</v>
      </c>
      <c r="M46" s="46">
        <f>I46*('Cost data'!$B$2/(1-(1+'Cost data'!$B$2)^(-Measurements!K46)))+J46</f>
        <v>6.1022229078790666E-2</v>
      </c>
      <c r="N46" s="5" t="s">
        <v>205</v>
      </c>
      <c r="P46" s="1" t="s">
        <v>413</v>
      </c>
    </row>
    <row r="47" spans="2:16" x14ac:dyDescent="0.3">
      <c r="B47" s="15" t="s">
        <v>149</v>
      </c>
      <c r="C47" s="2">
        <v>20.5</v>
      </c>
      <c r="D47" s="2"/>
      <c r="E47" s="42">
        <f t="shared" si="1"/>
        <v>0.12058823529411765</v>
      </c>
      <c r="F47" s="12" t="s">
        <v>166</v>
      </c>
      <c r="L47" s="46" t="s">
        <v>166</v>
      </c>
      <c r="O47" s="15"/>
      <c r="P47" s="1" t="s">
        <v>413</v>
      </c>
    </row>
    <row r="53" spans="2:15" x14ac:dyDescent="0.3">
      <c r="B53" s="73" t="s">
        <v>277</v>
      </c>
      <c r="G53" s="127" t="s">
        <v>367</v>
      </c>
      <c r="I53" s="127" t="s">
        <v>368</v>
      </c>
    </row>
    <row r="54" spans="2:15" ht="72" x14ac:dyDescent="0.3">
      <c r="B54" s="23" t="s">
        <v>133</v>
      </c>
      <c r="C54" s="22" t="s">
        <v>163</v>
      </c>
      <c r="D54" s="22" t="s">
        <v>336</v>
      </c>
      <c r="E54" s="74" t="s">
        <v>176</v>
      </c>
      <c r="F54" s="22" t="s">
        <v>164</v>
      </c>
      <c r="G54" s="75" t="s">
        <v>138</v>
      </c>
      <c r="H54" s="75" t="s">
        <v>139</v>
      </c>
      <c r="I54" s="75" t="s">
        <v>138</v>
      </c>
      <c r="J54" s="75" t="s">
        <v>139</v>
      </c>
      <c r="K54" s="17" t="s">
        <v>140</v>
      </c>
      <c r="L54" s="75" t="s">
        <v>365</v>
      </c>
      <c r="M54" s="75" t="s">
        <v>376</v>
      </c>
      <c r="N54" s="17" t="s">
        <v>177</v>
      </c>
      <c r="O54" s="17" t="s">
        <v>258</v>
      </c>
    </row>
    <row r="55" spans="2:15" x14ac:dyDescent="0.3">
      <c r="B55" s="64" t="s">
        <v>15</v>
      </c>
      <c r="C55" s="65"/>
      <c r="D55" s="65"/>
      <c r="E55" s="66"/>
      <c r="F55" s="67"/>
      <c r="G55" s="69"/>
      <c r="H55" s="69"/>
      <c r="I55" s="69"/>
      <c r="J55" s="69"/>
      <c r="K55" s="68"/>
      <c r="L55" s="69"/>
      <c r="M55" s="69"/>
      <c r="N55" s="68"/>
      <c r="O55" s="72"/>
    </row>
    <row r="56" spans="2:15" ht="43.2" x14ac:dyDescent="0.3">
      <c r="B56" s="15" t="s">
        <v>137</v>
      </c>
      <c r="C56" s="2">
        <v>2.1</v>
      </c>
      <c r="D56" s="41">
        <v>5.6006791263745755E-2</v>
      </c>
      <c r="E56" s="42">
        <v>1.2352941176470589E-2</v>
      </c>
      <c r="F56" s="12">
        <v>3.5714285714285712</v>
      </c>
      <c r="G56" s="46">
        <v>3.9028436018957342E-2</v>
      </c>
      <c r="H56" s="46">
        <v>3.9028436018957344E-4</v>
      </c>
      <c r="I56" s="46">
        <v>5.1640752647570502E-2</v>
      </c>
      <c r="J56" s="46">
        <v>5.1640752647570502E-4</v>
      </c>
      <c r="K56" s="5">
        <v>15</v>
      </c>
      <c r="L56" s="46">
        <v>4.1503731680669542E-3</v>
      </c>
      <c r="M56" s="46">
        <v>5.4915957704057905E-3</v>
      </c>
      <c r="N56" s="5" t="s">
        <v>24</v>
      </c>
      <c r="O56" s="15" t="s">
        <v>260</v>
      </c>
    </row>
    <row r="57" spans="2:15" ht="28.8" x14ac:dyDescent="0.3">
      <c r="B57" s="15" t="s">
        <v>136</v>
      </c>
      <c r="C57" s="63">
        <v>16.844537815125999</v>
      </c>
      <c r="D57" s="108">
        <v>0.44924214921239836</v>
      </c>
      <c r="E57" s="42">
        <v>9.908551655956499E-2</v>
      </c>
      <c r="F57" s="12">
        <v>2</v>
      </c>
      <c r="G57" s="46">
        <v>0.17531092436974788</v>
      </c>
      <c r="H57" s="46">
        <v>7.0124369747899149E-3</v>
      </c>
      <c r="I57" s="46">
        <v>0.247847348710172</v>
      </c>
      <c r="J57" s="46">
        <v>9.9138939484068808E-3</v>
      </c>
      <c r="K57" s="5">
        <v>1</v>
      </c>
      <c r="L57" s="46">
        <v>0.19108890756302502</v>
      </c>
      <c r="M57" s="46">
        <v>0.27015361009408717</v>
      </c>
      <c r="N57" s="5" t="s">
        <v>262</v>
      </c>
      <c r="O57" s="15" t="s">
        <v>259</v>
      </c>
    </row>
    <row r="58" spans="2:15" ht="43.2" x14ac:dyDescent="0.3">
      <c r="B58" s="15" t="s">
        <v>159</v>
      </c>
      <c r="C58" s="2">
        <v>128.3773584905658</v>
      </c>
      <c r="D58" s="41">
        <v>3.4238113904629413</v>
      </c>
      <c r="E58" s="42">
        <v>0.75516093229744585</v>
      </c>
      <c r="F58" s="12">
        <v>3.7</v>
      </c>
      <c r="G58" s="46">
        <v>2.4717813109183537</v>
      </c>
      <c r="H58" s="46">
        <v>9.8871252436734156E-2</v>
      </c>
      <c r="I58" s="46">
        <v>2.5762426570108485</v>
      </c>
      <c r="J58" s="46">
        <v>0.10304970628043394</v>
      </c>
      <c r="K58" s="5">
        <v>20</v>
      </c>
      <c r="L58" s="46">
        <v>0.29721337979442142</v>
      </c>
      <c r="M58" s="46">
        <v>0.30977408231000525</v>
      </c>
      <c r="N58" s="5" t="s">
        <v>274</v>
      </c>
      <c r="O58" s="15" t="s">
        <v>275</v>
      </c>
    </row>
    <row r="59" spans="2:15" ht="28.8" x14ac:dyDescent="0.3">
      <c r="B59" s="15" t="s">
        <v>134</v>
      </c>
      <c r="C59" s="2" t="s">
        <v>166</v>
      </c>
      <c r="D59" s="41"/>
      <c r="G59" s="46" t="s">
        <v>166</v>
      </c>
      <c r="L59" s="46" t="s">
        <v>166</v>
      </c>
      <c r="M59" s="46" t="s">
        <v>166</v>
      </c>
      <c r="O59" s="15"/>
    </row>
    <row r="60" spans="2:15" ht="28.8" x14ac:dyDescent="0.3">
      <c r="B60" s="15" t="s">
        <v>135</v>
      </c>
      <c r="C60" s="2" t="s">
        <v>166</v>
      </c>
      <c r="D60" s="41"/>
      <c r="G60" s="46" t="s">
        <v>166</v>
      </c>
      <c r="L60" s="46" t="s">
        <v>166</v>
      </c>
      <c r="M60" s="46" t="s">
        <v>166</v>
      </c>
      <c r="O60" s="15"/>
    </row>
    <row r="61" spans="2:15" x14ac:dyDescent="0.3">
      <c r="D61" s="42"/>
    </row>
    <row r="62" spans="2:15" x14ac:dyDescent="0.3">
      <c r="B62" s="64" t="s">
        <v>16</v>
      </c>
      <c r="C62" s="67"/>
      <c r="D62" s="66"/>
      <c r="E62" s="66"/>
      <c r="F62" s="67"/>
      <c r="G62" s="69"/>
      <c r="H62" s="69"/>
      <c r="I62" s="69"/>
      <c r="J62" s="69"/>
      <c r="K62" s="68"/>
      <c r="L62" s="69"/>
      <c r="M62" s="69"/>
      <c r="N62" s="68"/>
      <c r="O62" s="68"/>
    </row>
    <row r="63" spans="2:15" ht="43.2" x14ac:dyDescent="0.3">
      <c r="B63" s="5" t="s">
        <v>142</v>
      </c>
      <c r="C63" s="12">
        <v>13.475160000000001</v>
      </c>
      <c r="D63" s="42">
        <v>0.30744266956983257</v>
      </c>
      <c r="E63" s="42">
        <v>7.9265647058823538E-2</v>
      </c>
      <c r="F63" s="12">
        <v>0.98</v>
      </c>
      <c r="G63" s="46">
        <v>6.8719484200947881E-2</v>
      </c>
      <c r="H63" s="46">
        <v>1.3743896840189577E-3</v>
      </c>
      <c r="I63" s="46">
        <v>8.768435004729272E-2</v>
      </c>
      <c r="J63" s="46">
        <v>1.7536870009458544E-3</v>
      </c>
      <c r="K63" s="5">
        <v>15</v>
      </c>
      <c r="L63" s="46">
        <v>7.9949819952656025E-3</v>
      </c>
      <c r="M63" s="46">
        <v>1.0201397872031791E-2</v>
      </c>
      <c r="N63" s="5" t="s">
        <v>24</v>
      </c>
      <c r="O63" s="15" t="s">
        <v>261</v>
      </c>
    </row>
    <row r="64" spans="2:15" ht="43.2" x14ac:dyDescent="0.3">
      <c r="B64" s="5" t="s">
        <v>143</v>
      </c>
      <c r="C64" s="12">
        <v>15.071428571428571</v>
      </c>
      <c r="D64" s="42">
        <v>0.34386235371090568</v>
      </c>
      <c r="E64" s="42">
        <v>8.8655462184873954E-2</v>
      </c>
      <c r="F64" s="12">
        <v>3.5</v>
      </c>
      <c r="G64" s="46">
        <v>0.27450000000000002</v>
      </c>
      <c r="H64" s="46">
        <v>1.0980000000000002E-2</v>
      </c>
      <c r="I64" s="46">
        <v>0.31677245804540977</v>
      </c>
      <c r="J64" s="46">
        <v>6.3354491609081956E-3</v>
      </c>
      <c r="K64" s="5">
        <v>15</v>
      </c>
      <c r="L64" s="46">
        <v>3.7425957948737584E-2</v>
      </c>
      <c r="M64" s="46">
        <v>3.6854032420606357E-2</v>
      </c>
      <c r="N64" s="5" t="s">
        <v>205</v>
      </c>
      <c r="O64" s="15" t="s">
        <v>267</v>
      </c>
    </row>
    <row r="65" spans="2:15" x14ac:dyDescent="0.3">
      <c r="B65" s="5" t="s">
        <v>141</v>
      </c>
      <c r="C65" s="12">
        <v>14.6</v>
      </c>
      <c r="D65" s="42">
        <v>0.33310646966118063</v>
      </c>
      <c r="E65" s="42">
        <v>8.5882352941176465E-2</v>
      </c>
      <c r="F65" s="12">
        <v>3.5</v>
      </c>
      <c r="G65" s="46">
        <v>0.26591374407582941</v>
      </c>
      <c r="H65" s="46">
        <v>1.0636549763033177E-2</v>
      </c>
      <c r="I65" s="46">
        <v>0.34456687639404299</v>
      </c>
      <c r="J65" s="46">
        <v>1.3782675055761719E-2</v>
      </c>
      <c r="K65" s="5">
        <v>15</v>
      </c>
      <c r="L65" s="46">
        <v>3.6255288174037739E-2</v>
      </c>
      <c r="M65" s="46">
        <v>4.6979036161935564E-2</v>
      </c>
      <c r="N65" s="5" t="s">
        <v>205</v>
      </c>
      <c r="O65" s="15"/>
    </row>
    <row r="66" spans="2:15" ht="43.2" x14ac:dyDescent="0.3">
      <c r="B66" s="5" t="s">
        <v>144</v>
      </c>
      <c r="C66" s="12">
        <v>20.294117647058826</v>
      </c>
      <c r="D66" s="42">
        <v>0.46302067700687888</v>
      </c>
      <c r="E66" s="42">
        <v>0.1193771626297578</v>
      </c>
      <c r="F66" s="12">
        <v>5</v>
      </c>
      <c r="G66" s="46">
        <v>0.52803178143295249</v>
      </c>
      <c r="H66" s="46">
        <v>2.1121271257318101E-2</v>
      </c>
      <c r="I66" s="46">
        <v>0.60934763326270625</v>
      </c>
      <c r="J66" s="46">
        <v>2.4373905330508251E-2</v>
      </c>
      <c r="K66" s="5">
        <v>15</v>
      </c>
      <c r="L66" s="46">
        <v>7.1993061010953277E-2</v>
      </c>
      <c r="M66" s="46">
        <v>8.3079850268316255E-2</v>
      </c>
      <c r="N66" s="5" t="s">
        <v>205</v>
      </c>
      <c r="O66" s="15" t="s">
        <v>268</v>
      </c>
    </row>
    <row r="67" spans="2:15" x14ac:dyDescent="0.3">
      <c r="B67" s="5" t="s">
        <v>145</v>
      </c>
      <c r="C67" s="12">
        <v>31.764705882352946</v>
      </c>
      <c r="D67" s="42">
        <v>0.72472801618467997</v>
      </c>
      <c r="E67" s="42">
        <v>0.18685121107266439</v>
      </c>
      <c r="F67" s="12" t="s">
        <v>166</v>
      </c>
      <c r="K67" s="5">
        <v>15</v>
      </c>
      <c r="L67" s="46" t="s">
        <v>166</v>
      </c>
      <c r="N67" s="5" t="s">
        <v>205</v>
      </c>
      <c r="O67" s="15"/>
    </row>
    <row r="68" spans="2:15" ht="43.2" x14ac:dyDescent="0.3">
      <c r="B68" s="5" t="s">
        <v>146</v>
      </c>
      <c r="C68" s="12">
        <v>27.352941176470594</v>
      </c>
      <c r="D68" s="42">
        <v>0.62407134727014113</v>
      </c>
      <c r="E68" s="42">
        <v>0.16089965397923878</v>
      </c>
      <c r="F68" s="12" t="s">
        <v>166</v>
      </c>
      <c r="K68" s="5">
        <v>15</v>
      </c>
      <c r="L68" s="46" t="s">
        <v>166</v>
      </c>
      <c r="N68" s="5" t="s">
        <v>205</v>
      </c>
      <c r="O68" s="15" t="s">
        <v>269</v>
      </c>
    </row>
    <row r="69" spans="2:15" x14ac:dyDescent="0.3">
      <c r="B69" s="5" t="s">
        <v>147</v>
      </c>
      <c r="C69" s="12">
        <v>15.000000000000002</v>
      </c>
      <c r="D69" s="42">
        <v>0.34223267430943222</v>
      </c>
      <c r="E69" s="42">
        <v>8.8235294117647065E-2</v>
      </c>
      <c r="F69" s="12">
        <v>3</v>
      </c>
      <c r="G69" s="46">
        <v>0.2341706161137441</v>
      </c>
      <c r="H69" s="46">
        <v>9.3668246445497635E-3</v>
      </c>
      <c r="I69" s="46">
        <v>0.30343462696148599</v>
      </c>
      <c r="J69" s="46">
        <v>1.2137385078459439E-2</v>
      </c>
      <c r="K69" s="5">
        <v>15</v>
      </c>
      <c r="L69" s="46">
        <v>3.1927357491814051E-2</v>
      </c>
      <c r="N69" s="5" t="s">
        <v>205</v>
      </c>
      <c r="O69" s="15"/>
    </row>
    <row r="70" spans="2:15" ht="43.2" x14ac:dyDescent="0.3">
      <c r="B70" s="5" t="s">
        <v>148</v>
      </c>
      <c r="C70" s="12">
        <v>14.2</v>
      </c>
      <c r="D70" s="42">
        <v>0.32398026501292909</v>
      </c>
      <c r="E70" s="42">
        <v>8.352941176470588E-2</v>
      </c>
      <c r="F70" s="12">
        <v>3</v>
      </c>
      <c r="G70" s="46">
        <v>0.22168151658767771</v>
      </c>
      <c r="H70" s="46">
        <v>8.8672606635071087E-3</v>
      </c>
      <c r="I70" s="46">
        <v>0.23105012437036654</v>
      </c>
      <c r="J70" s="46">
        <v>9.2420049748146611E-3</v>
      </c>
      <c r="K70" s="5">
        <v>15</v>
      </c>
      <c r="L70" s="46">
        <v>3.0224565092250633E-2</v>
      </c>
      <c r="N70" s="5" t="s">
        <v>205</v>
      </c>
      <c r="O70" s="15" t="s">
        <v>270</v>
      </c>
    </row>
    <row r="71" spans="2:15" x14ac:dyDescent="0.3">
      <c r="B71" s="5" t="s">
        <v>150</v>
      </c>
      <c r="C71" s="12">
        <v>54</v>
      </c>
      <c r="D71" s="42">
        <v>1.232037627513956</v>
      </c>
      <c r="E71" s="42">
        <v>0.31764705882352939</v>
      </c>
      <c r="F71" s="12" t="s">
        <v>166</v>
      </c>
      <c r="K71" s="5">
        <v>15</v>
      </c>
      <c r="L71" s="46" t="s">
        <v>166</v>
      </c>
    </row>
    <row r="72" spans="2:15" x14ac:dyDescent="0.3">
      <c r="D72" s="42"/>
    </row>
    <row r="73" spans="2:15" x14ac:dyDescent="0.3">
      <c r="B73" s="64" t="s">
        <v>151</v>
      </c>
      <c r="C73" s="67"/>
      <c r="D73" s="66"/>
      <c r="E73" s="66"/>
      <c r="F73" s="67"/>
      <c r="G73" s="69"/>
      <c r="H73" s="69"/>
      <c r="I73" s="69"/>
      <c r="J73" s="69"/>
      <c r="K73" s="68"/>
      <c r="L73" s="69"/>
      <c r="M73" s="69"/>
      <c r="N73" s="68"/>
      <c r="O73" s="68"/>
    </row>
    <row r="74" spans="2:15" x14ac:dyDescent="0.3">
      <c r="B74" s="5" t="s">
        <v>266</v>
      </c>
      <c r="C74" s="12">
        <v>9.2051610293530608</v>
      </c>
      <c r="D74" s="42">
        <v>0.4</v>
      </c>
      <c r="E74" s="42">
        <v>5.4148006055018003E-2</v>
      </c>
      <c r="F74" s="12">
        <v>3</v>
      </c>
      <c r="G74" s="46">
        <v>0.14370521531132219</v>
      </c>
      <c r="H74" s="46">
        <v>5.7482086124528873E-3</v>
      </c>
      <c r="I74" s="46">
        <v>0.18621097353747693</v>
      </c>
      <c r="J74" s="46">
        <v>7.4484389414990774E-3</v>
      </c>
      <c r="K74" s="5">
        <v>15</v>
      </c>
      <c r="L74" s="46">
        <v>1.9593097796924679E-2</v>
      </c>
      <c r="M74" s="46">
        <v>2.5388430110044075E-2</v>
      </c>
      <c r="N74" s="5" t="s">
        <v>205</v>
      </c>
    </row>
    <row r="75" spans="2:15" x14ac:dyDescent="0.3">
      <c r="B75" s="5" t="s">
        <v>152</v>
      </c>
      <c r="C75" s="12">
        <v>21</v>
      </c>
      <c r="D75" s="42">
        <v>0.91253156497908139</v>
      </c>
      <c r="E75" s="42">
        <v>0.12352941176470589</v>
      </c>
      <c r="F75" s="12">
        <v>3.4</v>
      </c>
      <c r="G75" s="46">
        <v>0.37155071090047392</v>
      </c>
      <c r="H75" s="46">
        <v>1.4862028436018956E-2</v>
      </c>
      <c r="I75" s="46">
        <v>0.48144960811222437</v>
      </c>
      <c r="J75" s="46">
        <v>1.9257984324488976E-2</v>
      </c>
      <c r="K75" s="5">
        <v>15</v>
      </c>
      <c r="L75" s="46">
        <v>5.0658073887011622E-2</v>
      </c>
      <c r="M75" s="46">
        <v>6.5641940938594892E-2</v>
      </c>
      <c r="N75" s="5" t="s">
        <v>205</v>
      </c>
    </row>
    <row r="76" spans="2:15" x14ac:dyDescent="0.3">
      <c r="B76" s="5" t="s">
        <v>153</v>
      </c>
      <c r="C76" s="12">
        <v>9.5500000000000007</v>
      </c>
      <c r="D76" s="42">
        <v>0.41498459264524895</v>
      </c>
      <c r="E76" s="42">
        <v>5.61764705882353E-2</v>
      </c>
      <c r="F76" s="12" t="s">
        <v>166</v>
      </c>
      <c r="K76" s="5">
        <v>15</v>
      </c>
      <c r="L76" s="46" t="s">
        <v>166</v>
      </c>
    </row>
    <row r="77" spans="2:15" x14ac:dyDescent="0.3">
      <c r="D77" s="42"/>
    </row>
    <row r="78" spans="2:15" x14ac:dyDescent="0.3">
      <c r="B78" s="64" t="s">
        <v>18</v>
      </c>
      <c r="C78" s="65"/>
      <c r="D78" s="109"/>
      <c r="E78" s="66"/>
      <c r="F78" s="67"/>
      <c r="G78" s="69"/>
      <c r="H78" s="69"/>
      <c r="I78" s="69"/>
      <c r="J78" s="69"/>
      <c r="K78" s="68"/>
      <c r="L78" s="69"/>
      <c r="M78" s="69"/>
      <c r="N78" s="68"/>
    </row>
    <row r="79" spans="2:15" x14ac:dyDescent="0.3">
      <c r="B79" s="5" t="s">
        <v>265</v>
      </c>
      <c r="C79" s="12">
        <v>5.2941176470588243</v>
      </c>
      <c r="D79" s="42">
        <v>8.0627038634406248E-2</v>
      </c>
      <c r="E79" s="42">
        <v>3.1141868512110732E-2</v>
      </c>
      <c r="F79" s="12">
        <v>1</v>
      </c>
      <c r="G79" s="46">
        <v>2.7549484248675777E-2</v>
      </c>
      <c r="H79" s="46">
        <v>5.5098968497351551E-4</v>
      </c>
      <c r="I79" s="46">
        <v>3.5698191407233647E-2</v>
      </c>
      <c r="J79" s="46">
        <v>7.1396382814467292E-4</v>
      </c>
      <c r="K79" s="5">
        <v>15</v>
      </c>
      <c r="L79" s="46">
        <v>3.2051700199457848E-3</v>
      </c>
      <c r="M79" s="46">
        <v>4.1532092518302335E-3</v>
      </c>
      <c r="N79" s="5" t="s">
        <v>205</v>
      </c>
    </row>
    <row r="80" spans="2:15" x14ac:dyDescent="0.3">
      <c r="B80" s="5" t="s">
        <v>155</v>
      </c>
      <c r="C80" s="12">
        <v>43.7745429384996</v>
      </c>
      <c r="D80" s="42">
        <v>0.66666666666666663</v>
      </c>
      <c r="E80" s="42">
        <v>0.2574973114029388</v>
      </c>
      <c r="F80" s="12">
        <v>10</v>
      </c>
      <c r="G80" s="46">
        <v>2.2779359311124434</v>
      </c>
      <c r="H80" s="46">
        <v>9.1117437244497737E-2</v>
      </c>
      <c r="I80" s="46">
        <v>2.7467926470307331</v>
      </c>
      <c r="J80" s="46">
        <v>0.10987170588122933</v>
      </c>
      <c r="K80" s="5">
        <v>15</v>
      </c>
      <c r="L80" s="46">
        <v>0.31057899587516463</v>
      </c>
      <c r="M80" s="46">
        <v>0.37450399308442184</v>
      </c>
      <c r="N80" s="5" t="s">
        <v>205</v>
      </c>
    </row>
    <row r="81" spans="2:15" x14ac:dyDescent="0.3">
      <c r="B81" s="5" t="s">
        <v>154</v>
      </c>
      <c r="C81" s="12" t="s">
        <v>166</v>
      </c>
      <c r="D81" s="42"/>
      <c r="G81" s="46">
        <v>3</v>
      </c>
      <c r="L81" s="46" t="s">
        <v>166</v>
      </c>
    </row>
    <row r="83" spans="2:15" x14ac:dyDescent="0.3">
      <c r="B83" s="64" t="s">
        <v>411</v>
      </c>
      <c r="C83" s="67"/>
      <c r="D83" s="67"/>
      <c r="E83" s="66"/>
      <c r="F83" s="67"/>
      <c r="G83" s="69"/>
      <c r="H83" s="69"/>
      <c r="I83" s="69"/>
      <c r="J83" s="69"/>
      <c r="K83" s="68"/>
      <c r="L83" s="69"/>
      <c r="M83" s="69"/>
      <c r="N83" s="68"/>
      <c r="O83" s="68"/>
    </row>
    <row r="84" spans="2:15" x14ac:dyDescent="0.3">
      <c r="B84" s="5" t="s">
        <v>243</v>
      </c>
      <c r="C84" s="12">
        <v>1.8529411764705883</v>
      </c>
      <c r="E84" s="42">
        <v>1.0899653979238755E-2</v>
      </c>
      <c r="F84" s="12">
        <v>0.03</v>
      </c>
      <c r="G84" s="46">
        <v>2.8926958461109563E-4</v>
      </c>
      <c r="H84" s="46">
        <v>5.7853916922219129E-6</v>
      </c>
      <c r="I84" s="46">
        <v>3.3576361892306952E-4</v>
      </c>
      <c r="K84" s="5">
        <v>15</v>
      </c>
      <c r="L84" s="46">
        <v>3.3654285209430739E-5</v>
      </c>
      <c r="M84" s="46">
        <v>3.2348235143007092E-5</v>
      </c>
      <c r="N84" s="5" t="s">
        <v>256</v>
      </c>
    </row>
    <row r="85" spans="2:15" x14ac:dyDescent="0.3">
      <c r="B85" s="5" t="s">
        <v>161</v>
      </c>
      <c r="C85" s="12">
        <v>3.4</v>
      </c>
      <c r="E85" s="42">
        <v>0.02</v>
      </c>
      <c r="F85" s="12">
        <v>0.30425963488843816</v>
      </c>
      <c r="G85" s="46">
        <v>5.3832325543389454E-3</v>
      </c>
      <c r="H85" s="46">
        <v>1.0766465108677891E-4</v>
      </c>
      <c r="I85" s="46">
        <v>6.009352520048283E-3</v>
      </c>
      <c r="K85" s="5">
        <v>2</v>
      </c>
      <c r="L85" s="46">
        <v>3.002793378481259E-3</v>
      </c>
      <c r="M85" s="46">
        <v>3.2318590991966966E-3</v>
      </c>
      <c r="N85" s="5" t="s">
        <v>214</v>
      </c>
    </row>
    <row r="86" spans="2:15" x14ac:dyDescent="0.3">
      <c r="B86" s="5" t="s">
        <v>162</v>
      </c>
      <c r="C86" s="12">
        <v>2.2058823529411766</v>
      </c>
      <c r="E86" s="42">
        <v>1.2975778546712804E-2</v>
      </c>
      <c r="F86" s="12">
        <v>2.7</v>
      </c>
      <c r="G86" s="46">
        <v>3.099316977976025E-2</v>
      </c>
      <c r="H86" s="46">
        <v>6.1986339559520504E-4</v>
      </c>
      <c r="I86" s="46">
        <v>4.0160465333137857E-2</v>
      </c>
      <c r="K86" s="5">
        <v>15</v>
      </c>
      <c r="L86" s="46">
        <v>3.6058162724390084E-3</v>
      </c>
      <c r="M86" s="46">
        <v>3.8691511016462556E-3</v>
      </c>
      <c r="N86" s="5" t="s">
        <v>205</v>
      </c>
    </row>
    <row r="87" spans="2:15" x14ac:dyDescent="0.3">
      <c r="B87" s="5" t="s">
        <v>398</v>
      </c>
      <c r="C87" s="12">
        <v>16</v>
      </c>
      <c r="E87" s="42">
        <v>9.4117647058823528E-2</v>
      </c>
      <c r="F87" s="12">
        <v>0.78740157480314954</v>
      </c>
      <c r="G87" s="46">
        <v>6.5559577564652749E-2</v>
      </c>
      <c r="H87" s="46">
        <v>1.311191551293055E-3</v>
      </c>
      <c r="I87" s="46">
        <v>8.3652387892229813E-2</v>
      </c>
      <c r="K87" s="5">
        <v>15</v>
      </c>
      <c r="L87" s="46">
        <v>7.6273512285673951E-3</v>
      </c>
      <c r="M87" s="46">
        <v>8.0592624135132768E-3</v>
      </c>
      <c r="N87" s="5" t="s">
        <v>205</v>
      </c>
    </row>
    <row r="89" spans="2:15" x14ac:dyDescent="0.3">
      <c r="B89" s="64" t="s">
        <v>171</v>
      </c>
      <c r="C89" s="67"/>
      <c r="D89" s="67"/>
      <c r="E89" s="66"/>
      <c r="F89" s="67"/>
      <c r="G89" s="69"/>
      <c r="H89" s="69"/>
      <c r="I89" s="69"/>
      <c r="J89" s="69"/>
      <c r="K89" s="68"/>
      <c r="L89" s="69"/>
      <c r="M89" s="69"/>
      <c r="N89" s="68"/>
      <c r="O89" s="68"/>
    </row>
    <row r="90" spans="2:15" x14ac:dyDescent="0.3">
      <c r="B90" s="5" t="s">
        <v>168</v>
      </c>
      <c r="C90" s="12">
        <v>0.15000000000000002</v>
      </c>
      <c r="E90" s="42">
        <v>8.8235294117647073E-4</v>
      </c>
      <c r="F90" s="12">
        <v>1.2</v>
      </c>
      <c r="G90" s="46">
        <v>9.3668246445497631E-4</v>
      </c>
      <c r="H90" s="46">
        <v>9.3668246445497641E-6</v>
      </c>
      <c r="I90" s="46">
        <v>9.9682126824144355E-4</v>
      </c>
      <c r="J90" s="46">
        <v>9.9682126824144352E-6</v>
      </c>
      <c r="K90" s="5">
        <v>15</v>
      </c>
      <c r="L90" s="46">
        <v>9.9608956033606921E-5</v>
      </c>
      <c r="M90" s="46">
        <v>1.0600425400234334E-4</v>
      </c>
      <c r="N90" s="5" t="s">
        <v>256</v>
      </c>
    </row>
    <row r="91" spans="2:15" x14ac:dyDescent="0.3">
      <c r="B91" s="5" t="s">
        <v>167</v>
      </c>
      <c r="C91" s="12">
        <v>3</v>
      </c>
      <c r="E91" s="42">
        <v>1.7647058823529412E-2</v>
      </c>
      <c r="F91" s="12">
        <v>6.2954615020730714E-2</v>
      </c>
      <c r="G91" s="46">
        <v>9.8280806577387197E-4</v>
      </c>
      <c r="H91" s="46">
        <v>1.9656161315477441E-5</v>
      </c>
      <c r="I91" s="46">
        <v>1.3211009473612996E-3</v>
      </c>
      <c r="J91" s="46">
        <v>2.6422018947225992E-5</v>
      </c>
      <c r="K91" s="5">
        <v>2</v>
      </c>
      <c r="L91" s="46">
        <v>5.4821513327435217E-4</v>
      </c>
      <c r="M91" s="46">
        <v>7.369165528329977E-4</v>
      </c>
      <c r="N91" s="5" t="s">
        <v>205</v>
      </c>
    </row>
    <row r="92" spans="2:15" x14ac:dyDescent="0.3">
      <c r="B92" s="5" t="s">
        <v>169</v>
      </c>
      <c r="C92" s="12">
        <v>5.0999999999999996</v>
      </c>
      <c r="E92" s="42">
        <v>0.03</v>
      </c>
      <c r="F92" s="12">
        <v>0.54054054054054057</v>
      </c>
      <c r="G92" s="46">
        <v>1.4345587293454592E-2</v>
      </c>
      <c r="H92" s="46">
        <v>2.8691174586909185E-4</v>
      </c>
      <c r="I92" s="46">
        <v>1.60141123912638E-2</v>
      </c>
      <c r="J92" s="46">
        <v>3.20282247825276E-4</v>
      </c>
      <c r="K92" s="5">
        <v>2</v>
      </c>
      <c r="L92" s="46">
        <v>8.0020385707635696E-3</v>
      </c>
      <c r="M92" s="46">
        <v>8.9327500094683633E-3</v>
      </c>
      <c r="N92" s="5" t="s">
        <v>214</v>
      </c>
    </row>
    <row r="93" spans="2:15" x14ac:dyDescent="0.3">
      <c r="B93" s="5" t="s">
        <v>172</v>
      </c>
      <c r="C93" s="12">
        <v>13.6</v>
      </c>
      <c r="E93" s="42">
        <v>0.08</v>
      </c>
      <c r="F93" s="12">
        <v>1.1000000000000001</v>
      </c>
      <c r="G93" s="46">
        <v>7.7848720379146932E-2</v>
      </c>
      <c r="H93" s="46">
        <v>1.5569744075829388E-3</v>
      </c>
      <c r="I93" s="46">
        <v>0.10300608794768733</v>
      </c>
      <c r="J93" s="46">
        <v>2.0601217589537465E-3</v>
      </c>
      <c r="K93" s="5">
        <v>15</v>
      </c>
      <c r="L93" s="46">
        <v>9.0570982163623564E-3</v>
      </c>
      <c r="M93" s="46">
        <v>1.198396390951296E-2</v>
      </c>
      <c r="N93" s="5" t="s">
        <v>205</v>
      </c>
    </row>
    <row r="94" spans="2:15" x14ac:dyDescent="0.3">
      <c r="B94" s="5" t="s">
        <v>170</v>
      </c>
      <c r="C94" s="12">
        <v>17.205882352941178</v>
      </c>
      <c r="E94" s="42">
        <v>0.10121107266435987</v>
      </c>
      <c r="F94" s="12">
        <v>1.5</v>
      </c>
      <c r="G94" s="46">
        <v>0.13430373571229443</v>
      </c>
      <c r="H94" s="46">
        <v>5.3721494284917773E-3</v>
      </c>
      <c r="I94" s="46">
        <v>0.17136822128087911</v>
      </c>
      <c r="J94" s="46">
        <v>6.8547288512351649E-3</v>
      </c>
      <c r="K94" s="5">
        <v>15</v>
      </c>
      <c r="L94" s="46">
        <v>1.8311278561481591E-2</v>
      </c>
      <c r="M94" s="46">
        <v>2.3364735312962251E-2</v>
      </c>
      <c r="N94" s="5" t="s">
        <v>256</v>
      </c>
    </row>
    <row r="96" spans="2:15" x14ac:dyDescent="0.3">
      <c r="B96" s="64" t="s">
        <v>173</v>
      </c>
      <c r="C96" s="67"/>
      <c r="D96" s="67"/>
      <c r="E96" s="66">
        <v>0</v>
      </c>
      <c r="F96" s="67"/>
      <c r="G96" s="69"/>
      <c r="H96" s="69"/>
      <c r="I96" s="69"/>
      <c r="J96" s="69"/>
      <c r="K96" s="68"/>
      <c r="L96" s="69"/>
      <c r="M96" s="69"/>
      <c r="N96" s="68"/>
      <c r="O96" s="68"/>
    </row>
    <row r="97" spans="2:14" ht="28.8" x14ac:dyDescent="0.3">
      <c r="B97" s="15" t="s">
        <v>175</v>
      </c>
      <c r="C97" s="12">
        <v>23.8</v>
      </c>
      <c r="E97" s="42">
        <v>0.14000000000000001</v>
      </c>
      <c r="F97" s="12">
        <v>4.5</v>
      </c>
      <c r="G97" s="46">
        <v>0.55732606635071091</v>
      </c>
      <c r="H97" s="46">
        <v>2.2293042654028438E-2</v>
      </c>
      <c r="I97" s="46">
        <v>0.58087953802972447</v>
      </c>
      <c r="J97" s="46">
        <v>2.3235181521188978E-2</v>
      </c>
      <c r="K97" s="5">
        <v>30</v>
      </c>
      <c r="L97" s="46">
        <v>5.8547903077787636E-2</v>
      </c>
      <c r="M97" s="46">
        <v>6.1022229078790666E-2</v>
      </c>
      <c r="N97" s="5" t="s">
        <v>205</v>
      </c>
    </row>
    <row r="98" spans="2:14" x14ac:dyDescent="0.3">
      <c r="B98" s="15" t="s">
        <v>174</v>
      </c>
      <c r="C98" s="12">
        <v>73.67647058823529</v>
      </c>
      <c r="E98" s="42">
        <v>0.43339100346020759</v>
      </c>
      <c r="F98" s="12">
        <v>3.5</v>
      </c>
      <c r="G98" s="46">
        <v>1.3418894619459159</v>
      </c>
      <c r="H98" s="46">
        <v>5.3675578477836633E-2</v>
      </c>
      <c r="I98" s="46">
        <v>1.3985998104233561</v>
      </c>
      <c r="J98" s="46">
        <v>5.5943992416934249E-2</v>
      </c>
      <c r="K98" s="5">
        <v>30</v>
      </c>
      <c r="L98" s="46">
        <v>0.14096741369651866</v>
      </c>
      <c r="M98" s="46">
        <v>0.14692491718797634</v>
      </c>
      <c r="N98" s="5" t="s">
        <v>205</v>
      </c>
    </row>
    <row r="99" spans="2:14" x14ac:dyDescent="0.3">
      <c r="B99" s="15" t="s">
        <v>149</v>
      </c>
      <c r="C99" s="12">
        <v>20.5</v>
      </c>
      <c r="E99" s="42">
        <v>0.12058823529411765</v>
      </c>
      <c r="F99" s="12" t="s">
        <v>166</v>
      </c>
      <c r="L99" s="46" t="s">
        <v>166</v>
      </c>
    </row>
    <row r="102" spans="2:14" x14ac:dyDescent="0.3">
      <c r="B102" s="5" t="s">
        <v>399</v>
      </c>
    </row>
    <row r="103" spans="2:14" x14ac:dyDescent="0.3">
      <c r="B103" s="5" t="s">
        <v>400</v>
      </c>
    </row>
  </sheetData>
  <sortState xmlns:xlrd2="http://schemas.microsoft.com/office/spreadsheetml/2017/richdata2" ref="B97:N99">
    <sortCondition ref="M97:M99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38"/>
  <sheetViews>
    <sheetView topLeftCell="A22" workbookViewId="0">
      <selection activeCell="L10" sqref="L10"/>
    </sheetView>
  </sheetViews>
  <sheetFormatPr defaultRowHeight="14.4" x14ac:dyDescent="0.3"/>
  <cols>
    <col min="2" max="2" width="26.44140625" customWidth="1"/>
    <col min="9" max="9" width="15.88671875" customWidth="1"/>
    <col min="11" max="11" width="11.109375" bestFit="1" customWidth="1"/>
    <col min="15" max="15" width="18.77734375" customWidth="1"/>
  </cols>
  <sheetData>
    <row r="1" spans="2:15" x14ac:dyDescent="0.3">
      <c r="I1" s="6"/>
      <c r="J1" s="6" t="s">
        <v>15</v>
      </c>
      <c r="K1" s="6" t="s">
        <v>16</v>
      </c>
      <c r="L1" s="6" t="s">
        <v>17</v>
      </c>
      <c r="M1" s="6" t="s">
        <v>18</v>
      </c>
    </row>
    <row r="2" spans="2:15" x14ac:dyDescent="0.3">
      <c r="B2" t="s">
        <v>19</v>
      </c>
      <c r="I2" s="6" t="s">
        <v>20</v>
      </c>
      <c r="J2" s="6">
        <v>10</v>
      </c>
      <c r="K2" s="6">
        <v>75</v>
      </c>
      <c r="L2" s="6">
        <v>51.7</v>
      </c>
      <c r="M2" s="6">
        <v>62</v>
      </c>
    </row>
    <row r="3" spans="2:15" x14ac:dyDescent="0.3">
      <c r="D3" t="s">
        <v>21</v>
      </c>
      <c r="I3" s="6" t="s">
        <v>22</v>
      </c>
      <c r="J3" s="6">
        <v>75</v>
      </c>
      <c r="K3" s="6">
        <v>100</v>
      </c>
      <c r="L3" s="6">
        <v>71</v>
      </c>
      <c r="M3" s="6">
        <v>82</v>
      </c>
    </row>
    <row r="4" spans="2:15" x14ac:dyDescent="0.3">
      <c r="I4" s="6" t="s">
        <v>23</v>
      </c>
      <c r="J4" s="6" t="s">
        <v>24</v>
      </c>
      <c r="K4" s="6"/>
      <c r="L4" s="6"/>
      <c r="M4" s="6"/>
    </row>
    <row r="5" spans="2:15" x14ac:dyDescent="0.3">
      <c r="I5" s="6" t="s">
        <v>25</v>
      </c>
      <c r="J5" s="6">
        <f>'[1]Mass and energy balance'!B5</f>
        <v>66.301886792452805</v>
      </c>
      <c r="K5" s="6">
        <f>'[1]Mass and energy balance'!B17</f>
        <v>71.20754716981132</v>
      </c>
      <c r="L5" s="6">
        <f>'[1]Mass and energy balance'!B41</f>
        <v>100</v>
      </c>
      <c r="M5" s="6">
        <f>'[1]Mass and energy balance'!B52</f>
        <v>106</v>
      </c>
    </row>
    <row r="6" spans="2:15" x14ac:dyDescent="0.3">
      <c r="B6" s="1" t="s">
        <v>26</v>
      </c>
      <c r="C6">
        <v>4.0999999999999996</v>
      </c>
      <c r="D6" t="s">
        <v>27</v>
      </c>
      <c r="I6" s="6" t="s">
        <v>28</v>
      </c>
      <c r="J6" s="6">
        <f>'[1]Mass and energy balance'!B4</f>
        <v>15.09433962264151</v>
      </c>
      <c r="K6" s="6"/>
      <c r="L6" s="6"/>
      <c r="M6" s="6"/>
    </row>
    <row r="7" spans="2:15" x14ac:dyDescent="0.3">
      <c r="B7" s="1" t="s">
        <v>29</v>
      </c>
      <c r="I7" s="6" t="s">
        <v>30</v>
      </c>
      <c r="J7" s="6">
        <v>4.0999999999999996</v>
      </c>
      <c r="K7" s="6">
        <v>4.0999999999999996</v>
      </c>
      <c r="L7" s="6">
        <v>4.0999999999999996</v>
      </c>
      <c r="M7" s="6">
        <v>4.18</v>
      </c>
    </row>
    <row r="8" spans="2:15" x14ac:dyDescent="0.3">
      <c r="B8" t="s">
        <v>31</v>
      </c>
      <c r="I8" s="6" t="s">
        <v>32</v>
      </c>
      <c r="J8" s="6">
        <v>1.59</v>
      </c>
      <c r="K8" s="6"/>
      <c r="L8" s="6"/>
      <c r="M8" s="6"/>
    </row>
    <row r="9" spans="2:15" x14ac:dyDescent="0.3">
      <c r="B9" t="s">
        <v>33</v>
      </c>
      <c r="I9" s="6" t="s">
        <v>34</v>
      </c>
      <c r="J9" s="6">
        <f>J5*J7*(J3-J2)/1000</f>
        <v>17.669452830188671</v>
      </c>
      <c r="K9" s="6">
        <f>K5*K7*(K3-K2)/1000</f>
        <v>7.2987735849056588</v>
      </c>
      <c r="L9" s="6">
        <f>L5*L7*(L3-L2)/1000</f>
        <v>7.9129999999999985</v>
      </c>
      <c r="M9" s="6">
        <f>M5*M7*(M3-M2)/1000</f>
        <v>8.861600000000001</v>
      </c>
    </row>
    <row r="10" spans="2:15" x14ac:dyDescent="0.3">
      <c r="B10" t="s">
        <v>35</v>
      </c>
      <c r="I10" s="6" t="s">
        <v>36</v>
      </c>
      <c r="J10" s="6">
        <f>J6*J8*(J3-J2)/1000</f>
        <v>1.56</v>
      </c>
      <c r="K10" s="6"/>
      <c r="L10" s="6"/>
      <c r="M10" s="6"/>
    </row>
    <row r="11" spans="2:15" x14ac:dyDescent="0.3">
      <c r="I11" s="6" t="s">
        <v>37</v>
      </c>
      <c r="J11" s="6">
        <v>0.06</v>
      </c>
      <c r="K11" s="6">
        <v>0.21</v>
      </c>
      <c r="L11" s="6">
        <f>0.52*0.4</f>
        <v>0.20800000000000002</v>
      </c>
      <c r="M11" s="6">
        <f>0.52*0.6</f>
        <v>0.312</v>
      </c>
      <c r="N11" t="s">
        <v>10</v>
      </c>
    </row>
    <row r="12" spans="2:15" x14ac:dyDescent="0.3">
      <c r="I12" s="6" t="s">
        <v>38</v>
      </c>
      <c r="J12" s="6">
        <v>0</v>
      </c>
      <c r="K12" s="6">
        <f>K5*0.04*2258/1000</f>
        <v>6.4314656603773592</v>
      </c>
      <c r="L12" s="6">
        <v>0</v>
      </c>
      <c r="M12" s="6">
        <v>0</v>
      </c>
    </row>
    <row r="13" spans="2:15" x14ac:dyDescent="0.3">
      <c r="B13" t="s">
        <v>39</v>
      </c>
      <c r="I13" s="6" t="s">
        <v>40</v>
      </c>
      <c r="J13" s="6">
        <f>SUM(J9:J12)</f>
        <v>19.289452830188669</v>
      </c>
      <c r="K13" s="6">
        <f>SUM(K9:K12)</f>
        <v>13.940239245283017</v>
      </c>
      <c r="L13" s="6">
        <f>SUM(L9:L12)</f>
        <v>8.1209999999999987</v>
      </c>
      <c r="M13" s="6">
        <f>SUM(M9:M12)</f>
        <v>9.1736000000000004</v>
      </c>
      <c r="N13" s="7">
        <f>SUM(J13:M13)</f>
        <v>50.524292075471685</v>
      </c>
      <c r="O13" s="8" t="s">
        <v>41</v>
      </c>
    </row>
    <row r="14" spans="2:15" x14ac:dyDescent="0.3">
      <c r="I14" s="9"/>
      <c r="J14" s="14">
        <f>SUM(J11:J12)</f>
        <v>0.06</v>
      </c>
      <c r="K14" s="14">
        <f>SUM(K11:K12)</f>
        <v>6.6414656603773592</v>
      </c>
      <c r="L14" s="14">
        <f>SUM(L11:L12)</f>
        <v>0.20800000000000002</v>
      </c>
      <c r="M14" s="14">
        <f>SUM(M11:M12)</f>
        <v>0.312</v>
      </c>
    </row>
    <row r="15" spans="2:15" x14ac:dyDescent="0.3">
      <c r="I15" s="10" t="s">
        <v>42</v>
      </c>
      <c r="J15" s="11"/>
      <c r="K15" s="11"/>
      <c r="L15" s="11"/>
      <c r="M15" s="11"/>
    </row>
    <row r="16" spans="2:15" x14ac:dyDescent="0.3">
      <c r="F16" t="s">
        <v>21</v>
      </c>
      <c r="I16" s="9"/>
      <c r="J16" s="12"/>
      <c r="K16" s="12"/>
      <c r="L16" s="12"/>
      <c r="M16" s="12"/>
      <c r="N16" s="12"/>
    </row>
    <row r="20" spans="2:2" x14ac:dyDescent="0.3">
      <c r="B20" s="13" t="s">
        <v>43</v>
      </c>
    </row>
    <row r="21" spans="2:2" x14ac:dyDescent="0.3">
      <c r="B21" s="13" t="s">
        <v>44</v>
      </c>
    </row>
    <row r="22" spans="2:2" x14ac:dyDescent="0.3">
      <c r="B22" s="13" t="s">
        <v>45</v>
      </c>
    </row>
    <row r="23" spans="2:2" x14ac:dyDescent="0.3">
      <c r="B23" s="13" t="s">
        <v>46</v>
      </c>
    </row>
    <row r="24" spans="2:2" x14ac:dyDescent="0.3">
      <c r="B24" s="13" t="s">
        <v>47</v>
      </c>
    </row>
    <row r="25" spans="2:2" x14ac:dyDescent="0.3">
      <c r="B25" s="13" t="s">
        <v>48</v>
      </c>
    </row>
    <row r="26" spans="2:2" x14ac:dyDescent="0.3">
      <c r="B26" s="13" t="s">
        <v>49</v>
      </c>
    </row>
    <row r="27" spans="2:2" x14ac:dyDescent="0.3">
      <c r="B27" s="13" t="s">
        <v>50</v>
      </c>
    </row>
    <row r="28" spans="2:2" x14ac:dyDescent="0.3">
      <c r="B28" s="13" t="s">
        <v>51</v>
      </c>
    </row>
    <row r="30" spans="2:2" x14ac:dyDescent="0.3">
      <c r="B30" t="s">
        <v>52</v>
      </c>
    </row>
    <row r="33" spans="2:5" x14ac:dyDescent="0.3">
      <c r="E33" t="s">
        <v>21</v>
      </c>
    </row>
    <row r="36" spans="2:5" x14ac:dyDescent="0.3">
      <c r="B36" t="s">
        <v>53</v>
      </c>
    </row>
    <row r="37" spans="2:5" x14ac:dyDescent="0.3">
      <c r="B37" t="s">
        <v>54</v>
      </c>
    </row>
    <row r="38" spans="2:5" x14ac:dyDescent="0.3">
      <c r="B38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I72"/>
  <sheetViews>
    <sheetView topLeftCell="Q13" workbookViewId="0">
      <selection activeCell="AD18" sqref="AD18"/>
    </sheetView>
  </sheetViews>
  <sheetFormatPr defaultRowHeight="14.4" x14ac:dyDescent="0.3"/>
  <sheetData>
    <row r="2" spans="2:27" x14ac:dyDescent="0.3">
      <c r="B2" t="s">
        <v>293</v>
      </c>
      <c r="Q2" s="79"/>
      <c r="R2" s="80"/>
      <c r="S2" s="79" t="s">
        <v>294</v>
      </c>
      <c r="T2" s="79"/>
      <c r="W2" s="81" t="s">
        <v>296</v>
      </c>
      <c r="X2" s="91" t="s">
        <v>302</v>
      </c>
      <c r="Y2" s="81" t="s">
        <v>303</v>
      </c>
      <c r="AA2" s="94" t="s">
        <v>306</v>
      </c>
    </row>
    <row r="3" spans="2:27" x14ac:dyDescent="0.3">
      <c r="B3" t="s">
        <v>295</v>
      </c>
      <c r="Q3" s="81" t="s">
        <v>296</v>
      </c>
      <c r="R3" s="82" t="s">
        <v>212</v>
      </c>
      <c r="S3" s="81" t="s">
        <v>257</v>
      </c>
      <c r="T3" s="81" t="s">
        <v>263</v>
      </c>
      <c r="W3" s="83">
        <v>7.0000000000000007E-2</v>
      </c>
      <c r="X3" s="92">
        <f t="shared" ref="X3:X22" si="0">100%-W3</f>
        <v>0.92999999999999994</v>
      </c>
      <c r="Y3" s="83">
        <v>0</v>
      </c>
    </row>
    <row r="4" spans="2:27" x14ac:dyDescent="0.3">
      <c r="Q4" s="83">
        <v>7.0000000000000007E-2</v>
      </c>
      <c r="R4" s="84"/>
      <c r="S4" s="85">
        <v>0</v>
      </c>
      <c r="T4" s="85"/>
      <c r="W4" s="83">
        <v>0.1</v>
      </c>
      <c r="X4" s="92">
        <f t="shared" si="0"/>
        <v>0.9</v>
      </c>
      <c r="Y4" s="83">
        <v>0.63</v>
      </c>
    </row>
    <row r="5" spans="2:27" x14ac:dyDescent="0.3">
      <c r="Q5" s="83">
        <v>0.1</v>
      </c>
      <c r="R5" s="84"/>
      <c r="S5" s="85">
        <v>63</v>
      </c>
      <c r="T5" s="85">
        <v>65</v>
      </c>
      <c r="W5" s="83">
        <v>0.15</v>
      </c>
      <c r="X5" s="92">
        <f t="shared" si="0"/>
        <v>0.85</v>
      </c>
      <c r="Y5" s="83">
        <v>0.7</v>
      </c>
    </row>
    <row r="6" spans="2:27" x14ac:dyDescent="0.3">
      <c r="Q6" s="83">
        <v>0.15</v>
      </c>
      <c r="R6" s="84"/>
      <c r="S6" s="85">
        <v>70</v>
      </c>
      <c r="T6" s="85"/>
      <c r="W6" s="86">
        <f t="shared" ref="W6:W22" si="1">W5+5%</f>
        <v>0.2</v>
      </c>
      <c r="X6" s="92">
        <f t="shared" si="0"/>
        <v>0.8</v>
      </c>
      <c r="Y6" s="83">
        <v>0.74</v>
      </c>
    </row>
    <row r="7" spans="2:27" x14ac:dyDescent="0.3">
      <c r="Q7" s="86">
        <f t="shared" ref="Q7:Q23" si="2">Q6+5%</f>
        <v>0.2</v>
      </c>
      <c r="R7" s="84"/>
      <c r="S7" s="85">
        <v>74</v>
      </c>
      <c r="T7" s="85">
        <v>70</v>
      </c>
      <c r="W7" s="83">
        <f t="shared" si="1"/>
        <v>0.25</v>
      </c>
      <c r="X7" s="92">
        <f t="shared" si="0"/>
        <v>0.75</v>
      </c>
      <c r="Y7" s="83">
        <v>0.76</v>
      </c>
    </row>
    <row r="8" spans="2:27" x14ac:dyDescent="0.3">
      <c r="Q8" s="83">
        <f t="shared" si="2"/>
        <v>0.25</v>
      </c>
      <c r="R8" s="84">
        <v>82.6</v>
      </c>
      <c r="S8" s="85">
        <v>76</v>
      </c>
      <c r="T8" s="85"/>
      <c r="W8" s="83">
        <f t="shared" si="1"/>
        <v>0.3</v>
      </c>
      <c r="X8" s="92">
        <f t="shared" si="0"/>
        <v>0.7</v>
      </c>
      <c r="Y8" s="83">
        <v>0.77</v>
      </c>
    </row>
    <row r="9" spans="2:27" x14ac:dyDescent="0.3">
      <c r="Q9" s="83">
        <f t="shared" si="2"/>
        <v>0.3</v>
      </c>
      <c r="R9" s="84"/>
      <c r="S9" s="85">
        <v>77</v>
      </c>
      <c r="T9" s="85">
        <v>72</v>
      </c>
      <c r="W9" s="83">
        <f t="shared" si="1"/>
        <v>0.35</v>
      </c>
      <c r="X9" s="92">
        <f t="shared" si="0"/>
        <v>0.65</v>
      </c>
      <c r="Y9" s="83">
        <v>0.78</v>
      </c>
    </row>
    <row r="10" spans="2:27" x14ac:dyDescent="0.3">
      <c r="Q10" s="83">
        <f t="shared" si="2"/>
        <v>0.35</v>
      </c>
      <c r="R10" s="84"/>
      <c r="S10" s="85">
        <v>78</v>
      </c>
      <c r="T10" s="85"/>
      <c r="W10" s="83">
        <f t="shared" si="1"/>
        <v>0.39999999999999997</v>
      </c>
      <c r="X10" s="92">
        <f t="shared" si="0"/>
        <v>0.60000000000000009</v>
      </c>
      <c r="Y10" s="83">
        <v>0.79</v>
      </c>
    </row>
    <row r="11" spans="2:27" x14ac:dyDescent="0.3">
      <c r="Q11" s="83">
        <f t="shared" si="2"/>
        <v>0.39999999999999997</v>
      </c>
      <c r="R11" s="84"/>
      <c r="S11" s="85">
        <v>79</v>
      </c>
      <c r="T11" s="85">
        <v>73</v>
      </c>
      <c r="W11" s="83">
        <f t="shared" si="1"/>
        <v>0.44999999999999996</v>
      </c>
      <c r="X11" s="92">
        <f t="shared" si="0"/>
        <v>0.55000000000000004</v>
      </c>
      <c r="Y11" s="83">
        <v>0.8</v>
      </c>
    </row>
    <row r="12" spans="2:27" x14ac:dyDescent="0.3">
      <c r="Q12" s="83">
        <f t="shared" si="2"/>
        <v>0.44999999999999996</v>
      </c>
      <c r="R12" s="84"/>
      <c r="S12" s="85">
        <v>80</v>
      </c>
      <c r="T12" s="85"/>
      <c r="W12" s="83">
        <f t="shared" si="1"/>
        <v>0.49999999999999994</v>
      </c>
      <c r="X12" s="92">
        <f t="shared" si="0"/>
        <v>0.5</v>
      </c>
      <c r="Y12" s="83">
        <v>0.8</v>
      </c>
    </row>
    <row r="13" spans="2:27" x14ac:dyDescent="0.3">
      <c r="Q13" s="83">
        <f t="shared" si="2"/>
        <v>0.49999999999999994</v>
      </c>
      <c r="R13" s="84">
        <v>83.2</v>
      </c>
      <c r="S13" s="85">
        <v>80</v>
      </c>
      <c r="T13" s="85">
        <v>79</v>
      </c>
      <c r="W13" s="83">
        <f t="shared" si="1"/>
        <v>0.54999999999999993</v>
      </c>
      <c r="X13" s="92">
        <f t="shared" si="0"/>
        <v>0.45000000000000007</v>
      </c>
      <c r="Y13" s="83">
        <v>0.8</v>
      </c>
    </row>
    <row r="14" spans="2:27" x14ac:dyDescent="0.3">
      <c r="Q14" s="83">
        <f t="shared" si="2"/>
        <v>0.54999999999999993</v>
      </c>
      <c r="R14" s="84"/>
      <c r="S14" s="85">
        <v>80</v>
      </c>
      <c r="T14" s="85"/>
      <c r="W14" s="83">
        <f t="shared" si="1"/>
        <v>0.6</v>
      </c>
      <c r="X14" s="92">
        <f t="shared" si="0"/>
        <v>0.4</v>
      </c>
      <c r="Y14" s="83">
        <v>0.81</v>
      </c>
    </row>
    <row r="15" spans="2:27" x14ac:dyDescent="0.3">
      <c r="Q15" s="83">
        <f t="shared" si="2"/>
        <v>0.6</v>
      </c>
      <c r="R15" s="84"/>
      <c r="S15" s="85">
        <v>81</v>
      </c>
      <c r="T15" s="85">
        <v>80</v>
      </c>
      <c r="W15" s="83">
        <f t="shared" si="1"/>
        <v>0.65</v>
      </c>
      <c r="X15" s="92">
        <f t="shared" si="0"/>
        <v>0.35</v>
      </c>
      <c r="Y15" s="83">
        <v>0.81</v>
      </c>
    </row>
    <row r="16" spans="2:27" x14ac:dyDescent="0.3">
      <c r="Q16" s="83">
        <f t="shared" si="2"/>
        <v>0.65</v>
      </c>
      <c r="R16" s="84"/>
      <c r="S16" s="85">
        <v>81</v>
      </c>
      <c r="T16" s="85"/>
      <c r="W16" s="83">
        <f t="shared" si="1"/>
        <v>0.70000000000000007</v>
      </c>
      <c r="X16" s="92">
        <f t="shared" si="0"/>
        <v>0.29999999999999993</v>
      </c>
      <c r="Y16" s="83">
        <v>0.81</v>
      </c>
    </row>
    <row r="17" spans="2:25" x14ac:dyDescent="0.3">
      <c r="Q17" s="83">
        <f t="shared" si="2"/>
        <v>0.70000000000000007</v>
      </c>
      <c r="R17" s="84"/>
      <c r="S17" s="85">
        <v>81</v>
      </c>
      <c r="T17" s="85">
        <v>80</v>
      </c>
      <c r="W17" s="83">
        <f t="shared" si="1"/>
        <v>0.75000000000000011</v>
      </c>
      <c r="X17" s="92">
        <f t="shared" si="0"/>
        <v>0.24999999999999989</v>
      </c>
      <c r="Y17" s="83">
        <v>0.81</v>
      </c>
    </row>
    <row r="18" spans="2:25" x14ac:dyDescent="0.3">
      <c r="Q18" s="83">
        <f t="shared" si="2"/>
        <v>0.75000000000000011</v>
      </c>
      <c r="R18" s="84">
        <v>82.8</v>
      </c>
      <c r="S18" s="85">
        <v>81</v>
      </c>
      <c r="T18" s="85"/>
      <c r="W18" s="83">
        <f t="shared" si="1"/>
        <v>0.80000000000000016</v>
      </c>
      <c r="X18" s="92">
        <f t="shared" si="0"/>
        <v>0.19999999999999984</v>
      </c>
      <c r="Y18" s="83">
        <v>0.81</v>
      </c>
    </row>
    <row r="19" spans="2:25" x14ac:dyDescent="0.3">
      <c r="Q19" s="83">
        <f t="shared" si="2"/>
        <v>0.80000000000000016</v>
      </c>
      <c r="R19" s="84"/>
      <c r="S19" s="85">
        <v>81</v>
      </c>
      <c r="T19" s="85">
        <v>81</v>
      </c>
      <c r="W19" s="83">
        <f t="shared" si="1"/>
        <v>0.8500000000000002</v>
      </c>
      <c r="X19" s="92">
        <f t="shared" si="0"/>
        <v>0.1499999999999998</v>
      </c>
      <c r="Y19" s="83">
        <v>0.81</v>
      </c>
    </row>
    <row r="20" spans="2:25" x14ac:dyDescent="0.3">
      <c r="Q20" s="83">
        <f t="shared" si="2"/>
        <v>0.8500000000000002</v>
      </c>
      <c r="R20" s="84"/>
      <c r="S20" s="85">
        <v>81</v>
      </c>
      <c r="T20" s="85"/>
      <c r="W20" s="83">
        <f t="shared" si="1"/>
        <v>0.90000000000000024</v>
      </c>
      <c r="X20" s="92">
        <f t="shared" si="0"/>
        <v>9.9999999999999756E-2</v>
      </c>
      <c r="Y20" s="83">
        <v>0.82</v>
      </c>
    </row>
    <row r="21" spans="2:25" x14ac:dyDescent="0.3">
      <c r="Q21" s="83">
        <f t="shared" si="2"/>
        <v>0.90000000000000024</v>
      </c>
      <c r="R21" s="84"/>
      <c r="S21" s="85">
        <v>82</v>
      </c>
      <c r="T21" s="85">
        <v>81</v>
      </c>
      <c r="W21" s="83">
        <f t="shared" si="1"/>
        <v>0.95000000000000029</v>
      </c>
      <c r="X21" s="92">
        <f t="shared" si="0"/>
        <v>4.9999999999999711E-2</v>
      </c>
      <c r="Y21" s="83">
        <v>0.82</v>
      </c>
    </row>
    <row r="22" spans="2:25" x14ac:dyDescent="0.3">
      <c r="B22" t="s">
        <v>297</v>
      </c>
      <c r="C22" t="s">
        <v>298</v>
      </c>
      <c r="Q22" s="83">
        <f t="shared" si="2"/>
        <v>0.95000000000000029</v>
      </c>
      <c r="R22" s="84"/>
      <c r="S22" s="85">
        <v>82</v>
      </c>
      <c r="T22" s="85"/>
      <c r="W22" s="87">
        <f t="shared" si="1"/>
        <v>1.0000000000000002</v>
      </c>
      <c r="X22" s="93">
        <f t="shared" si="0"/>
        <v>0</v>
      </c>
      <c r="Y22" s="87">
        <v>0.82</v>
      </c>
    </row>
    <row r="23" spans="2:25" x14ac:dyDescent="0.3">
      <c r="Q23" s="87">
        <f t="shared" si="2"/>
        <v>1.0000000000000002</v>
      </c>
      <c r="R23" s="88">
        <v>82.5</v>
      </c>
      <c r="S23" s="89">
        <v>82</v>
      </c>
      <c r="T23" s="89">
        <v>81</v>
      </c>
    </row>
    <row r="28" spans="2:25" x14ac:dyDescent="0.3">
      <c r="B28" t="s">
        <v>299</v>
      </c>
      <c r="D28" s="90" t="s">
        <v>300</v>
      </c>
    </row>
    <row r="33" spans="2:35" x14ac:dyDescent="0.3">
      <c r="AI33">
        <v>-0.15740000000000001</v>
      </c>
    </row>
    <row r="34" spans="2:35" x14ac:dyDescent="0.3">
      <c r="AI34">
        <v>0.2697</v>
      </c>
    </row>
    <row r="35" spans="2:35" x14ac:dyDescent="0.3">
      <c r="AI35">
        <v>0.70189999999999997</v>
      </c>
    </row>
    <row r="36" spans="2:35" x14ac:dyDescent="0.3">
      <c r="AI36">
        <f>AI33*1+0.2697+0.7019</f>
        <v>0.81419999999999992</v>
      </c>
    </row>
    <row r="44" spans="2:35" x14ac:dyDescent="0.3">
      <c r="N44" t="s">
        <v>307</v>
      </c>
      <c r="U44" t="s">
        <v>308</v>
      </c>
      <c r="AC44" t="s">
        <v>309</v>
      </c>
    </row>
    <row r="48" spans="2:35" x14ac:dyDescent="0.3">
      <c r="B48" t="s">
        <v>301</v>
      </c>
    </row>
    <row r="72" spans="11:11" x14ac:dyDescent="0.3">
      <c r="K72" s="40"/>
    </row>
  </sheetData>
  <hyperlinks>
    <hyperlink ref="D28" r:id="rId1" xr:uid="{00000000-0004-0000-05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"/>
  <sheetViews>
    <sheetView topLeftCell="A19" workbookViewId="0">
      <selection activeCell="D35" sqref="D35"/>
    </sheetView>
  </sheetViews>
  <sheetFormatPr defaultRowHeight="14.4" x14ac:dyDescent="0.3"/>
  <cols>
    <col min="8" max="8" width="11.44140625" customWidth="1"/>
  </cols>
  <sheetData>
    <row r="1" spans="1:13" ht="15" thickBot="1" x14ac:dyDescent="0.35">
      <c r="A1" t="s">
        <v>216</v>
      </c>
    </row>
    <row r="2" spans="1:13" ht="15" thickBot="1" x14ac:dyDescent="0.35">
      <c r="A2" s="47" t="s">
        <v>217</v>
      </c>
      <c r="B2" s="47" t="s">
        <v>218</v>
      </c>
      <c r="C2" s="47" t="s">
        <v>206</v>
      </c>
      <c r="D2" s="47" t="s">
        <v>219</v>
      </c>
      <c r="E2" s="47" t="s">
        <v>220</v>
      </c>
      <c r="F2" s="47" t="s">
        <v>221</v>
      </c>
      <c r="G2" s="47" t="s">
        <v>222</v>
      </c>
      <c r="L2" t="s">
        <v>223</v>
      </c>
    </row>
    <row r="3" spans="1:13" ht="39.6" thickBot="1" x14ac:dyDescent="0.35">
      <c r="A3" s="48" t="s">
        <v>224</v>
      </c>
      <c r="B3" s="49">
        <v>7</v>
      </c>
      <c r="C3" s="50">
        <v>2019</v>
      </c>
      <c r="D3" s="51" t="s">
        <v>225</v>
      </c>
      <c r="E3" s="52">
        <v>433</v>
      </c>
      <c r="F3" s="52">
        <v>400</v>
      </c>
      <c r="G3" s="50" t="s">
        <v>226</v>
      </c>
      <c r="L3">
        <f>F3/E3</f>
        <v>0.92378752886836024</v>
      </c>
    </row>
    <row r="4" spans="1:13" ht="39.6" thickBot="1" x14ac:dyDescent="0.35">
      <c r="A4" s="48" t="s">
        <v>227</v>
      </c>
      <c r="B4" s="49">
        <v>5</v>
      </c>
      <c r="C4" s="50">
        <v>2018</v>
      </c>
      <c r="D4" s="51" t="s">
        <v>225</v>
      </c>
      <c r="E4" s="52">
        <v>2115</v>
      </c>
      <c r="F4" s="52">
        <v>0</v>
      </c>
      <c r="G4" s="50" t="s">
        <v>226</v>
      </c>
      <c r="H4" s="53">
        <v>40000</v>
      </c>
      <c r="I4" t="s">
        <v>228</v>
      </c>
      <c r="J4">
        <f>H4*1.19</f>
        <v>47600</v>
      </c>
      <c r="K4" t="s">
        <v>229</v>
      </c>
      <c r="L4">
        <f>F4/E4</f>
        <v>0</v>
      </c>
    </row>
    <row r="5" spans="1:13" ht="39.6" thickBot="1" x14ac:dyDescent="0.35">
      <c r="A5" s="48" t="s">
        <v>230</v>
      </c>
      <c r="B5" s="49">
        <v>5</v>
      </c>
      <c r="C5" s="50">
        <v>2017</v>
      </c>
      <c r="D5" s="51" t="s">
        <v>225</v>
      </c>
      <c r="E5" s="52">
        <v>8766</v>
      </c>
      <c r="F5" s="52">
        <v>0</v>
      </c>
      <c r="G5" s="50" t="s">
        <v>226</v>
      </c>
      <c r="H5" s="53">
        <v>60000</v>
      </c>
      <c r="I5" t="s">
        <v>228</v>
      </c>
      <c r="J5">
        <f>H5*1.19</f>
        <v>71400</v>
      </c>
      <c r="L5">
        <f>F5/E5</f>
        <v>0</v>
      </c>
    </row>
    <row r="6" spans="1:13" ht="39.6" thickBot="1" x14ac:dyDescent="0.35">
      <c r="A6" s="48" t="s">
        <v>231</v>
      </c>
      <c r="B6" s="49">
        <v>3</v>
      </c>
      <c r="C6" s="50">
        <v>2013</v>
      </c>
      <c r="D6" s="51" t="s">
        <v>225</v>
      </c>
      <c r="E6" s="52">
        <v>4804</v>
      </c>
      <c r="F6" s="52">
        <v>1700</v>
      </c>
      <c r="G6" s="50" t="s">
        <v>226</v>
      </c>
      <c r="H6" s="53">
        <v>30000000</v>
      </c>
      <c r="I6" t="s">
        <v>232</v>
      </c>
      <c r="J6" s="54">
        <v>1130000</v>
      </c>
      <c r="K6" t="s">
        <v>229</v>
      </c>
      <c r="L6">
        <f>F6/E6</f>
        <v>0.35387177352206495</v>
      </c>
    </row>
    <row r="7" spans="1:13" ht="39" x14ac:dyDescent="0.3">
      <c r="A7" s="48" t="s">
        <v>233</v>
      </c>
      <c r="B7" s="49">
        <v>9</v>
      </c>
      <c r="C7" s="50">
        <v>2009</v>
      </c>
      <c r="D7" s="51" t="s">
        <v>225</v>
      </c>
      <c r="E7" s="52">
        <v>3944</v>
      </c>
      <c r="F7" s="52">
        <v>1200</v>
      </c>
      <c r="G7" s="50" t="s">
        <v>226</v>
      </c>
      <c r="H7" s="55">
        <v>110000</v>
      </c>
      <c r="I7" s="8" t="s">
        <v>228</v>
      </c>
      <c r="J7" s="8">
        <f>H7*1.19</f>
        <v>130900</v>
      </c>
      <c r="K7" s="8" t="s">
        <v>229</v>
      </c>
      <c r="L7" s="8">
        <f>F7/E7</f>
        <v>0.30425963488843816</v>
      </c>
      <c r="M7" t="s">
        <v>234</v>
      </c>
    </row>
    <row r="13" spans="1:13" ht="15" thickBot="1" x14ac:dyDescent="0.35">
      <c r="A13" t="s">
        <v>235</v>
      </c>
    </row>
    <row r="14" spans="1:13" ht="15" thickBot="1" x14ac:dyDescent="0.35">
      <c r="A14" s="47" t="s">
        <v>217</v>
      </c>
      <c r="B14" s="47" t="s">
        <v>218</v>
      </c>
      <c r="C14" s="47" t="s">
        <v>206</v>
      </c>
      <c r="D14" s="47" t="s">
        <v>219</v>
      </c>
      <c r="E14" s="47" t="s">
        <v>220</v>
      </c>
      <c r="F14" s="47" t="s">
        <v>221</v>
      </c>
      <c r="G14" s="47" t="s">
        <v>222</v>
      </c>
    </row>
    <row r="15" spans="1:13" ht="39.6" thickBot="1" x14ac:dyDescent="0.35">
      <c r="A15" s="48" t="s">
        <v>236</v>
      </c>
      <c r="B15" s="49">
        <v>2</v>
      </c>
      <c r="C15" s="50">
        <v>2018</v>
      </c>
      <c r="D15" s="51" t="s">
        <v>237</v>
      </c>
      <c r="E15" s="52">
        <v>880</v>
      </c>
      <c r="F15" s="52">
        <v>340</v>
      </c>
      <c r="G15" s="50" t="s">
        <v>226</v>
      </c>
      <c r="H15" s="53">
        <v>310000</v>
      </c>
      <c r="I15" t="s">
        <v>232</v>
      </c>
      <c r="J15">
        <v>11735</v>
      </c>
      <c r="K15" t="s">
        <v>229</v>
      </c>
    </row>
    <row r="16" spans="1:13" ht="39.6" thickBot="1" x14ac:dyDescent="0.35">
      <c r="A16" s="48" t="s">
        <v>227</v>
      </c>
      <c r="B16" s="49">
        <v>7</v>
      </c>
      <c r="C16" s="50">
        <v>2018</v>
      </c>
      <c r="D16" s="51" t="s">
        <v>237</v>
      </c>
      <c r="E16" s="52">
        <v>819</v>
      </c>
      <c r="F16" s="52">
        <v>1100</v>
      </c>
      <c r="G16" s="50" t="s">
        <v>226</v>
      </c>
      <c r="H16" s="53">
        <v>40000</v>
      </c>
      <c r="I16" t="s">
        <v>228</v>
      </c>
      <c r="J16">
        <f>H16*1.19</f>
        <v>47600</v>
      </c>
      <c r="K16" t="s">
        <v>229</v>
      </c>
    </row>
    <row r="17" spans="1:12" ht="39.6" thickBot="1" x14ac:dyDescent="0.35">
      <c r="A17" s="48" t="s">
        <v>238</v>
      </c>
      <c r="B17" s="49">
        <v>7</v>
      </c>
      <c r="C17" s="50">
        <v>2014</v>
      </c>
      <c r="D17" s="51" t="s">
        <v>237</v>
      </c>
      <c r="E17" s="52">
        <v>2350</v>
      </c>
      <c r="F17" s="52">
        <v>6300</v>
      </c>
      <c r="G17" s="50" t="s">
        <v>226</v>
      </c>
      <c r="H17" s="53">
        <v>35000</v>
      </c>
      <c r="I17" t="s">
        <v>228</v>
      </c>
      <c r="J17">
        <f>H17*1.19</f>
        <v>41650</v>
      </c>
      <c r="K17" t="s">
        <v>229</v>
      </c>
    </row>
    <row r="18" spans="1:12" ht="39.6" thickBot="1" x14ac:dyDescent="0.35">
      <c r="A18" s="48" t="s">
        <v>238</v>
      </c>
      <c r="B18" s="49">
        <v>8</v>
      </c>
      <c r="C18" s="50">
        <v>2014</v>
      </c>
      <c r="D18" s="51" t="s">
        <v>237</v>
      </c>
      <c r="E18" s="52">
        <v>970</v>
      </c>
      <c r="F18" s="52">
        <v>1200</v>
      </c>
      <c r="G18" s="50" t="s">
        <v>226</v>
      </c>
      <c r="H18" s="53">
        <v>35000</v>
      </c>
      <c r="I18" t="s">
        <v>228</v>
      </c>
      <c r="J18">
        <f>H18*1.19</f>
        <v>41650</v>
      </c>
      <c r="K18" t="s">
        <v>229</v>
      </c>
    </row>
    <row r="19" spans="1:12" ht="24" thickBot="1" x14ac:dyDescent="0.35">
      <c r="A19" s="48" t="s">
        <v>239</v>
      </c>
      <c r="B19" s="49">
        <v>8</v>
      </c>
      <c r="C19" s="50">
        <v>2014</v>
      </c>
      <c r="D19" s="56" t="s">
        <v>240</v>
      </c>
      <c r="E19" s="52">
        <v>2220</v>
      </c>
      <c r="F19" s="52">
        <v>1200</v>
      </c>
      <c r="G19" s="50" t="s">
        <v>226</v>
      </c>
      <c r="H19" s="53">
        <v>6000000</v>
      </c>
      <c r="I19" t="s">
        <v>228</v>
      </c>
      <c r="J19">
        <f>H19*1.19</f>
        <v>7140000</v>
      </c>
      <c r="K19" t="s">
        <v>229</v>
      </c>
      <c r="L19" s="8">
        <f>F19/E19</f>
        <v>0.54054054054054057</v>
      </c>
    </row>
    <row r="20" spans="1:12" ht="39.6" thickBot="1" x14ac:dyDescent="0.35">
      <c r="A20" s="48" t="s">
        <v>239</v>
      </c>
      <c r="B20" s="49">
        <v>9</v>
      </c>
      <c r="C20" s="50">
        <v>2014</v>
      </c>
      <c r="D20" s="51" t="s">
        <v>237</v>
      </c>
      <c r="E20" s="52">
        <v>1553</v>
      </c>
      <c r="F20" s="52">
        <v>2325</v>
      </c>
      <c r="G20" s="50" t="s">
        <v>226</v>
      </c>
      <c r="H20" s="53">
        <v>6000000</v>
      </c>
      <c r="I20" t="s">
        <v>228</v>
      </c>
      <c r="J20">
        <f>H20*1.19</f>
        <v>7140000</v>
      </c>
      <c r="K20" t="s">
        <v>229</v>
      </c>
    </row>
    <row r="21" spans="1:12" ht="39.6" thickBot="1" x14ac:dyDescent="0.35">
      <c r="A21" s="48" t="s">
        <v>241</v>
      </c>
      <c r="B21" s="49">
        <v>2</v>
      </c>
      <c r="C21" s="50">
        <v>2013</v>
      </c>
      <c r="D21" s="51" t="s">
        <v>237</v>
      </c>
      <c r="E21" s="52">
        <v>2660</v>
      </c>
      <c r="F21" s="52">
        <v>1620</v>
      </c>
      <c r="G21" s="50" t="s">
        <v>226</v>
      </c>
    </row>
    <row r="22" spans="1:12" ht="39" x14ac:dyDescent="0.3">
      <c r="A22" s="57" t="s">
        <v>242</v>
      </c>
      <c r="B22" s="58">
        <v>5</v>
      </c>
      <c r="C22" s="59">
        <v>2008</v>
      </c>
      <c r="D22" s="60" t="s">
        <v>237</v>
      </c>
      <c r="E22" s="61">
        <v>5911</v>
      </c>
      <c r="F22" s="61">
        <v>2500</v>
      </c>
      <c r="G22" s="59" t="s">
        <v>226</v>
      </c>
    </row>
    <row r="25" spans="1:12" ht="15" thickBot="1" x14ac:dyDescent="0.35">
      <c r="A25">
        <v>2.2113</v>
      </c>
      <c r="B25" t="s">
        <v>244</v>
      </c>
      <c r="F25" t="s">
        <v>251</v>
      </c>
    </row>
    <row r="26" spans="1:12" ht="15" thickBot="1" x14ac:dyDescent="0.35">
      <c r="A26" s="47" t="s">
        <v>217</v>
      </c>
      <c r="B26" s="47" t="s">
        <v>218</v>
      </c>
      <c r="C26" s="47" t="s">
        <v>206</v>
      </c>
      <c r="D26" s="47" t="s">
        <v>219</v>
      </c>
      <c r="E26" s="47" t="s">
        <v>220</v>
      </c>
      <c r="F26" s="47" t="s">
        <v>221</v>
      </c>
      <c r="G26" s="47" t="s">
        <v>222</v>
      </c>
    </row>
    <row r="27" spans="1:12" ht="24" thickBot="1" x14ac:dyDescent="0.35">
      <c r="A27" s="48" t="s">
        <v>245</v>
      </c>
      <c r="B27" s="49">
        <v>5</v>
      </c>
      <c r="C27" s="50">
        <v>2019</v>
      </c>
      <c r="D27" s="51" t="s">
        <v>246</v>
      </c>
      <c r="E27" s="52">
        <v>2970</v>
      </c>
      <c r="F27" s="52">
        <v>188</v>
      </c>
      <c r="G27" s="50" t="s">
        <v>226</v>
      </c>
      <c r="H27" s="8" t="s">
        <v>252</v>
      </c>
      <c r="I27" s="8">
        <f>F27/E27</f>
        <v>6.32996632996633E-2</v>
      </c>
    </row>
    <row r="28" spans="1:12" ht="24" thickBot="1" x14ac:dyDescent="0.35">
      <c r="A28" s="48" t="s">
        <v>247</v>
      </c>
      <c r="B28" s="49">
        <v>13</v>
      </c>
      <c r="C28" s="50">
        <v>2013</v>
      </c>
      <c r="D28" s="51" t="s">
        <v>246</v>
      </c>
      <c r="E28" s="52">
        <v>758</v>
      </c>
      <c r="F28" s="52">
        <v>5500</v>
      </c>
      <c r="G28" s="50" t="s">
        <v>226</v>
      </c>
      <c r="H28" t="s">
        <v>253</v>
      </c>
      <c r="I28">
        <f>F28/E28</f>
        <v>7.2559366754617418</v>
      </c>
    </row>
    <row r="29" spans="1:12" ht="24" thickBot="1" x14ac:dyDescent="0.35">
      <c r="A29" s="48" t="s">
        <v>248</v>
      </c>
      <c r="B29" s="49">
        <v>10</v>
      </c>
      <c r="C29" s="50">
        <v>2012</v>
      </c>
      <c r="D29" s="51" t="s">
        <v>246</v>
      </c>
      <c r="E29" s="52">
        <v>27978</v>
      </c>
      <c r="F29" s="52">
        <v>9000</v>
      </c>
      <c r="G29" s="50" t="s">
        <v>226</v>
      </c>
      <c r="H29" t="s">
        <v>253</v>
      </c>
      <c r="I29">
        <f>F29/E29</f>
        <v>0.32168132103795838</v>
      </c>
    </row>
    <row r="30" spans="1:12" ht="24" thickBot="1" x14ac:dyDescent="0.35">
      <c r="A30" s="48" t="s">
        <v>249</v>
      </c>
      <c r="B30" s="49">
        <v>9</v>
      </c>
      <c r="C30" s="50">
        <v>2012</v>
      </c>
      <c r="D30" s="51" t="s">
        <v>246</v>
      </c>
      <c r="E30" s="52">
        <v>19533</v>
      </c>
      <c r="F30" s="52">
        <v>16000</v>
      </c>
      <c r="G30" s="50" t="s">
        <v>226</v>
      </c>
      <c r="H30" t="s">
        <v>253</v>
      </c>
      <c r="I30">
        <f>F30/E30</f>
        <v>0.81912660625607947</v>
      </c>
    </row>
    <row r="31" spans="1:12" ht="23.4" x14ac:dyDescent="0.3">
      <c r="A31" s="57" t="s">
        <v>250</v>
      </c>
      <c r="B31" s="58">
        <v>4</v>
      </c>
      <c r="C31" s="59">
        <v>2008</v>
      </c>
      <c r="D31" s="60" t="s">
        <v>246</v>
      </c>
      <c r="E31" s="61">
        <v>31944</v>
      </c>
      <c r="F31" s="61">
        <v>2000</v>
      </c>
      <c r="G31" s="59" t="s">
        <v>226</v>
      </c>
      <c r="H31" s="8" t="s">
        <v>254</v>
      </c>
      <c r="I31" s="8">
        <f>F31/E31</f>
        <v>6.2609566741798142E-2</v>
      </c>
      <c r="J31" t="s">
        <v>255</v>
      </c>
      <c r="K31" s="8">
        <f>AVERAGE(I27,I31)</f>
        <v>6.2954615020730714E-2</v>
      </c>
    </row>
  </sheetData>
  <hyperlinks>
    <hyperlink ref="A3" r:id="rId1" display="https://iac.university/assessment/UU0147" xr:uid="{00000000-0004-0000-0600-000000000000}"/>
    <hyperlink ref="A4" r:id="rId2" display="https://iac.university/assessment/UD0983" xr:uid="{00000000-0004-0000-0600-000001000000}"/>
    <hyperlink ref="A5" r:id="rId3" display="https://iac.university/assessment/UU0115" xr:uid="{00000000-0004-0000-0600-000002000000}"/>
    <hyperlink ref="A6" r:id="rId4" display="https://iac.university/assessment/WV0473" xr:uid="{00000000-0004-0000-0600-000003000000}"/>
    <hyperlink ref="A7" r:id="rId5" display="https://iac.university/assessment/UM0352" xr:uid="{00000000-0004-0000-0600-000004000000}"/>
    <hyperlink ref="A15" r:id="rId6" display="https://iac.university/assessment/LS1810" xr:uid="{00000000-0004-0000-0600-000005000000}"/>
    <hyperlink ref="A16" r:id="rId7" display="https://iac.university/assessment/UD0983" xr:uid="{00000000-0004-0000-0600-000006000000}"/>
    <hyperlink ref="A17" r:id="rId8" display="https://iac.university/assessment/DL0137" xr:uid="{00000000-0004-0000-0600-000007000000}"/>
    <hyperlink ref="A18" r:id="rId9" display="https://iac.university/assessment/DL0137" xr:uid="{00000000-0004-0000-0600-000008000000}"/>
    <hyperlink ref="A19" r:id="rId10" display="https://iac.university/assessment/SD0481" xr:uid="{00000000-0004-0000-0600-000009000000}"/>
    <hyperlink ref="A20" r:id="rId11" display="https://iac.university/assessment/SD0481" xr:uid="{00000000-0004-0000-0600-00000A000000}"/>
    <hyperlink ref="A21" r:id="rId12" display="https://iac.university/assessment/CO0677" xr:uid="{00000000-0004-0000-0600-00000B000000}"/>
    <hyperlink ref="A22" r:id="rId13" display="https://iac.university/assessment/DL0015" xr:uid="{00000000-0004-0000-0600-00000C000000}"/>
    <hyperlink ref="A27" r:id="rId14" display="https://iac.university/assessment/AM0782" xr:uid="{00000000-0004-0000-0600-00000D000000}"/>
    <hyperlink ref="A28" r:id="rId15" display="https://iac.university/assessment/NC0477" xr:uid="{00000000-0004-0000-0600-00000E000000}"/>
    <hyperlink ref="A29" r:id="rId16" display="https://iac.university/assessment/NC0473" xr:uid="{00000000-0004-0000-0600-00000F000000}"/>
    <hyperlink ref="A30" r:id="rId17" display="https://iac.university/assessment/NC0471" xr:uid="{00000000-0004-0000-0600-000010000000}"/>
    <hyperlink ref="A31" r:id="rId18" display="https://iac.university/assessment/LE0267" xr:uid="{00000000-0004-0000-0600-00001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4"/>
  <sheetViews>
    <sheetView workbookViewId="0">
      <selection sqref="A1:B2"/>
    </sheetView>
  </sheetViews>
  <sheetFormatPr defaultRowHeight="14.4" x14ac:dyDescent="0.3"/>
  <cols>
    <col min="1" max="1" width="16.77734375" customWidth="1"/>
    <col min="3" max="3" width="10.77734375" bestFit="1" customWidth="1"/>
    <col min="11" max="11" width="13.33203125" customWidth="1"/>
    <col min="12" max="12" width="15.21875" customWidth="1"/>
    <col min="14" max="14" width="10.5546875" customWidth="1"/>
    <col min="17" max="17" width="11.77734375" customWidth="1"/>
  </cols>
  <sheetData>
    <row r="1" spans="1:20" x14ac:dyDescent="0.3">
      <c r="A1" s="20" t="s">
        <v>271</v>
      </c>
    </row>
    <row r="2" spans="1:20" ht="43.2" x14ac:dyDescent="0.3">
      <c r="A2" s="15" t="s">
        <v>272</v>
      </c>
      <c r="B2" s="62">
        <v>0.05</v>
      </c>
    </row>
    <row r="4" spans="1:20" x14ac:dyDescent="0.3">
      <c r="F4" s="116" t="s">
        <v>291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</row>
    <row r="5" spans="1:20" ht="41.4" x14ac:dyDescent="0.3">
      <c r="F5" s="120" t="s">
        <v>206</v>
      </c>
      <c r="G5" s="120" t="s">
        <v>349</v>
      </c>
      <c r="H5" s="120" t="s">
        <v>347</v>
      </c>
      <c r="I5" s="120" t="s">
        <v>353</v>
      </c>
      <c r="J5" s="120" t="s">
        <v>361</v>
      </c>
      <c r="K5" s="120" t="s">
        <v>362</v>
      </c>
      <c r="L5" s="120" t="s">
        <v>355</v>
      </c>
      <c r="M5" s="120" t="s">
        <v>356</v>
      </c>
      <c r="N5" s="120" t="s">
        <v>363</v>
      </c>
      <c r="O5" s="120" t="s">
        <v>364</v>
      </c>
      <c r="P5" s="120" t="s">
        <v>357</v>
      </c>
      <c r="Q5" s="120" t="s">
        <v>358</v>
      </c>
      <c r="R5" s="120" t="s">
        <v>169</v>
      </c>
    </row>
    <row r="6" spans="1:20" x14ac:dyDescent="0.3">
      <c r="A6" t="s">
        <v>206</v>
      </c>
      <c r="B6" t="s">
        <v>207</v>
      </c>
      <c r="C6" t="s">
        <v>211</v>
      </c>
      <c r="F6" s="121" t="s">
        <v>290</v>
      </c>
      <c r="G6" s="120">
        <v>33341322</v>
      </c>
      <c r="H6" s="121" t="s">
        <v>348</v>
      </c>
      <c r="I6" s="122" t="s">
        <v>354</v>
      </c>
      <c r="J6" s="123" t="s">
        <v>351</v>
      </c>
      <c r="K6" s="123" t="s">
        <v>352</v>
      </c>
      <c r="L6" s="122">
        <v>333415</v>
      </c>
      <c r="M6" s="120">
        <v>331110</v>
      </c>
      <c r="N6" s="120">
        <v>33324152</v>
      </c>
      <c r="O6" s="120">
        <v>3345130</v>
      </c>
      <c r="P6" s="124">
        <v>332911</v>
      </c>
      <c r="Q6" s="121" t="s">
        <v>359</v>
      </c>
      <c r="R6" s="121" t="s">
        <v>360</v>
      </c>
      <c r="S6" s="111"/>
      <c r="T6" s="111"/>
    </row>
    <row r="7" spans="1:20" x14ac:dyDescent="0.3">
      <c r="A7">
        <v>2010</v>
      </c>
      <c r="B7">
        <v>5.49</v>
      </c>
      <c r="C7" s="45">
        <f>B7/1055</f>
        <v>5.2037914691943129E-3</v>
      </c>
      <c r="F7" s="117">
        <v>2010</v>
      </c>
      <c r="G7" s="117">
        <v>100.3</v>
      </c>
      <c r="H7" s="117">
        <v>134.30000000000001</v>
      </c>
      <c r="I7" s="118">
        <v>175.1</v>
      </c>
      <c r="J7" s="117">
        <v>144.69999999999999</v>
      </c>
      <c r="K7" s="117">
        <v>305.10000000000002</v>
      </c>
      <c r="L7" s="117">
        <v>101.3</v>
      </c>
      <c r="M7" s="118">
        <v>175.1</v>
      </c>
      <c r="N7" s="118">
        <v>103</v>
      </c>
      <c r="O7" s="118">
        <v>120.7</v>
      </c>
      <c r="P7" s="117">
        <v>190</v>
      </c>
      <c r="Q7" s="117">
        <v>113.7</v>
      </c>
      <c r="R7" s="117">
        <v>153.9</v>
      </c>
    </row>
    <row r="8" spans="1:20" x14ac:dyDescent="0.3">
      <c r="A8">
        <v>2011</v>
      </c>
      <c r="B8">
        <v>5.13</v>
      </c>
      <c r="C8" s="45">
        <f t="shared" ref="C8:C16" si="0">B8/1055</f>
        <v>4.862559241706161E-3</v>
      </c>
      <c r="F8" s="125">
        <v>2019</v>
      </c>
      <c r="G8" s="119">
        <v>141.80000000000001</v>
      </c>
      <c r="H8" s="125">
        <v>177.7</v>
      </c>
      <c r="I8" s="126">
        <v>182.5</v>
      </c>
      <c r="J8" s="125">
        <v>187.5</v>
      </c>
      <c r="K8" s="125">
        <v>389.3</v>
      </c>
      <c r="L8" s="125">
        <v>116.9</v>
      </c>
      <c r="M8" s="126">
        <v>182.5</v>
      </c>
      <c r="N8" s="126">
        <v>124.2</v>
      </c>
      <c r="O8" s="126">
        <v>140.1</v>
      </c>
      <c r="P8" s="125">
        <v>255.4</v>
      </c>
      <c r="Q8" s="125">
        <v>121</v>
      </c>
      <c r="R8" s="125">
        <v>171.8</v>
      </c>
    </row>
    <row r="9" spans="1:20" x14ac:dyDescent="0.3">
      <c r="A9">
        <v>2012</v>
      </c>
      <c r="B9">
        <v>3.88</v>
      </c>
      <c r="C9" s="45">
        <f t="shared" si="0"/>
        <v>3.6777251184834121E-3</v>
      </c>
      <c r="F9" s="106"/>
      <c r="G9" s="107"/>
      <c r="H9" s="107"/>
      <c r="I9" s="78"/>
      <c r="J9" s="110"/>
      <c r="K9" s="110"/>
      <c r="L9" s="110"/>
    </row>
    <row r="10" spans="1:20" x14ac:dyDescent="0.3">
      <c r="A10">
        <v>2013</v>
      </c>
      <c r="B10">
        <v>4.6399999999999997</v>
      </c>
      <c r="C10" s="45">
        <f t="shared" si="0"/>
        <v>4.3981042654028437E-3</v>
      </c>
      <c r="F10" s="77" t="s">
        <v>350</v>
      </c>
      <c r="G10" s="107"/>
      <c r="H10" s="107"/>
      <c r="I10" s="78"/>
      <c r="J10" s="110"/>
      <c r="K10" s="110"/>
      <c r="L10" s="110"/>
    </row>
    <row r="11" spans="1:20" x14ac:dyDescent="0.3">
      <c r="A11">
        <v>2014</v>
      </c>
      <c r="B11">
        <v>5.62</v>
      </c>
      <c r="C11" s="45">
        <f t="shared" si="0"/>
        <v>5.3270142180094791E-3</v>
      </c>
      <c r="F11" s="106"/>
      <c r="G11" s="107"/>
      <c r="H11" s="107"/>
      <c r="I11" s="78"/>
      <c r="J11" s="110"/>
      <c r="K11" s="110"/>
      <c r="L11" s="110"/>
    </row>
    <row r="12" spans="1:20" x14ac:dyDescent="0.3">
      <c r="A12">
        <v>2015</v>
      </c>
      <c r="B12">
        <v>3.93</v>
      </c>
      <c r="C12" s="45">
        <f t="shared" si="0"/>
        <v>3.7251184834123222E-3</v>
      </c>
      <c r="F12" s="106"/>
      <c r="G12" s="107"/>
      <c r="H12" s="107"/>
      <c r="I12" s="78"/>
      <c r="J12" s="110"/>
      <c r="K12" s="110"/>
      <c r="L12" s="110"/>
    </row>
    <row r="13" spans="1:20" x14ac:dyDescent="0.3">
      <c r="A13">
        <v>2016</v>
      </c>
      <c r="B13">
        <v>3.51</v>
      </c>
      <c r="C13" s="45">
        <f t="shared" si="0"/>
        <v>3.3270142180094786E-3</v>
      </c>
      <c r="F13" s="106"/>
      <c r="G13" s="107"/>
      <c r="H13" s="107"/>
      <c r="I13" s="78"/>
      <c r="J13" s="110"/>
      <c r="K13" s="110"/>
      <c r="L13" s="110"/>
    </row>
    <row r="14" spans="1:20" x14ac:dyDescent="0.3">
      <c r="A14">
        <v>2017</v>
      </c>
      <c r="B14">
        <v>4.08</v>
      </c>
      <c r="C14" s="45">
        <f t="shared" si="0"/>
        <v>3.8672985781990524E-3</v>
      </c>
      <c r="F14" s="106"/>
      <c r="G14" s="107"/>
      <c r="H14" s="107"/>
      <c r="I14" s="78"/>
      <c r="J14" s="110"/>
      <c r="K14" s="110"/>
      <c r="L14" s="110"/>
    </row>
    <row r="15" spans="1:20" x14ac:dyDescent="0.3">
      <c r="A15">
        <v>2018</v>
      </c>
      <c r="B15">
        <v>4.21</v>
      </c>
      <c r="C15" s="45">
        <f t="shared" si="0"/>
        <v>3.9905213270142181E-3</v>
      </c>
      <c r="F15" s="106"/>
      <c r="G15" s="107"/>
      <c r="H15" s="107"/>
      <c r="I15" s="78"/>
      <c r="J15" s="110"/>
      <c r="K15" s="110"/>
      <c r="L15" s="110"/>
    </row>
    <row r="16" spans="1:20" x14ac:dyDescent="0.3">
      <c r="A16">
        <v>2019</v>
      </c>
      <c r="B16">
        <v>3.91</v>
      </c>
      <c r="C16" s="45">
        <f t="shared" si="0"/>
        <v>3.7061611374407583E-3</v>
      </c>
      <c r="F16" s="106"/>
      <c r="G16" s="106"/>
      <c r="H16" s="106"/>
      <c r="I16" s="110"/>
      <c r="J16" s="110"/>
      <c r="K16" s="110"/>
      <c r="L16" s="110"/>
    </row>
    <row r="17" spans="1:8" x14ac:dyDescent="0.3">
      <c r="F17" s="105"/>
      <c r="G17" s="104"/>
      <c r="H17" s="104"/>
    </row>
    <row r="18" spans="1:8" x14ac:dyDescent="0.3">
      <c r="F18" s="77"/>
    </row>
    <row r="19" spans="1:8" x14ac:dyDescent="0.3">
      <c r="A19" t="s">
        <v>208</v>
      </c>
      <c r="B19" t="s">
        <v>210</v>
      </c>
    </row>
    <row r="20" spans="1:8" x14ac:dyDescent="0.3">
      <c r="F20" s="77"/>
    </row>
    <row r="21" spans="1:8" x14ac:dyDescent="0.3">
      <c r="F21" s="77"/>
    </row>
    <row r="22" spans="1:8" x14ac:dyDescent="0.3">
      <c r="A22" t="s">
        <v>206</v>
      </c>
      <c r="B22" t="s">
        <v>405</v>
      </c>
      <c r="F22" s="77"/>
    </row>
    <row r="23" spans="1:8" x14ac:dyDescent="0.3">
      <c r="A23">
        <v>2010</v>
      </c>
      <c r="B23">
        <v>6.77</v>
      </c>
      <c r="F23" s="77"/>
    </row>
    <row r="24" spans="1:8" x14ac:dyDescent="0.3">
      <c r="A24">
        <v>2011</v>
      </c>
      <c r="B24">
        <v>6.82</v>
      </c>
    </row>
    <row r="25" spans="1:8" x14ac:dyDescent="0.3">
      <c r="A25">
        <v>2012</v>
      </c>
      <c r="B25">
        <v>6.67</v>
      </c>
    </row>
    <row r="26" spans="1:8" x14ac:dyDescent="0.3">
      <c r="A26">
        <v>2013</v>
      </c>
      <c r="B26">
        <v>6.89</v>
      </c>
    </row>
    <row r="27" spans="1:8" x14ac:dyDescent="0.3">
      <c r="A27">
        <v>2014</v>
      </c>
      <c r="B27">
        <v>7.1</v>
      </c>
    </row>
    <row r="28" spans="1:8" x14ac:dyDescent="0.3">
      <c r="A28">
        <v>2015</v>
      </c>
      <c r="B28">
        <v>6.91</v>
      </c>
    </row>
    <row r="29" spans="1:8" x14ac:dyDescent="0.3">
      <c r="A29">
        <v>2016</v>
      </c>
      <c r="B29">
        <v>6.76</v>
      </c>
    </row>
    <row r="30" spans="1:8" x14ac:dyDescent="0.3">
      <c r="A30">
        <v>2017</v>
      </c>
      <c r="B30">
        <v>6.88</v>
      </c>
    </row>
    <row r="31" spans="1:8" x14ac:dyDescent="0.3">
      <c r="A31">
        <v>2018</v>
      </c>
      <c r="B31">
        <v>6.92</v>
      </c>
    </row>
    <row r="32" spans="1:8" x14ac:dyDescent="0.3">
      <c r="A32">
        <v>2019</v>
      </c>
      <c r="B32">
        <v>6.83</v>
      </c>
    </row>
    <row r="34" spans="1:2" x14ac:dyDescent="0.3">
      <c r="A34" t="s">
        <v>208</v>
      </c>
      <c r="B34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Mass and energy flow</vt:lpstr>
      <vt:lpstr>Replacement</vt:lpstr>
      <vt:lpstr>Replacement-calcs</vt:lpstr>
      <vt:lpstr>Measurements</vt:lpstr>
      <vt:lpstr>Theoretical thermal</vt:lpstr>
      <vt:lpstr>NG boiler</vt:lpstr>
      <vt:lpstr>IAC</vt:lpstr>
      <vt:lpstr>Cost data</vt:lpstr>
      <vt:lpstr>108 book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Zhang</dc:creator>
  <cp:lastModifiedBy>Xi, William</cp:lastModifiedBy>
  <dcterms:created xsi:type="dcterms:W3CDTF">2020-09-15T20:50:23Z</dcterms:created>
  <dcterms:modified xsi:type="dcterms:W3CDTF">2020-10-26T05:52:03Z</dcterms:modified>
</cp:coreProperties>
</file>